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AUDITIONEES" sheetId="2" r:id="rId5"/>
    <sheet state="visible" name="SCORES" sheetId="3" r:id="rId6"/>
  </sheets>
  <definedNames>
    <definedName hidden="1" localSheetId="2" name="_xlnm._FilterDatabase">SCORES!$B$6:$G$205</definedName>
  </definedNames>
  <calcPr/>
</workbook>
</file>

<file path=xl/sharedStrings.xml><?xml version="1.0" encoding="utf-8"?>
<sst xmlns="http://schemas.openxmlformats.org/spreadsheetml/2006/main" count="52" uniqueCount="52">
  <si>
    <t xml:space="preserve">DISCLAIMER: </t>
  </si>
  <si>
    <r>
      <rPr>
        <rFont val="Roboto"/>
        <color rgb="FF000000"/>
        <sz val="14.0"/>
      </rPr>
      <t xml:space="preserve">All data in this spreadsheet is considered STRICTLY CONFIDENTIAL and for INTERNAL USE ONLY. </t>
    </r>
    <r>
      <rPr>
        <rFont val="Roboto"/>
        <b/>
        <i/>
        <color rgb="FF000000"/>
        <sz val="14.0"/>
        <u/>
      </rPr>
      <t>DO NOT SHARE</t>
    </r>
    <r>
      <rPr>
        <rFont val="Roboto"/>
        <color rgb="FF000000"/>
        <sz val="14.0"/>
      </rPr>
      <t xml:space="preserve"> this document or the data contained within to anyone without the express permission from the Executive or Ensemble Directors. 
Do not export copies of the spreadsheet or the data contained within. 
Do not export any graphics within this spreadsheet.
Take care that your device is properly secured and not left exposed to auditionees or unauthorized users.
When in use, take care to conceal your screen out of respect and privacy for the auditionees and other staff members.
Failure to abide by these rules may result in disciplinary action and / or harm the Infinity Percussion Organization, its staff, and members.</t>
    </r>
  </si>
  <si>
    <t>How-To Use this Audition Worksheet:</t>
  </si>
  <si>
    <t>- Navigate to your assigned sheet by sliding along the bottom, or using the menu on the bottom left of the screen</t>
  </si>
  <si>
    <t>- Enter scores for each auditionee. Note the guidelines at the top of the page.</t>
  </si>
  <si>
    <t>-Take notes on auditionees for later reference in the "Notes" section on your page</t>
  </si>
  <si>
    <t>- NOTE: You may filter by name, instrument, etc.</t>
  </si>
  <si>
    <t>- Reference the "READ ME" page for guidance on each scoring category.</t>
  </si>
  <si>
    <t>- If you need more info on an auditionee, you may read their full experience description on the "ROSTER" page</t>
  </si>
  <si>
    <t>- Authorized users may select "Contract / Callback", assign auditionees to instruments, and assign auditionees to ensembles on the "MAIN" tab.</t>
  </si>
  <si>
    <r>
      <rPr>
        <rFont val="Roboto"/>
        <color theme="1"/>
      </rPr>
      <t xml:space="preserve">- NOTE: Please fill out this info for </t>
    </r>
    <r>
      <rPr>
        <rFont val="Roboto"/>
        <i/>
        <color theme="1"/>
        <u/>
      </rPr>
      <t>every</t>
    </r>
    <r>
      <rPr>
        <rFont val="Roboto"/>
        <color theme="1"/>
      </rPr>
      <t xml:space="preserve"> auditionee, as these selections populate the final rosters.</t>
    </r>
  </si>
  <si>
    <t>- All users may view results.</t>
  </si>
  <si>
    <t>- "MAIN" contains the "raw" data from all user's score sheets. Every user will have read access to view score data.</t>
  </si>
  <si>
    <t>- "FINAL ROSTERS" contains an overview of the assigned auditionees for each auditionee. 
   These can be printed in landscape orientation for EXTERNAL ANNOUNCMENTS.</t>
  </si>
  <si>
    <t>- "i1" "i2" and "i3" roster sheets contain more in-depth detail of assigned auditionees, for INTERNAL USE ONLY.</t>
  </si>
  <si>
    <t>- "RANKS" contain graphics for each instrument illustrating the scores of all auditionees, for INTERNAL USE ONLY.</t>
  </si>
  <si>
    <t>- Questions? Problems? Contact Tony Camarano on Slack.</t>
  </si>
  <si>
    <r>
      <rPr>
        <rFont val="Roboto, RobotoDraft, Helvetica, Arial, sans-serif"/>
        <b/>
        <color rgb="FF000000"/>
      </rPr>
      <t xml:space="preserve">Guidelines for score ratings: </t>
    </r>
    <r>
      <rPr>
        <rFont val="Roboto, RobotoDraft, Helvetica, Arial, sans-serif"/>
        <color rgb="FF000000"/>
      </rPr>
      <t xml:space="preserve">
3 = Advanced Skill / Consistently Achieves / WORLD Class 
2 = Intermediate Skill / Frequently Achieves / OPEN Class 
1 = Basic Skill / Sometimes Achieves / A Class 
0 = Little Skill / Rarely Achieves / Not Ready</t>
    </r>
  </si>
  <si>
    <t>NAMETAG</t>
  </si>
  <si>
    <t>LAST</t>
  </si>
  <si>
    <t>FIRST</t>
  </si>
  <si>
    <t>PRONOUNS</t>
  </si>
  <si>
    <t>INSTRUMENT</t>
  </si>
  <si>
    <t>AGE</t>
  </si>
  <si>
    <t>EXPERIENCE</t>
  </si>
  <si>
    <t>DETAIL</t>
  </si>
  <si>
    <t>FULL NAME</t>
  </si>
  <si>
    <t>EMAIL</t>
  </si>
  <si>
    <t>GOAL</t>
  </si>
  <si>
    <t>Insert above this line</t>
  </si>
  <si>
    <t>Instructor:</t>
  </si>
  <si>
    <t>Select scores for each student you have assessed below. 
Guidelines for score ratings:
3 = Advanced Skill / Consistently Achieves / WORLD  Class
2 = Intermediate Skill / Frequently Achieves /  OPEN Class
1 = Basic  Skill / Sometimes Achieves /  A Class
0 = Little Skill / Rarely Achieves / Not Ready</t>
  </si>
  <si>
    <r>
      <rPr>
        <rFont val="Roboto"/>
        <color rgb="FF434343"/>
        <sz val="9.0"/>
      </rPr>
      <t xml:space="preserve">Specify "Yes" or "No" 
</t>
    </r>
    <r>
      <rPr>
        <rFont val="Roboto"/>
        <i/>
        <color rgb="FF434343"/>
        <sz val="9.0"/>
      </rPr>
      <t>Explain in Notes if you vote "No"</t>
    </r>
  </si>
  <si>
    <t>Alex Suarez</t>
  </si>
  <si>
    <t>Name</t>
  </si>
  <si>
    <t>PrN</t>
  </si>
  <si>
    <t>ID</t>
  </si>
  <si>
    <t>Ins</t>
  </si>
  <si>
    <t>Age</t>
  </si>
  <si>
    <t>Exp</t>
  </si>
  <si>
    <t>Score
-/3</t>
  </si>
  <si>
    <t>Musicianship
-/3</t>
  </si>
  <si>
    <t>Adaptability
-/3</t>
  </si>
  <si>
    <t>Technique
-/3</t>
  </si>
  <si>
    <t>Preparation
-/3</t>
  </si>
  <si>
    <t xml:space="preserve">Character
</t>
  </si>
  <si>
    <t>Notes</t>
  </si>
  <si>
    <t>fingers wrapped around stick</t>
  </si>
  <si>
    <t>Yes</t>
  </si>
  <si>
    <t>slices a lot on outside drum</t>
  </si>
  <si>
    <t>looks bored(corrected)</t>
  </si>
  <si>
    <t>weird wide set position.. doesnt look relaxed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</si>
</sst>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5">
    <font>
      <sz val="10.0"/>
      <color rgb="FF000000"/>
      <name val="Arial"/>
      <scheme val="minor"/>
    </font>
    <font>
      <b/>
      <u/>
      <sz val="14.0"/>
      <color theme="1"/>
      <name val="Roboto"/>
    </font>
    <font>
      <color theme="1"/>
      <name val="Roboto"/>
    </font>
    <font>
      <sz val="14.0"/>
      <color rgb="FF000000"/>
      <name val="Roboto"/>
    </font>
    <font/>
    <font>
      <b/>
      <color theme="1"/>
      <name val="Roboto"/>
    </font>
    <font>
      <color theme="1"/>
      <name val="Arial"/>
      <scheme val="minor"/>
    </font>
    <font>
      <color rgb="FF000000"/>
      <name val="Roboto"/>
    </font>
    <font>
      <sz val="11.0"/>
      <color rgb="FFFFFFFF"/>
      <name val="Calibri"/>
    </font>
    <font>
      <color rgb="FF000000"/>
      <name val="Arial"/>
    </font>
    <font>
      <sz val="9.0"/>
      <color rgb="FF000000"/>
      <name val="Arial"/>
    </font>
    <font>
      <u/>
      <sz val="9.0"/>
      <color rgb="FF000000"/>
      <name val="Arial"/>
    </font>
    <font>
      <sz val="18.0"/>
      <color theme="1"/>
      <name val="Roboto"/>
    </font>
    <font>
      <i/>
      <sz val="10.0"/>
      <color rgb="FFC5CAE9"/>
      <name val="Roboto Condensed"/>
    </font>
    <font>
      <i/>
      <sz val="10.0"/>
      <color rgb="FFC5CAE9"/>
      <name val="Roboto"/>
    </font>
    <font>
      <sz val="10.0"/>
      <color rgb="FF434343"/>
      <name val="Roboto"/>
    </font>
    <font>
      <sz val="9.0"/>
      <color rgb="FF434343"/>
      <name val="Roboto"/>
    </font>
    <font>
      <sz val="10.0"/>
      <color rgb="FF303F9F"/>
      <name val="Roboto"/>
    </font>
    <font>
      <sz val="11.0"/>
      <color rgb="FF6772AD"/>
      <name val="Roboto"/>
    </font>
    <font>
      <sz val="14.0"/>
      <color rgb="FF6772AD"/>
      <name val="Roboto Condensed"/>
    </font>
    <font>
      <sz val="22.0"/>
      <color theme="1"/>
      <name val="Roboto"/>
    </font>
    <font>
      <sz val="21.0"/>
      <color rgb="FF303F9F"/>
      <name val="Roboto Condensed"/>
    </font>
    <font>
      <sz val="14.0"/>
      <color rgb="FF303F9F"/>
      <name val="Roboto"/>
    </font>
    <font>
      <sz val="22.0"/>
      <color rgb="FF303F9F"/>
      <name val="Roboto"/>
    </font>
    <font>
      <b/>
      <color rgb="FF666666"/>
      <name val="Roboto"/>
    </font>
    <font>
      <b/>
      <sz val="14.0"/>
      <color rgb="FF000000"/>
      <name val="Roboto"/>
    </font>
    <font>
      <b/>
      <sz val="10.0"/>
      <color rgb="FF303F9F"/>
      <name val="Roboto"/>
    </font>
    <font>
      <b/>
      <color rgb="FF303F9F"/>
      <name val="Roboto"/>
    </font>
    <font>
      <b/>
      <sz val="9.0"/>
      <color rgb="FF666666"/>
      <name val="Roboto"/>
    </font>
    <font>
      <color rgb="FF666666"/>
      <name val="Roboto"/>
    </font>
    <font>
      <b/>
      <color rgb="FF000000"/>
      <name val="Roboto"/>
    </font>
    <font>
      <color rgb="FFFFFFFF"/>
      <name val="Roboto"/>
    </font>
    <font>
      <sz val="10.0"/>
      <color rgb="FF2A3990"/>
      <name val="Roboto"/>
    </font>
    <font>
      <b/>
      <sz val="10.0"/>
      <color rgb="FF2A3990"/>
      <name val="Roboto"/>
    </font>
    <font>
      <sz val="10.0"/>
      <color theme="1"/>
      <name val="Roboto"/>
    </font>
  </fonts>
  <fills count="14">
    <fill>
      <patternFill patternType="none"/>
    </fill>
    <fill>
      <patternFill patternType="lightGray"/>
    </fill>
    <fill>
      <patternFill patternType="solid">
        <fgColor rgb="FFFFFFFF"/>
        <bgColor rgb="FFFFFFFF"/>
      </patternFill>
    </fill>
    <fill>
      <patternFill patternType="solid">
        <fgColor rgb="FF8E7CC3"/>
        <bgColor rgb="FF8E7CC3"/>
      </patternFill>
    </fill>
    <fill>
      <patternFill patternType="solid">
        <fgColor rgb="FFF4F4F4"/>
        <bgColor rgb="FFF4F4F4"/>
      </patternFill>
    </fill>
    <fill>
      <patternFill patternType="solid">
        <fgColor rgb="FFFFF2CC"/>
        <bgColor rgb="FFFFF2CC"/>
      </patternFill>
    </fill>
    <fill>
      <patternFill patternType="solid">
        <fgColor rgb="FFC9DAF8"/>
        <bgColor rgb="FFC9DAF8"/>
      </patternFill>
    </fill>
    <fill>
      <patternFill patternType="solid">
        <fgColor rgb="FF2A3990"/>
        <bgColor rgb="FF2A3990"/>
      </patternFill>
    </fill>
    <fill>
      <patternFill patternType="solid">
        <fgColor rgb="FF6772AD"/>
        <bgColor rgb="FF6772AD"/>
      </patternFill>
    </fill>
    <fill>
      <patternFill patternType="solid">
        <fgColor rgb="FFE8EAF6"/>
        <bgColor rgb="FFE8EAF6"/>
      </patternFill>
    </fill>
    <fill>
      <patternFill patternType="solid">
        <fgColor rgb="FFF3F3F3"/>
        <bgColor rgb="FFF3F3F3"/>
      </patternFill>
    </fill>
    <fill>
      <patternFill patternType="solid">
        <fgColor rgb="FFCFE2F3"/>
        <bgColor rgb="FFCFE2F3"/>
      </patternFill>
    </fill>
    <fill>
      <patternFill patternType="solid">
        <fgColor rgb="FF6D9EEB"/>
        <bgColor rgb="FF6D9EEB"/>
      </patternFill>
    </fill>
    <fill>
      <patternFill patternType="solid">
        <fgColor rgb="FF303F9F"/>
        <bgColor rgb="FF303F9F"/>
      </patternFill>
    </fill>
  </fills>
  <borders count="7">
    <border/>
    <border>
      <bottom style="thin">
        <color rgb="FF000000"/>
      </bottom>
    </border>
    <border>
      <left style="thin">
        <color rgb="FF000000"/>
      </left>
    </border>
    <border>
      <bottom style="thin">
        <color rgb="FFC5CAE9"/>
      </bottom>
    </border>
    <border>
      <right style="thin">
        <color rgb="FF000000"/>
      </right>
      <top style="thin">
        <color rgb="FF000000"/>
      </top>
    </border>
    <border>
      <right style="thin">
        <color rgb="FF000000"/>
      </right>
    </border>
    <border>
      <left style="thin">
        <color rgb="FFD9D9D9"/>
      </lef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shrinkToFit="0" vertical="top" wrapText="1"/>
    </xf>
    <xf borderId="1" fillId="0" fontId="4" numFmtId="0" xfId="0" applyBorder="1" applyFont="1"/>
    <xf borderId="0" fillId="0" fontId="5" numFmtId="0" xfId="0" applyAlignment="1" applyFont="1">
      <alignment readingOrder="0"/>
    </xf>
    <xf borderId="0" fillId="0" fontId="2" numFmtId="0" xfId="0" applyAlignment="1" applyFont="1">
      <alignment readingOrder="0"/>
    </xf>
    <xf borderId="0" fillId="0" fontId="6" numFmtId="0" xfId="0" applyAlignment="1" applyFont="1">
      <alignment readingOrder="0"/>
    </xf>
    <xf borderId="0" fillId="2" fontId="7" numFmtId="0" xfId="0" applyAlignment="1" applyFont="1">
      <alignment readingOrder="0"/>
    </xf>
    <xf borderId="0" fillId="3" fontId="8" numFmtId="0" xfId="0" applyAlignment="1" applyFill="1" applyFont="1">
      <alignment horizontal="left" vertical="center"/>
    </xf>
    <xf borderId="0" fillId="3" fontId="8" numFmtId="0" xfId="0" applyAlignment="1" applyFont="1">
      <alignment horizontal="left" readingOrder="0" vertical="center"/>
    </xf>
    <xf borderId="0" fillId="2" fontId="9" numFmtId="0" xfId="0" applyAlignment="1" applyFont="1">
      <alignment horizontal="left" shrinkToFit="0" vertical="bottom" wrapText="1"/>
    </xf>
    <xf borderId="0" fillId="2" fontId="10" numFmtId="0" xfId="0" applyAlignment="1" applyFont="1">
      <alignment horizontal="left" readingOrder="0" shrinkToFit="0" vertical="bottom" wrapText="1"/>
    </xf>
    <xf borderId="0" fillId="4" fontId="9" numFmtId="0" xfId="0" applyAlignment="1" applyFill="1" applyFont="1">
      <alignment horizontal="left" shrinkToFit="0" vertical="bottom" wrapText="1"/>
    </xf>
    <xf borderId="0" fillId="4" fontId="10" numFmtId="0" xfId="0" applyAlignment="1" applyFont="1">
      <alignment horizontal="left" shrinkToFit="0" vertical="bottom" wrapText="1"/>
    </xf>
    <xf borderId="0" fillId="4" fontId="9" numFmtId="0" xfId="0" applyAlignment="1" applyFont="1">
      <alignment horizontal="left" readingOrder="0" shrinkToFit="0" vertical="bottom" wrapText="1"/>
    </xf>
    <xf borderId="0" fillId="4" fontId="10" numFmtId="0" xfId="0" applyAlignment="1" applyFont="1">
      <alignment horizontal="left" readingOrder="0" shrinkToFit="0" vertical="bottom" wrapText="1"/>
    </xf>
    <xf borderId="0" fillId="2" fontId="10" numFmtId="0" xfId="0" applyAlignment="1" applyFont="1">
      <alignment horizontal="left" shrinkToFit="0" vertical="bottom" wrapText="1"/>
    </xf>
    <xf borderId="0" fillId="2" fontId="11" numFmtId="0" xfId="0" applyAlignment="1" applyFont="1">
      <alignment horizontal="left" readingOrder="0" shrinkToFit="0" vertical="bottom" wrapText="1"/>
    </xf>
    <xf borderId="0" fillId="4" fontId="9" numFmtId="0" xfId="0" applyAlignment="1" applyFont="1">
      <alignment horizontal="left" vertical="bottom"/>
    </xf>
    <xf borderId="0" fillId="2" fontId="9" numFmtId="0" xfId="0" applyAlignment="1" applyFont="1">
      <alignment horizontal="left" vertical="bottom"/>
    </xf>
    <xf borderId="0" fillId="2" fontId="9" numFmtId="0" xfId="0" applyAlignment="1" applyFont="1">
      <alignment horizontal="left" shrinkToFit="0" vertical="bottom" wrapText="1"/>
    </xf>
    <xf borderId="0" fillId="2" fontId="9" numFmtId="0" xfId="0" applyAlignment="1" applyFont="1">
      <alignment horizontal="left" readingOrder="0" shrinkToFit="0" vertical="bottom" wrapText="1"/>
    </xf>
    <xf borderId="0" fillId="0" fontId="6" numFmtId="0" xfId="0" applyAlignment="1" applyFont="1">
      <alignment horizontal="left" readingOrder="0" vertical="bottom"/>
    </xf>
    <xf borderId="0" fillId="0" fontId="6" numFmtId="0" xfId="0" applyAlignment="1" applyFont="1">
      <alignment horizontal="left" vertical="bottom"/>
    </xf>
    <xf borderId="0" fillId="0" fontId="6" numFmtId="0" xfId="0" applyFont="1"/>
    <xf borderId="0" fillId="0" fontId="6" numFmtId="0" xfId="0" applyAlignment="1" applyFont="1">
      <alignment horizontal="left"/>
    </xf>
    <xf borderId="0" fillId="0" fontId="6" numFmtId="0" xfId="0" applyAlignment="1" applyFont="1">
      <alignment horizontal="left" readingOrder="0" shrinkToFit="0" vertical="bottom" wrapText="1"/>
    </xf>
    <xf borderId="0" fillId="0" fontId="6" numFmtId="0" xfId="0" applyFont="1"/>
    <xf borderId="0" fillId="5" fontId="10" numFmtId="0" xfId="0" applyAlignment="1" applyFill="1" applyFont="1">
      <alignment horizontal="left" readingOrder="0" shrinkToFit="0" vertical="bottom" wrapText="1"/>
    </xf>
    <xf borderId="0" fillId="6" fontId="6" numFmtId="0" xfId="0" applyAlignment="1" applyFill="1" applyFont="1">
      <alignment horizontal="left" vertical="bottom"/>
    </xf>
    <xf borderId="0" fillId="6" fontId="6" numFmtId="0" xfId="0" applyAlignment="1" applyFont="1">
      <alignment horizontal="left" readingOrder="0" vertical="bottom"/>
    </xf>
    <xf borderId="0" fillId="7" fontId="12" numFmtId="0" xfId="0" applyAlignment="1" applyFill="1" applyFont="1">
      <alignment vertical="bottom"/>
    </xf>
    <xf borderId="0" fillId="7" fontId="13" numFmtId="0" xfId="0" applyAlignment="1" applyFont="1">
      <alignment horizontal="left" readingOrder="0" vertical="center"/>
    </xf>
    <xf borderId="0" fillId="7" fontId="13" numFmtId="0" xfId="0" applyAlignment="1" applyFont="1">
      <alignment horizontal="left" readingOrder="0" shrinkToFit="0" vertical="center" wrapText="0"/>
    </xf>
    <xf borderId="0" fillId="7" fontId="14" numFmtId="0" xfId="0" applyAlignment="1" applyFont="1">
      <alignment horizontal="left" readingOrder="0" vertical="center"/>
    </xf>
    <xf borderId="0" fillId="0" fontId="15" numFmtId="0" xfId="0" applyAlignment="1" applyFont="1">
      <alignment vertical="center"/>
    </xf>
    <xf borderId="0" fillId="0" fontId="15" numFmtId="0" xfId="0" applyAlignment="1" applyFont="1">
      <alignment readingOrder="0" vertical="center"/>
    </xf>
    <xf borderId="0" fillId="0" fontId="15" numFmtId="0" xfId="0" applyAlignment="1" applyFont="1">
      <alignment horizontal="left" vertical="center"/>
    </xf>
    <xf borderId="0" fillId="0" fontId="15" numFmtId="0" xfId="0" applyAlignment="1" applyFont="1">
      <alignment horizontal="center" vertical="center"/>
    </xf>
    <xf borderId="0" fillId="0" fontId="15" numFmtId="0" xfId="0" applyAlignment="1" applyFont="1">
      <alignment readingOrder="0" shrinkToFit="0" vertical="center" wrapText="1"/>
    </xf>
    <xf borderId="0" fillId="0" fontId="16" numFmtId="0" xfId="0" applyAlignment="1" applyFont="1">
      <alignment readingOrder="0" shrinkToFit="0" vertical="center" wrapText="0"/>
    </xf>
    <xf borderId="2" fillId="0" fontId="16" numFmtId="0" xfId="0" applyAlignment="1" applyBorder="1" applyFont="1">
      <alignment horizontal="center" readingOrder="0" shrinkToFit="0" vertical="center" wrapText="1"/>
    </xf>
    <xf borderId="3" fillId="8" fontId="17" numFmtId="0" xfId="0" applyAlignment="1" applyBorder="1" applyFill="1" applyFont="1">
      <alignment horizontal="center" readingOrder="0" shrinkToFit="0" vertical="center" wrapText="1"/>
    </xf>
    <xf borderId="0" fillId="0" fontId="18" numFmtId="0" xfId="0" applyAlignment="1" applyFont="1">
      <alignment vertical="top"/>
    </xf>
    <xf borderId="0" fillId="0" fontId="19" numFmtId="0" xfId="0" applyAlignment="1" applyFont="1">
      <alignment readingOrder="0" shrinkToFit="0" vertical="top" wrapText="1"/>
    </xf>
    <xf borderId="0" fillId="0" fontId="18" numFmtId="0" xfId="0" applyAlignment="1" applyFont="1">
      <alignment horizontal="left" vertical="top"/>
    </xf>
    <xf borderId="0" fillId="0" fontId="18" numFmtId="0" xfId="0" applyAlignment="1" applyFont="1">
      <alignment horizontal="center" vertical="top"/>
    </xf>
    <xf borderId="2" fillId="0" fontId="4" numFmtId="0" xfId="0" applyBorder="1" applyFont="1"/>
    <xf borderId="0" fillId="9" fontId="20" numFmtId="0" xfId="0" applyAlignment="1" applyFill="1" applyFont="1">
      <alignment vertical="bottom"/>
    </xf>
    <xf borderId="0" fillId="9" fontId="21" numFmtId="0" xfId="0" applyAlignment="1" applyFont="1">
      <alignment horizontal="left" readingOrder="0" shrinkToFit="0" vertical="center" wrapText="1"/>
    </xf>
    <xf borderId="0" fillId="9" fontId="22" numFmtId="0" xfId="0" applyAlignment="1" applyFont="1">
      <alignment horizontal="center" readingOrder="0" vertical="center"/>
    </xf>
    <xf borderId="0" fillId="9" fontId="22" numFmtId="0" xfId="0" applyAlignment="1" applyFont="1">
      <alignment horizontal="center" readingOrder="0" shrinkToFit="0" vertical="center" wrapText="0"/>
    </xf>
    <xf borderId="0" fillId="9" fontId="23" numFmtId="0" xfId="0" applyAlignment="1" applyFont="1">
      <alignment horizontal="left" readingOrder="0" vertical="center"/>
    </xf>
    <xf borderId="0" fillId="0" fontId="24" numFmtId="0" xfId="0" applyAlignment="1" applyFont="1">
      <alignment horizontal="center" readingOrder="0" vertical="center"/>
    </xf>
    <xf borderId="0" fillId="0" fontId="24" numFmtId="0" xfId="0" applyAlignment="1" applyFont="1">
      <alignment horizontal="center" readingOrder="0" shrinkToFit="0" vertical="center" wrapText="0"/>
    </xf>
    <xf borderId="2" fillId="0" fontId="24" numFmtId="0" xfId="0" applyAlignment="1" applyBorder="1" applyFont="1">
      <alignment horizontal="center" readingOrder="0" vertical="center"/>
    </xf>
    <xf borderId="0" fillId="8" fontId="15" numFmtId="0" xfId="0" applyAlignment="1" applyFont="1">
      <alignment vertical="center"/>
    </xf>
    <xf borderId="0" fillId="2" fontId="25" numFmtId="0" xfId="0" applyAlignment="1" applyFont="1">
      <alignment horizontal="center" readingOrder="0" vertical="top"/>
    </xf>
    <xf borderId="3" fillId="0" fontId="26" numFmtId="0" xfId="0" applyAlignment="1" applyBorder="1" applyFont="1">
      <alignment horizontal="center" shrinkToFit="0" vertical="center" wrapText="1"/>
    </xf>
    <xf borderId="3" fillId="0" fontId="26" numFmtId="0" xfId="0" applyAlignment="1" applyBorder="1" applyFont="1">
      <alignment horizontal="left" readingOrder="0" shrinkToFit="0" vertical="center" wrapText="1"/>
    </xf>
    <xf borderId="3" fillId="0" fontId="26" numFmtId="0" xfId="0" applyAlignment="1" applyBorder="1" applyFont="1">
      <alignment horizontal="center" readingOrder="0" shrinkToFit="0" vertical="center" wrapText="1"/>
    </xf>
    <xf borderId="3" fillId="0" fontId="26" numFmtId="0" xfId="0" applyAlignment="1" applyBorder="1" applyFont="1">
      <alignment horizontal="left" readingOrder="0" shrinkToFit="0" vertical="center" wrapText="0"/>
    </xf>
    <xf borderId="4" fillId="0" fontId="27" numFmtId="0" xfId="0" applyAlignment="1" applyBorder="1" applyFont="1">
      <alignment horizontal="center" readingOrder="0" vertical="center"/>
    </xf>
    <xf borderId="0" fillId="0" fontId="28" numFmtId="0" xfId="0" applyAlignment="1" applyFont="1">
      <alignment horizontal="center" readingOrder="0" shrinkToFit="0" vertical="center" wrapText="0"/>
    </xf>
    <xf borderId="0" fillId="0" fontId="28" numFmtId="0" xfId="0" applyAlignment="1" applyFont="1">
      <alignment horizontal="center" readingOrder="0" vertical="center"/>
    </xf>
    <xf borderId="2" fillId="0" fontId="28" numFmtId="0" xfId="0" applyAlignment="1" applyBorder="1" applyFont="1">
      <alignment horizontal="center" readingOrder="0" vertical="center"/>
    </xf>
    <xf borderId="0" fillId="2" fontId="25" numFmtId="0" xfId="0" applyAlignment="1" applyFont="1">
      <alignment horizontal="left" readingOrder="0" vertical="top"/>
    </xf>
    <xf borderId="0" fillId="0" fontId="29" numFmtId="9" xfId="0" applyAlignment="1" applyFont="1" applyNumberFormat="1">
      <alignment horizontal="center" vertical="center"/>
    </xf>
    <xf borderId="0" fillId="2" fontId="7" numFmtId="0" xfId="0" applyAlignment="1" applyFont="1">
      <alignment horizontal="left" readingOrder="0" vertical="center"/>
    </xf>
    <xf borderId="0" fillId="2" fontId="7" numFmtId="0" xfId="0" applyAlignment="1" applyFont="1">
      <alignment horizontal="center" readingOrder="0" vertical="center"/>
    </xf>
    <xf borderId="0" fillId="2" fontId="7" numFmtId="0" xfId="0" applyAlignment="1" applyFont="1">
      <alignment horizontal="left" readingOrder="0" shrinkToFit="0" vertical="center" wrapText="0"/>
    </xf>
    <xf borderId="5" fillId="2" fontId="30" numFmtId="2" xfId="0" applyAlignment="1" applyBorder="1" applyFont="1" applyNumberFormat="1">
      <alignment horizontal="center" readingOrder="0" shrinkToFit="0" vertical="center" wrapText="0"/>
    </xf>
    <xf borderId="0" fillId="2" fontId="7" numFmtId="1" xfId="0" applyAlignment="1" applyFont="1" applyNumberFormat="1">
      <alignment horizontal="center" readingOrder="0" shrinkToFit="0" vertical="center" wrapText="0"/>
    </xf>
    <xf borderId="6" fillId="2" fontId="7" numFmtId="1" xfId="0" applyAlignment="1" applyBorder="1" applyFont="1" applyNumberFormat="1">
      <alignment horizontal="center" readingOrder="0" shrinkToFit="0" vertical="center" wrapText="0"/>
    </xf>
    <xf borderId="2" fillId="2" fontId="7" numFmtId="2" xfId="0" applyAlignment="1" applyBorder="1" applyFont="1" applyNumberFormat="1">
      <alignment horizontal="center" readingOrder="0" shrinkToFit="0" vertical="center" wrapText="0"/>
    </xf>
    <xf borderId="0" fillId="8" fontId="7" numFmtId="164" xfId="0" applyAlignment="1" applyFont="1" applyNumberFormat="1">
      <alignment horizontal="center" vertical="center"/>
    </xf>
    <xf borderId="0" fillId="0" fontId="6" numFmtId="164" xfId="0" applyAlignment="1" applyFont="1" applyNumberFormat="1">
      <alignment readingOrder="0"/>
    </xf>
    <xf borderId="0" fillId="0" fontId="7" numFmtId="0" xfId="0" applyAlignment="1" applyFont="1">
      <alignment horizontal="center" vertical="center"/>
    </xf>
    <xf borderId="0" fillId="10" fontId="7" numFmtId="0" xfId="0" applyAlignment="1" applyFill="1" applyFont="1">
      <alignment horizontal="left" readingOrder="0" vertical="center"/>
    </xf>
    <xf borderId="0" fillId="10" fontId="7" numFmtId="0" xfId="0" applyAlignment="1" applyFont="1">
      <alignment horizontal="center" readingOrder="0" vertical="center"/>
    </xf>
    <xf borderId="0" fillId="10" fontId="7" numFmtId="0" xfId="0" applyAlignment="1" applyFont="1">
      <alignment horizontal="left" readingOrder="0" shrinkToFit="0" vertical="center" wrapText="0"/>
    </xf>
    <xf borderId="5" fillId="10" fontId="30" numFmtId="2" xfId="0" applyAlignment="1" applyBorder="1" applyFont="1" applyNumberFormat="1">
      <alignment horizontal="center" readingOrder="0" shrinkToFit="0" vertical="center" wrapText="0"/>
    </xf>
    <xf borderId="0" fillId="10" fontId="7" numFmtId="1" xfId="0" applyAlignment="1" applyFont="1" applyNumberFormat="1">
      <alignment horizontal="center" readingOrder="0" shrinkToFit="0" vertical="center" wrapText="0"/>
    </xf>
    <xf borderId="6" fillId="10" fontId="7" numFmtId="1" xfId="0" applyAlignment="1" applyBorder="1" applyFont="1" applyNumberFormat="1">
      <alignment horizontal="center" readingOrder="0" shrinkToFit="0" vertical="center" wrapText="0"/>
    </xf>
    <xf borderId="2" fillId="10" fontId="7" numFmtId="2" xfId="0" applyAlignment="1" applyBorder="1" applyFont="1" applyNumberFormat="1">
      <alignment horizontal="center" readingOrder="0" shrinkToFit="0" vertical="center" wrapText="0"/>
    </xf>
    <xf borderId="0" fillId="8" fontId="7" numFmtId="164" xfId="0" applyAlignment="1" applyFont="1" applyNumberFormat="1">
      <alignment horizontal="center" shrinkToFit="0" vertical="center" wrapText="1"/>
    </xf>
    <xf borderId="0" fillId="0" fontId="6" numFmtId="164" xfId="0" applyFont="1" applyNumberFormat="1"/>
    <xf borderId="0" fillId="2" fontId="7" numFmtId="1" xfId="0" applyAlignment="1" applyFont="1" applyNumberFormat="1">
      <alignment horizontal="center" readingOrder="0" shrinkToFit="0" vertical="center" wrapText="0"/>
    </xf>
    <xf borderId="0" fillId="10" fontId="7" numFmtId="1" xfId="0" applyAlignment="1" applyFont="1" applyNumberFormat="1">
      <alignment horizontal="center" readingOrder="0" shrinkToFit="0" vertical="center" wrapText="0"/>
    </xf>
    <xf borderId="6" fillId="10" fontId="7" numFmtId="1" xfId="0" applyAlignment="1" applyBorder="1" applyFont="1" applyNumberFormat="1">
      <alignment horizontal="center" readingOrder="0" shrinkToFit="0" vertical="center" wrapText="0"/>
    </xf>
    <xf borderId="0" fillId="11" fontId="7" numFmtId="0" xfId="0" applyAlignment="1" applyFill="1" applyFont="1">
      <alignment horizontal="center" vertical="center"/>
    </xf>
    <xf borderId="0" fillId="2" fontId="6" numFmtId="2" xfId="0" applyFont="1" applyNumberFormat="1"/>
    <xf borderId="0" fillId="2" fontId="6" numFmtId="1" xfId="0" applyFont="1" applyNumberFormat="1"/>
    <xf borderId="0" fillId="0" fontId="6" numFmtId="164" xfId="0" applyFont="1" applyNumberFormat="1"/>
    <xf borderId="0" fillId="12" fontId="31" numFmtId="0" xfId="0" applyAlignment="1" applyFill="1" applyFont="1">
      <alignment horizontal="center" readingOrder="0" vertical="center"/>
    </xf>
    <xf borderId="0" fillId="12" fontId="31" numFmtId="0" xfId="0" applyAlignment="1" applyFont="1">
      <alignment horizontal="left" readingOrder="0" vertical="center"/>
    </xf>
    <xf borderId="0" fillId="12" fontId="31" numFmtId="1" xfId="0" applyAlignment="1" applyFont="1" applyNumberFormat="1">
      <alignment horizontal="center" vertical="center"/>
    </xf>
    <xf borderId="2" fillId="12" fontId="31" numFmtId="164" xfId="0" applyAlignment="1" applyBorder="1" applyFont="1" applyNumberFormat="1">
      <alignment horizontal="center" vertical="center"/>
    </xf>
    <xf borderId="0" fillId="12" fontId="31" numFmtId="164" xfId="0" applyAlignment="1" applyFont="1" applyNumberFormat="1">
      <alignment horizontal="center" vertical="center"/>
    </xf>
    <xf borderId="0" fillId="9" fontId="32" numFmtId="0" xfId="0" applyAlignment="1" applyFont="1">
      <alignment vertical="center"/>
    </xf>
    <xf borderId="0" fillId="9" fontId="33" numFmtId="0" xfId="0" applyAlignment="1" applyFont="1">
      <alignment readingOrder="0" vertical="center"/>
    </xf>
    <xf borderId="0" fillId="9" fontId="33" numFmtId="0" xfId="0" applyAlignment="1" applyFont="1">
      <alignment horizontal="left" readingOrder="0" vertical="center"/>
    </xf>
    <xf borderId="0" fillId="9" fontId="33" numFmtId="0" xfId="0" applyAlignment="1" applyFont="1">
      <alignment horizontal="center" readingOrder="0" vertical="center"/>
    </xf>
    <xf borderId="0" fillId="9" fontId="32" numFmtId="1" xfId="0" applyAlignment="1" applyFont="1" applyNumberFormat="1">
      <alignment horizontal="center" vertical="center"/>
    </xf>
    <xf borderId="0" fillId="9" fontId="32" numFmtId="1" xfId="0" applyAlignment="1" applyFont="1" applyNumberFormat="1">
      <alignment horizontal="center" shrinkToFit="0" vertical="center" wrapText="0"/>
    </xf>
    <xf borderId="2" fillId="9" fontId="32" numFmtId="164" xfId="0" applyAlignment="1" applyBorder="1" applyFont="1" applyNumberFormat="1">
      <alignment horizontal="center" vertical="center"/>
    </xf>
    <xf borderId="0" fillId="9" fontId="32" numFmtId="164" xfId="0" applyAlignment="1" applyFont="1" applyNumberFormat="1">
      <alignment horizontal="center" vertical="center"/>
    </xf>
    <xf borderId="0" fillId="13" fontId="34" numFmtId="0" xfId="0" applyAlignment="1" applyFill="1" applyFont="1">
      <alignment vertical="bottom"/>
    </xf>
    <xf borderId="0" fillId="13" fontId="34" numFmtId="0" xfId="0" applyAlignment="1" applyFont="1">
      <alignment horizontal="left" vertical="bottom"/>
    </xf>
    <xf borderId="0" fillId="13" fontId="34" numFmtId="0" xfId="0" applyAlignment="1" applyFont="1">
      <alignment horizontal="center" vertical="bottom"/>
    </xf>
    <xf borderId="0" fillId="13" fontId="34" numFmtId="1" xfId="0" applyAlignment="1" applyFont="1" applyNumberFormat="1">
      <alignment horizontal="center" shrinkToFit="0" vertical="bottom" wrapText="0"/>
    </xf>
    <xf borderId="0" fillId="13" fontId="34" numFmtId="1" xfId="0" applyAlignment="1" applyFont="1" applyNumberFormat="1">
      <alignment horizontal="center" vertical="bottom"/>
    </xf>
    <xf borderId="2" fillId="13" fontId="34" numFmtId="0" xfId="0" applyAlignment="1" applyBorder="1" applyFont="1">
      <alignment horizontal="center" vertical="bottom"/>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2">
    <tableStyle count="2" pivot="0" name="AUDITIONEES-style">
      <tableStyleElement dxfId="1" type="firstRowStripe"/>
      <tableStyleElement dxfId="2" type="secondRowStripe"/>
    </tableStyle>
    <tableStyle count="2" pivot="0" name="SCORES-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26</xdr:row>
      <xdr:rowOff>104775</xdr:rowOff>
    </xdr:from>
    <xdr:ext cx="8639175" cy="112776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104775</xdr:colOff>
      <xdr:row>87</xdr:row>
      <xdr:rowOff>19050</xdr:rowOff>
    </xdr:from>
    <xdr:ext cx="1885950" cy="17811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2:K199" displayName="Table_1" 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AUDITIONEES-style" showColumnStripes="0" showFirstColumn="1" showLastColumn="1" showRowStripes="1"/>
</table>
</file>

<file path=xl/tables/table2.xml><?xml version="1.0" encoding="utf-8"?>
<table xmlns="http://schemas.openxmlformats.org/spreadsheetml/2006/main" headerRowCount="0" ref="O7:O204" displayName="Table_2" name="Table_2" id="2">
  <tableColumns count="1">
    <tableColumn name="Column1" id="1"/>
  </tableColumns>
  <tableStyleInfo name="SCOR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atthewmikitka60@gmail.com"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hidden="1" min="10" max="26" width="12.63"/>
  </cols>
  <sheetData>
    <row r="1">
      <c r="A1" s="1" t="s">
        <v>0</v>
      </c>
      <c r="B1" s="2"/>
      <c r="C1" s="2"/>
      <c r="D1" s="2"/>
      <c r="E1" s="2"/>
      <c r="F1" s="2"/>
      <c r="G1" s="2"/>
      <c r="H1" s="2"/>
      <c r="I1" s="2"/>
    </row>
    <row r="2">
      <c r="A2" s="3" t="s">
        <v>1</v>
      </c>
    </row>
    <row r="3" ht="14.25" customHeight="1"/>
    <row r="5" ht="184.5" customHeight="1">
      <c r="A5" s="4"/>
      <c r="B5" s="4"/>
      <c r="C5" s="4"/>
      <c r="D5" s="4"/>
      <c r="E5" s="4"/>
      <c r="F5" s="4"/>
      <c r="G5" s="4"/>
      <c r="H5" s="4"/>
      <c r="I5" s="4"/>
    </row>
    <row r="6">
      <c r="A6" s="5" t="s">
        <v>2</v>
      </c>
    </row>
    <row r="7">
      <c r="A7" s="6" t="s">
        <v>3</v>
      </c>
    </row>
    <row r="8">
      <c r="A8" s="2"/>
    </row>
    <row r="9">
      <c r="A9" s="6" t="s">
        <v>4</v>
      </c>
    </row>
    <row r="10">
      <c r="A10" s="7" t="s">
        <v>5</v>
      </c>
    </row>
    <row r="11">
      <c r="A11" s="6" t="s">
        <v>6</v>
      </c>
    </row>
    <row r="12">
      <c r="A12" s="6" t="s">
        <v>7</v>
      </c>
    </row>
    <row r="13">
      <c r="A13" s="2"/>
    </row>
    <row r="14">
      <c r="A14" s="6" t="s">
        <v>8</v>
      </c>
    </row>
    <row r="15">
      <c r="A15" s="2"/>
    </row>
    <row r="16">
      <c r="A16" s="6" t="s">
        <v>9</v>
      </c>
    </row>
    <row r="17">
      <c r="A17" s="6" t="s">
        <v>10</v>
      </c>
    </row>
    <row r="19">
      <c r="A19" s="6" t="s">
        <v>11</v>
      </c>
    </row>
    <row r="20">
      <c r="A20" s="2"/>
      <c r="B20" s="7" t="s">
        <v>12</v>
      </c>
    </row>
    <row r="21">
      <c r="A21" s="2"/>
      <c r="B21" s="7" t="s">
        <v>13</v>
      </c>
    </row>
    <row r="22">
      <c r="A22" s="2"/>
      <c r="B22" s="7" t="s">
        <v>14</v>
      </c>
    </row>
    <row r="23">
      <c r="A23" s="2"/>
      <c r="B23" s="7" t="s">
        <v>15</v>
      </c>
    </row>
    <row r="24">
      <c r="A24" s="2"/>
    </row>
    <row r="25">
      <c r="A25" s="6" t="s">
        <v>16</v>
      </c>
    </row>
    <row r="26">
      <c r="A26" s="2"/>
    </row>
    <row r="27">
      <c r="A27" s="2"/>
    </row>
    <row r="28">
      <c r="A28" s="2"/>
    </row>
    <row r="29">
      <c r="A29" s="2"/>
    </row>
    <row r="30">
      <c r="A30" s="2"/>
    </row>
    <row r="31">
      <c r="A31" s="2"/>
    </row>
    <row r="32">
      <c r="A32" s="2"/>
    </row>
    <row r="33">
      <c r="A33" s="2"/>
    </row>
    <row r="34">
      <c r="A34" s="2"/>
    </row>
    <row r="35">
      <c r="A35" s="2"/>
    </row>
    <row r="36">
      <c r="A36" s="2"/>
    </row>
    <row r="37">
      <c r="A37" s="2"/>
    </row>
    <row r="38">
      <c r="A38" s="2"/>
    </row>
    <row r="39">
      <c r="A39" s="2"/>
    </row>
    <row r="40">
      <c r="A40" s="2"/>
    </row>
    <row r="41">
      <c r="A41" s="2"/>
    </row>
    <row r="42">
      <c r="A42" s="2"/>
    </row>
    <row r="43">
      <c r="A43" s="2"/>
    </row>
    <row r="44">
      <c r="A44" s="2"/>
    </row>
    <row r="45">
      <c r="A45" s="2"/>
    </row>
    <row r="46">
      <c r="A46" s="2"/>
    </row>
    <row r="47">
      <c r="A47" s="2"/>
    </row>
    <row r="48">
      <c r="A48" s="2"/>
    </row>
    <row r="49">
      <c r="A49" s="2"/>
    </row>
    <row r="50">
      <c r="A50" s="2"/>
    </row>
    <row r="51">
      <c r="A51" s="2"/>
    </row>
    <row r="52">
      <c r="A52" s="2"/>
    </row>
    <row r="53">
      <c r="A53" s="2"/>
    </row>
    <row r="54">
      <c r="A54" s="2"/>
    </row>
    <row r="55">
      <c r="A55" s="2"/>
    </row>
    <row r="56">
      <c r="A56" s="2"/>
    </row>
    <row r="57">
      <c r="A57" s="2"/>
    </row>
    <row r="58">
      <c r="A58" s="2"/>
    </row>
    <row r="59">
      <c r="A59" s="2"/>
    </row>
    <row r="60">
      <c r="A60" s="2"/>
    </row>
    <row r="61">
      <c r="A61" s="2"/>
    </row>
    <row r="62">
      <c r="A62" s="2"/>
    </row>
    <row r="63">
      <c r="A63" s="2"/>
    </row>
    <row r="64">
      <c r="A64" s="2"/>
    </row>
    <row r="65">
      <c r="A65" s="2"/>
    </row>
    <row r="66">
      <c r="A66" s="2"/>
    </row>
    <row r="67">
      <c r="A67" s="2"/>
    </row>
    <row r="68">
      <c r="A68" s="2"/>
    </row>
    <row r="69">
      <c r="A69" s="2"/>
    </row>
    <row r="70">
      <c r="A70" s="2"/>
    </row>
    <row r="71">
      <c r="A71" s="2"/>
    </row>
    <row r="72">
      <c r="A72" s="2"/>
    </row>
    <row r="73">
      <c r="A73" s="2"/>
    </row>
    <row r="74">
      <c r="A74" s="2"/>
    </row>
    <row r="75">
      <c r="A75" s="2"/>
    </row>
    <row r="76">
      <c r="A76" s="2"/>
    </row>
    <row r="77">
      <c r="A77" s="2"/>
    </row>
    <row r="78">
      <c r="A78" s="2"/>
    </row>
    <row r="79">
      <c r="A79" s="2"/>
    </row>
    <row r="80">
      <c r="A80" s="2"/>
    </row>
    <row r="81">
      <c r="A81" s="2"/>
    </row>
    <row r="82">
      <c r="A82" s="2"/>
    </row>
    <row r="83">
      <c r="A83" s="2"/>
    </row>
    <row r="84">
      <c r="A84" s="2"/>
    </row>
    <row r="85">
      <c r="A85" s="8" t="s">
        <v>17</v>
      </c>
    </row>
    <row r="86">
      <c r="A86" s="2"/>
    </row>
    <row r="87">
      <c r="A87" s="2"/>
    </row>
    <row r="88">
      <c r="A88" s="2"/>
    </row>
    <row r="89">
      <c r="A89" s="2"/>
    </row>
    <row r="90">
      <c r="A90" s="2"/>
    </row>
    <row r="91">
      <c r="A91" s="2"/>
    </row>
    <row r="92">
      <c r="A92" s="2"/>
    </row>
    <row r="93">
      <c r="A93" s="2"/>
    </row>
    <row r="94">
      <c r="A94" s="2"/>
    </row>
    <row r="95">
      <c r="A95" s="2"/>
    </row>
    <row r="96">
      <c r="A96" s="2"/>
    </row>
    <row r="97">
      <c r="A97" s="2"/>
    </row>
    <row r="98">
      <c r="A98" s="2"/>
    </row>
    <row r="99">
      <c r="A99" s="2"/>
    </row>
    <row r="100">
      <c r="A100" s="2"/>
    </row>
  </sheetData>
  <mergeCells count="1">
    <mergeCell ref="A2:I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7" max="7" width="13.5"/>
    <col customWidth="1" min="8" max="8" width="49.13"/>
    <col customWidth="1" min="9" max="11" width="27.13"/>
  </cols>
  <sheetData>
    <row r="1">
      <c r="A1" s="9" t="s">
        <v>18</v>
      </c>
      <c r="B1" s="9" t="s">
        <v>19</v>
      </c>
      <c r="C1" s="9" t="s">
        <v>20</v>
      </c>
      <c r="D1" s="10" t="s">
        <v>21</v>
      </c>
      <c r="E1" s="9" t="s">
        <v>22</v>
      </c>
      <c r="F1" s="10" t="s">
        <v>23</v>
      </c>
      <c r="G1" s="10" t="s">
        <v>24</v>
      </c>
      <c r="H1" s="10" t="s">
        <v>25</v>
      </c>
      <c r="I1" s="10" t="s">
        <v>26</v>
      </c>
      <c r="J1" s="10" t="s">
        <v>27</v>
      </c>
      <c r="K1" s="10" t="s">
        <v>28</v>
      </c>
    </row>
    <row r="2">
      <c r="A2" s="11" t="str">
        <f>IFERROR(__xludf.DUMMYFUNCTION("IMPORTRANGE(""https://docs.google.com/spreadsheets/d/10AI9-waAHr7TUMK--PHi5qSTJFU5OxHK06UzTiWu4Xg/edit#gid=583284878"",""AUDITIONEES!A2:J199"")"),"EG8049")</f>
        <v>EG8049</v>
      </c>
      <c r="B2" s="11" t="str">
        <f>IFERROR(__xludf.DUMMYFUNCTION("""COMPUTED_VALUE"""),"Gonzalez")</f>
        <v>Gonzalez</v>
      </c>
      <c r="C2" s="11" t="str">
        <f>IFERROR(__xludf.DUMMYFUNCTION("""COMPUTED_VALUE"""),"Emilio")</f>
        <v>Emilio</v>
      </c>
      <c r="D2" s="12" t="str">
        <f>IFERROR(__xludf.DUMMYFUNCTION("""COMPUTED_VALUE"""),"He/Him")</f>
        <v>He/Him</v>
      </c>
      <c r="E2" s="12" t="str">
        <f>IFERROR(__xludf.DUMMYFUNCTION("""COMPUTED_VALUE"""),"Snare")</f>
        <v>Snare</v>
      </c>
      <c r="F2" s="12">
        <f>IFERROR(__xludf.DUMMYFUNCTION("""COMPUTED_VALUE"""),22.0)</f>
        <v>22</v>
      </c>
      <c r="G2" s="12" t="str">
        <f>IFERROR(__xludf.DUMMYFUNCTION("""COMPUTED_VALUE"""),"i3")</f>
        <v>i3</v>
      </c>
      <c r="H2" s="12" t="str">
        <f>IFERROR(__xludf.DUMMYFUNCTION("""COMPUTED_VALUE"""),"Infinity 3 2022 Snare
Atlas 2023 Snare")</f>
        <v>Infinity 3 2022 Snare
Atlas 2023 Snare</v>
      </c>
      <c r="I2" s="12" t="str">
        <f>IFERROR(__xludf.DUMMYFUNCTION("""COMPUTED_VALUE"""),"Emilio Gonzalez")</f>
        <v>Emilio Gonzalez</v>
      </c>
      <c r="J2" s="12" t="str">
        <f>IFERROR(__xludf.DUMMYFUNCTION("""COMPUTED_VALUE"""),"esgonzalez01@gmail.com")</f>
        <v>esgonzalez01@gmail.com</v>
      </c>
      <c r="K2" s="12"/>
    </row>
    <row r="3">
      <c r="A3" s="13" t="str">
        <f>IFERROR(__xludf.DUMMYFUNCTION("""COMPUTED_VALUE"""),"MC8052")</f>
        <v>MC8052</v>
      </c>
      <c r="B3" s="11" t="str">
        <f>IFERROR(__xludf.DUMMYFUNCTION("""COMPUTED_VALUE"""),"Cintrón Aguiló")</f>
        <v>Cintrón Aguiló</v>
      </c>
      <c r="C3" s="13" t="str">
        <f>IFERROR(__xludf.DUMMYFUNCTION("""COMPUTED_VALUE"""),"Maité")</f>
        <v>Maité</v>
      </c>
      <c r="D3" s="14" t="str">
        <f>IFERROR(__xludf.DUMMYFUNCTION("""COMPUTED_VALUE"""),"SHE/HER")</f>
        <v>SHE/HER</v>
      </c>
      <c r="E3" s="14" t="str">
        <f>IFERROR(__xludf.DUMMYFUNCTION("""COMPUTED_VALUE"""),"Snare")</f>
        <v>Snare</v>
      </c>
      <c r="F3" s="14">
        <f>IFERROR(__xludf.DUMMYFUNCTION("""COMPUTED_VALUE"""),22.0)</f>
        <v>22</v>
      </c>
      <c r="G3" s="14" t="str">
        <f>IFERROR(__xludf.DUMMYFUNCTION("""COMPUTED_VALUE"""),"i3")</f>
        <v>i3</v>
      </c>
      <c r="H3" s="14" t="str">
        <f>IFERROR(__xludf.DUMMYFUNCTION("""COMPUTED_VALUE"""),"Lake Howell Silver Regiment 
Rollins College Music Major
Infinity 3 ‘22
Atlas percussion’23")</f>
        <v>Lake Howell Silver Regiment 
Rollins College Music Major
Infinity 3 ‘22
Atlas percussion’23</v>
      </c>
      <c r="I3" s="12" t="str">
        <f>IFERROR(__xludf.DUMMYFUNCTION("""COMPUTED_VALUE"""),"Maité Cintrón Aguiló")</f>
        <v>Maité Cintrón Aguiló</v>
      </c>
      <c r="J3" s="12" t="str">
        <f>IFERROR(__xludf.DUMMYFUNCTION("""COMPUTED_VALUE"""),"maitecintronaguilo@gmail.com")</f>
        <v>maitecintronaguilo@gmail.com</v>
      </c>
      <c r="K3" s="12"/>
    </row>
    <row r="4">
      <c r="A4" s="15" t="str">
        <f>IFERROR(__xludf.DUMMYFUNCTION("""COMPUTED_VALUE"""),"DO8056")</f>
        <v>DO8056</v>
      </c>
      <c r="B4" s="11" t="str">
        <f>IFERROR(__xludf.DUMMYFUNCTION("""COMPUTED_VALUE"""),"Ortiz Rosario ")</f>
        <v>Ortiz Rosario </v>
      </c>
      <c r="C4" s="15" t="str">
        <f>IFERROR(__xludf.DUMMYFUNCTION("""COMPUTED_VALUE"""),"Dilanys")</f>
        <v>Dilanys</v>
      </c>
      <c r="D4" s="16" t="str">
        <f>IFERROR(__xludf.DUMMYFUNCTION("""COMPUTED_VALUE"""),"She/they")</f>
        <v>She/they</v>
      </c>
      <c r="E4" s="16" t="str">
        <f>IFERROR(__xludf.DUMMYFUNCTION("""COMPUTED_VALUE"""),"Bass")</f>
        <v>Bass</v>
      </c>
      <c r="F4" s="16">
        <f>IFERROR(__xludf.DUMMYFUNCTION("""COMPUTED_VALUE"""),18.0)</f>
        <v>18</v>
      </c>
      <c r="G4" s="16" t="str">
        <f>IFERROR(__xludf.DUMMYFUNCTION("""COMPUTED_VALUE"""),"hs")</f>
        <v>hs</v>
      </c>
      <c r="H4" s="16" t="str">
        <f>IFERROR(__xludf.DUMMYFUNCTION("""COMPUTED_VALUE"""),"3 years on Sunlake High School’s Indoor Percussion Ensemble bassline, 2 years on Sunlake High School’s Marching Band.")</f>
        <v>3 years on Sunlake High School’s Indoor Percussion Ensemble bassline, 2 years on Sunlake High School’s Marching Band.</v>
      </c>
      <c r="I4" s="12" t="str">
        <f>IFERROR(__xludf.DUMMYFUNCTION("""COMPUTED_VALUE"""),"Dilanys Ortiz Rosario ")</f>
        <v>Dilanys Ortiz Rosario </v>
      </c>
      <c r="J4" s="12" t="str">
        <f>IFERROR(__xludf.DUMMYFUNCTION("""COMPUTED_VALUE"""),"ortizdilanys@gmail.com")</f>
        <v>ortizdilanys@gmail.com</v>
      </c>
      <c r="K4" s="12"/>
    </row>
    <row r="5">
      <c r="A5" s="13" t="str">
        <f>IFERROR(__xludf.DUMMYFUNCTION("""COMPUTED_VALUE"""),"RG8057")</f>
        <v>RG8057</v>
      </c>
      <c r="B5" s="11" t="str">
        <f>IFERROR(__xludf.DUMMYFUNCTION("""COMPUTED_VALUE"""),"Gee")</f>
        <v>Gee</v>
      </c>
      <c r="C5" s="13" t="str">
        <f>IFERROR(__xludf.DUMMYFUNCTION("""COMPUTED_VALUE"""),"Riley")</f>
        <v>Riley</v>
      </c>
      <c r="D5" s="14" t="str">
        <f>IFERROR(__xludf.DUMMYFUNCTION("""COMPUTED_VALUE"""),"He/Him")</f>
        <v>He/Him</v>
      </c>
      <c r="E5" s="14" t="str">
        <f>IFERROR(__xludf.DUMMYFUNCTION("""COMPUTED_VALUE"""),"Snare")</f>
        <v>Snare</v>
      </c>
      <c r="F5" s="14">
        <f>IFERROR(__xludf.DUMMYFUNCTION("""COMPUTED_VALUE"""),21.0)</f>
        <v>21</v>
      </c>
      <c r="G5" s="16" t="str">
        <f>IFERROR(__xludf.DUMMYFUNCTION("""COMPUTED_VALUE"""),"i1")</f>
        <v>i1</v>
      </c>
      <c r="H5" s="16" t="str">
        <f>IFERROR(__xludf.DUMMYFUNCTION("""COMPUTED_VALUE"""),"Infinity (PIW) 2023, Infinity 3 (PIO) 2022, Unity Percussion (PIO) 2019&amp;2020, UF Drumline 2020&amp;2021, SFHS Indoor 2018, Gainesville High School MB 2016-2020")</f>
        <v>Infinity (PIW) 2023, Infinity 3 (PIO) 2022, Unity Percussion (PIO) 2019&amp;2020, UF Drumline 2020&amp;2021, SFHS Indoor 2018, Gainesville High School MB 2016-2020</v>
      </c>
      <c r="I5" s="12" t="str">
        <f>IFERROR(__xludf.DUMMYFUNCTION("""COMPUTED_VALUE"""),"Riley Gee")</f>
        <v>Riley Gee</v>
      </c>
      <c r="J5" s="12" t="str">
        <f>IFERROR(__xludf.DUMMYFUNCTION("""COMPUTED_VALUE"""),"jamesrileygee@gmail.com")</f>
        <v>jamesrileygee@gmail.com</v>
      </c>
      <c r="K5" s="12"/>
    </row>
    <row r="6">
      <c r="A6" s="11" t="str">
        <f>IFERROR(__xludf.DUMMYFUNCTION("""COMPUTED_VALUE"""),"AW8068")</f>
        <v>AW8068</v>
      </c>
      <c r="B6" s="11" t="str">
        <f>IFERROR(__xludf.DUMMYFUNCTION("""COMPUTED_VALUE"""),"Welch")</f>
        <v>Welch</v>
      </c>
      <c r="C6" s="11" t="str">
        <f>IFERROR(__xludf.DUMMYFUNCTION("""COMPUTED_VALUE"""),"Ashlyn")</f>
        <v>Ashlyn</v>
      </c>
      <c r="D6" s="17" t="str">
        <f>IFERROR(__xludf.DUMMYFUNCTION("""COMPUTED_VALUE"""),"She/her")</f>
        <v>She/her</v>
      </c>
      <c r="E6" s="17" t="str">
        <f>IFERROR(__xludf.DUMMYFUNCTION("""COMPUTED_VALUE"""),"Visual Ensemble")</f>
        <v>Visual Ensemble</v>
      </c>
      <c r="F6" s="17">
        <f>IFERROR(__xludf.DUMMYFUNCTION("""COMPUTED_VALUE"""),21.0)</f>
        <v>21</v>
      </c>
      <c r="G6" s="17" t="str">
        <f>IFERROR(__xludf.DUMMYFUNCTION("""COMPUTED_VALUE"""),"i1")</f>
        <v>i1</v>
      </c>
      <c r="H6" s="17" t="str">
        <f>IFERROR(__xludf.DUMMYFUNCTION("""COMPUTED_VALUE"""),"Infinity 2 ‘22, infinity world ‘23 ")</f>
        <v>Infinity 2 ‘22, infinity world ‘23 </v>
      </c>
      <c r="I6" s="12" t="str">
        <f>IFERROR(__xludf.DUMMYFUNCTION("""COMPUTED_VALUE"""),"Ashlyn Welch")</f>
        <v>Ashlyn Welch</v>
      </c>
      <c r="J6" s="12" t="str">
        <f>IFERROR(__xludf.DUMMYFUNCTION("""COMPUTED_VALUE"""),"ashlynw5460@gmail.com")</f>
        <v>ashlynw5460@gmail.com</v>
      </c>
      <c r="K6" s="12"/>
    </row>
    <row r="7">
      <c r="A7" s="13" t="str">
        <f>IFERROR(__xludf.DUMMYFUNCTION("""COMPUTED_VALUE"""),"JY8069")</f>
        <v>JY8069</v>
      </c>
      <c r="B7" s="11" t="str">
        <f>IFERROR(__xludf.DUMMYFUNCTION("""COMPUTED_VALUE"""),"Yu")</f>
        <v>Yu</v>
      </c>
      <c r="C7" s="13" t="str">
        <f>IFERROR(__xludf.DUMMYFUNCTION("""COMPUTED_VALUE"""),"Jonathan")</f>
        <v>Jonathan</v>
      </c>
      <c r="D7" s="14" t="str">
        <f>IFERROR(__xludf.DUMMYFUNCTION("""COMPUTED_VALUE"""),"He/Him")</f>
        <v>He/Him</v>
      </c>
      <c r="E7" s="14" t="str">
        <f>IFERROR(__xludf.DUMMYFUNCTION("""COMPUTED_VALUE"""),"Snare")</f>
        <v>Snare</v>
      </c>
      <c r="F7" s="14">
        <f>IFERROR(__xludf.DUMMYFUNCTION("""COMPUTED_VALUE"""),21.0)</f>
        <v>21</v>
      </c>
      <c r="G7" s="14" t="str">
        <f>IFERROR(__xludf.DUMMYFUNCTION("""COMPUTED_VALUE"""),"i1")</f>
        <v>i1</v>
      </c>
      <c r="H7" s="14" t="str">
        <f>IFERROR(__xludf.DUMMYFUNCTION("""COMPUTED_VALUE"""),"I3 20-21
I2 22
Infinity world 23")</f>
        <v>I3 20-21
I2 22
Infinity world 23</v>
      </c>
      <c r="I7" s="12" t="str">
        <f>IFERROR(__xludf.DUMMYFUNCTION("""COMPUTED_VALUE"""),"Jonathan Yu")</f>
        <v>Jonathan Yu</v>
      </c>
      <c r="J7" s="12" t="str">
        <f>IFERROR(__xludf.DUMMYFUNCTION("""COMPUTED_VALUE"""),"yuj0601@gmail.com")</f>
        <v>yuj0601@gmail.com</v>
      </c>
      <c r="K7" s="12"/>
    </row>
    <row r="8">
      <c r="A8" s="11" t="str">
        <f>IFERROR(__xludf.DUMMYFUNCTION("""COMPUTED_VALUE"""),"DH8064")</f>
        <v>DH8064</v>
      </c>
      <c r="B8" s="11" t="str">
        <f>IFERROR(__xludf.DUMMYFUNCTION("""COMPUTED_VALUE"""),"Hubbell")</f>
        <v>Hubbell</v>
      </c>
      <c r="C8" s="11" t="str">
        <f>IFERROR(__xludf.DUMMYFUNCTION("""COMPUTED_VALUE"""),"Dylan")</f>
        <v>Dylan</v>
      </c>
      <c r="D8" s="17" t="str">
        <f>IFERROR(__xludf.DUMMYFUNCTION("""COMPUTED_VALUE"""),"He/Him")</f>
        <v>He/Him</v>
      </c>
      <c r="E8" s="17" t="str">
        <f>IFERROR(__xludf.DUMMYFUNCTION("""COMPUTED_VALUE"""),"Snare")</f>
        <v>Snare</v>
      </c>
      <c r="F8" s="17">
        <f>IFERROR(__xludf.DUMMYFUNCTION("""COMPUTED_VALUE"""),19.0)</f>
        <v>19</v>
      </c>
      <c r="G8" s="17" t="str">
        <f>IFERROR(__xludf.DUMMYFUNCTION("""COMPUTED_VALUE"""),"hs")</f>
        <v>hs</v>
      </c>
      <c r="H8" s="17" t="str">
        <f>IFERROR(__xludf.DUMMYFUNCTION("""COMPUTED_VALUE"""),"Palmetto Ridge HS 2019-2023       [Trombone 2yrs, snare 2 years]")</f>
        <v>Palmetto Ridge HS 2019-2023       [Trombone 2yrs, snare 2 years]</v>
      </c>
      <c r="I8" s="12" t="str">
        <f>IFERROR(__xludf.DUMMYFUNCTION("""COMPUTED_VALUE"""),"Dylan Hubbell")</f>
        <v>Dylan Hubbell</v>
      </c>
      <c r="J8" s="12" t="str">
        <f>IFERROR(__xludf.DUMMYFUNCTION("""COMPUTED_VALUE"""),"FLAMEHEADEXTREME@gmail.com")</f>
        <v>FLAMEHEADEXTREME@gmail.com</v>
      </c>
      <c r="K8" s="12"/>
    </row>
    <row r="9">
      <c r="A9" s="13" t="str">
        <f>IFERROR(__xludf.DUMMYFUNCTION("""COMPUTED_VALUE"""),"MM8075")</f>
        <v>MM8075</v>
      </c>
      <c r="B9" s="11" t="str">
        <f>IFERROR(__xludf.DUMMYFUNCTION("""COMPUTED_VALUE"""),"Mikitka")</f>
        <v>Mikitka</v>
      </c>
      <c r="C9" s="13" t="str">
        <f>IFERROR(__xludf.DUMMYFUNCTION("""COMPUTED_VALUE"""),"Matthew")</f>
        <v>Matthew</v>
      </c>
      <c r="D9" s="16" t="str">
        <f>IFERROR(__xludf.DUMMYFUNCTION("""COMPUTED_VALUE"""),"He/Him/His")</f>
        <v>He/Him/His</v>
      </c>
      <c r="E9" s="16" t="str">
        <f>IFERROR(__xludf.DUMMYFUNCTION("""COMPUTED_VALUE"""),"Visual Ensemble")</f>
        <v>Visual Ensemble</v>
      </c>
      <c r="F9" s="14">
        <f>IFERROR(__xludf.DUMMYFUNCTION("""COMPUTED_VALUE"""),22.0)</f>
        <v>22</v>
      </c>
      <c r="G9" s="14" t="str">
        <f>IFERROR(__xludf.DUMMYFUNCTION("""COMPUTED_VALUE"""),"i2")</f>
        <v>i2</v>
      </c>
      <c r="H9" s="14" t="str">
        <f>IFERROR(__xludf.DUMMYFUNCTION("""COMPUTED_VALUE"""),"University High School marching band 2016-2020(16-17 Trumpet, 17-20 Drum Major)
University High School Indoor Percussion VE 2020
Youth Brass Band of Central Florida 2019(Tenor Horn)
Madison Scouts Drum and Bugle Corps 2021-2023(21-22 Trumpet Section Le"&amp;"ader, 2023 Horn Sergeant)
Infinity 2 Percussion 2023 Visual Ensemble ")</f>
        <v>University High School marching band 2016-2020(16-17 Trumpet, 17-20 Drum Major)
University High School Indoor Percussion VE 2020
Youth Brass Band of Central Florida 2019(Tenor Horn)
Madison Scouts Drum and Bugle Corps 2021-2023(21-22 Trumpet Section Leader, 2023 Horn Sergeant)
Infinity 2 Percussion 2023 Visual Ensemble </v>
      </c>
      <c r="I9" s="12" t="str">
        <f>IFERROR(__xludf.DUMMYFUNCTION("""COMPUTED_VALUE"""),"Matthew Mikitka")</f>
        <v>Matthew Mikitka</v>
      </c>
      <c r="J9" s="18" t="str">
        <f>IFERROR(__xludf.DUMMYFUNCTION("""COMPUTED_VALUE"""),"matthewmikitka60@gmail.com")</f>
        <v>matthewmikitka60@gmail.com</v>
      </c>
      <c r="K9" s="12"/>
    </row>
    <row r="10">
      <c r="A10" s="11" t="str">
        <f>IFERROR(__xludf.DUMMYFUNCTION("""COMPUTED_VALUE"""),"SE8065")</f>
        <v>SE8065</v>
      </c>
      <c r="B10" s="11" t="str">
        <f>IFERROR(__xludf.DUMMYFUNCTION("""COMPUTED_VALUE"""),"Evans")</f>
        <v>Evans</v>
      </c>
      <c r="C10" s="11" t="str">
        <f>IFERROR(__xludf.DUMMYFUNCTION("""COMPUTED_VALUE"""),"Stevan")</f>
        <v>Stevan</v>
      </c>
      <c r="D10" s="12" t="str">
        <f>IFERROR(__xludf.DUMMYFUNCTION("""COMPUTED_VALUE"""),"he/him")</f>
        <v>he/him</v>
      </c>
      <c r="E10" s="12" t="str">
        <f>IFERROR(__xludf.DUMMYFUNCTION("""COMPUTED_VALUE"""),"Snare")</f>
        <v>Snare</v>
      </c>
      <c r="F10" s="17">
        <f>IFERROR(__xludf.DUMMYFUNCTION("""COMPUTED_VALUE"""),20.0)</f>
        <v>20</v>
      </c>
      <c r="G10" s="17" t="str">
        <f>IFERROR(__xludf.DUMMYFUNCTION("""COMPUTED_VALUE"""),"pia")</f>
        <v>pia</v>
      </c>
      <c r="H10" s="17" t="str">
        <f>IFERROR(__xludf.DUMMYFUNCTION("""COMPUTED_VALUE"""),"Ridgeview High School Marching Band 2017, 2018, 2019, 2020
Ridgeview Indoor Winds 2021
Ridgeview Indoor Percussion 2019, 2020
Conflux Percussion 2021, 2022, 2023
(YouTube Competitions for EMC Productions, Marching Performances - 4th place 2020, 1st place "&amp;"tied 2021, 11th place 2022)")</f>
        <v>Ridgeview High School Marching Band 2017, 2018, 2019, 2020
Ridgeview Indoor Winds 2021
Ridgeview Indoor Percussion 2019, 2020
Conflux Percussion 2021, 2022, 2023
(YouTube Competitions for EMC Productions, Marching Performances - 4th place 2020, 1st place tied 2021, 11th place 2022)</v>
      </c>
      <c r="I10" s="12" t="str">
        <f>IFERROR(__xludf.DUMMYFUNCTION("""COMPUTED_VALUE"""),"Stevan Evans")</f>
        <v>Stevan Evans</v>
      </c>
      <c r="J10" s="12" t="str">
        <f>IFERROR(__xludf.DUMMYFUNCTION("""COMPUTED_VALUE"""),"stevan909090@gmail.com")</f>
        <v>stevan909090@gmail.com</v>
      </c>
      <c r="K10" s="12"/>
    </row>
    <row r="11">
      <c r="A11" s="19" t="str">
        <f>IFERROR(__xludf.DUMMYFUNCTION("""COMPUTED_VALUE"""),"SS8062")</f>
        <v>SS8062</v>
      </c>
      <c r="B11" s="11" t="str">
        <f>IFERROR(__xludf.DUMMYFUNCTION("""COMPUTED_VALUE"""),"Schuster")</f>
        <v>Schuster</v>
      </c>
      <c r="C11" s="13" t="str">
        <f>IFERROR(__xludf.DUMMYFUNCTION("""COMPUTED_VALUE"""),"Stanton")</f>
        <v>Stanton</v>
      </c>
      <c r="D11" s="13" t="str">
        <f>IFERROR(__xludf.DUMMYFUNCTION("""COMPUTED_VALUE"""),"he/him, they/them")</f>
        <v>he/him, they/them</v>
      </c>
      <c r="E11" s="13" t="str">
        <f>IFERROR(__xludf.DUMMYFUNCTION("""COMPUTED_VALUE"""),"Bass")</f>
        <v>Bass</v>
      </c>
      <c r="F11" s="13">
        <f>IFERROR(__xludf.DUMMYFUNCTION("""COMPUTED_VALUE"""),17.0)</f>
        <v>17</v>
      </c>
      <c r="G11" s="13" t="str">
        <f>IFERROR(__xludf.DUMMYFUNCTION("""COMPUTED_VALUE"""),"hs")</f>
        <v>hs</v>
      </c>
      <c r="H11" s="13" t="str">
        <f>IFERROR(__xludf.DUMMYFUNCTION("""COMPUTED_VALUE"""),"1 season competitive marching band, 1 year jazz band, 1 season indoor percussion scholastic A class")</f>
        <v>1 season competitive marching band, 1 year jazz band, 1 season indoor percussion scholastic A class</v>
      </c>
      <c r="I11" s="12" t="str">
        <f>IFERROR(__xludf.DUMMYFUNCTION("""COMPUTED_VALUE"""),"Stanton Schuster")</f>
        <v>Stanton Schuster</v>
      </c>
      <c r="J11" s="12" t="str">
        <f>IFERROR(__xludf.DUMMYFUNCTION("""COMPUTED_VALUE"""),"schustertb12@gmail.com")</f>
        <v>schustertb12@gmail.com</v>
      </c>
      <c r="K11" s="12"/>
    </row>
    <row r="12">
      <c r="A12" s="20" t="str">
        <f>IFERROR(__xludf.DUMMYFUNCTION("""COMPUTED_VALUE"""),"SJ8083")</f>
        <v>SJ8083</v>
      </c>
      <c r="B12" s="11" t="str">
        <f>IFERROR(__xludf.DUMMYFUNCTION("""COMPUTED_VALUE"""),"Johnson")</f>
        <v>Johnson</v>
      </c>
      <c r="C12" s="21" t="str">
        <f>IFERROR(__xludf.DUMMYFUNCTION("""COMPUTED_VALUE"""),"Sam")</f>
        <v>Sam</v>
      </c>
      <c r="D12" s="21" t="str">
        <f>IFERROR(__xludf.DUMMYFUNCTION("""COMPUTED_VALUE"""),"She/her")</f>
        <v>She/her</v>
      </c>
      <c r="E12" s="21" t="str">
        <f>IFERROR(__xludf.DUMMYFUNCTION("""COMPUTED_VALUE"""),"Tenor")</f>
        <v>Tenor</v>
      </c>
      <c r="F12" s="21">
        <f>IFERROR(__xludf.DUMMYFUNCTION("""COMPUTED_VALUE"""),19.0)</f>
        <v>19</v>
      </c>
      <c r="G12" s="21" t="str">
        <f>IFERROR(__xludf.DUMMYFUNCTION("""COMPUTED_VALUE"""),"dca")</f>
        <v>dca</v>
      </c>
      <c r="H12" s="21" t="str">
        <f>IFERROR(__xludf.DUMMYFUNCTION("""COMPUTED_VALUE"""),"Fleming Island High School marching band 4 years, Heat Wave 2023, UCF Marching Knights 2023")</f>
        <v>Fleming Island High School marching band 4 years, Heat Wave 2023, UCF Marching Knights 2023</v>
      </c>
      <c r="I12" s="12" t="str">
        <f>IFERROR(__xludf.DUMMYFUNCTION("""COMPUTED_VALUE"""),"Sam Johnson")</f>
        <v>Sam Johnson</v>
      </c>
      <c r="J12" s="12" t="str">
        <f>IFERROR(__xludf.DUMMYFUNCTION("""COMPUTED_VALUE"""),"spicylife1580@gmail.com")</f>
        <v>spicylife1580@gmail.com</v>
      </c>
      <c r="K12" s="12"/>
    </row>
    <row r="13">
      <c r="A13" s="13" t="str">
        <f>IFERROR(__xludf.DUMMYFUNCTION("""COMPUTED_VALUE"""),"BD8080")</f>
        <v>BD8080</v>
      </c>
      <c r="B13" s="11" t="str">
        <f>IFERROR(__xludf.DUMMYFUNCTION("""COMPUTED_VALUE"""),"Dozier")</f>
        <v>Dozier</v>
      </c>
      <c r="C13" s="13" t="str">
        <f>IFERROR(__xludf.DUMMYFUNCTION("""COMPUTED_VALUE"""),"Brenden")</f>
        <v>Brenden</v>
      </c>
      <c r="D13" s="14" t="str">
        <f>IFERROR(__xludf.DUMMYFUNCTION("""COMPUTED_VALUE"""),"He/him")</f>
        <v>He/him</v>
      </c>
      <c r="E13" s="14" t="str">
        <f>IFERROR(__xludf.DUMMYFUNCTION("""COMPUTED_VALUE"""),"Bass")</f>
        <v>Bass</v>
      </c>
      <c r="F13" s="14">
        <f>IFERROR(__xludf.DUMMYFUNCTION("""COMPUTED_VALUE"""),21.0)</f>
        <v>21</v>
      </c>
      <c r="G13" s="14" t="str">
        <f>IFERROR(__xludf.DUMMYFUNCTION("""COMPUTED_VALUE"""),"i2")</f>
        <v>i2</v>
      </c>
      <c r="H13" s="14" t="str">
        <f>IFERROR(__xludf.DUMMYFUNCTION("""COMPUTED_VALUE"""),"Infinity3 2022, infinity2 2023")</f>
        <v>Infinity3 2022, infinity2 2023</v>
      </c>
      <c r="I13" s="12" t="str">
        <f>IFERROR(__xludf.DUMMYFUNCTION("""COMPUTED_VALUE"""),"Brenden Dozier")</f>
        <v>Brenden Dozier</v>
      </c>
      <c r="J13" s="12" t="str">
        <f>IFERROR(__xludf.DUMMYFUNCTION("""COMPUTED_VALUE"""),"bdozier5172@gmail.com")</f>
        <v>bdozier5172@gmail.com</v>
      </c>
      <c r="K13" s="12"/>
    </row>
    <row r="14">
      <c r="A14" s="11" t="str">
        <f>IFERROR(__xludf.DUMMYFUNCTION("""COMPUTED_VALUE"""),"CB8093")</f>
        <v>CB8093</v>
      </c>
      <c r="B14" s="11" t="str">
        <f>IFERROR(__xludf.DUMMYFUNCTION("""COMPUTED_VALUE"""),"Bronson")</f>
        <v>Bronson</v>
      </c>
      <c r="C14" s="11" t="str">
        <f>IFERROR(__xludf.DUMMYFUNCTION("""COMPUTED_VALUE"""),"Carly")</f>
        <v>Carly</v>
      </c>
      <c r="D14" s="17" t="str">
        <f>IFERROR(__xludf.DUMMYFUNCTION("""COMPUTED_VALUE"""),"She/They")</f>
        <v>She/They</v>
      </c>
      <c r="E14" s="17" t="str">
        <f>IFERROR(__xludf.DUMMYFUNCTION("""COMPUTED_VALUE"""),"Visual Ensemble")</f>
        <v>Visual Ensemble</v>
      </c>
      <c r="F14" s="17">
        <f>IFERROR(__xludf.DUMMYFUNCTION("""COMPUTED_VALUE"""),18.0)</f>
        <v>18</v>
      </c>
      <c r="G14" s="17" t="str">
        <f>IFERROR(__xludf.DUMMYFUNCTION("""COMPUTED_VALUE"""),"i1")</f>
        <v>i1</v>
      </c>
      <c r="H14" s="17" t="str">
        <f>IFERROR(__xludf.DUMMYFUNCTION("""COMPUTED_VALUE"""),"Infinity Percussion 2023, Wiregrass Ranch High School Winterguard 2021 and 2022, Wiregrass Ranch High School Colorguard 2019-2022, studio dance 2007-2019")</f>
        <v>Infinity Percussion 2023, Wiregrass Ranch High School Winterguard 2021 and 2022, Wiregrass Ranch High School Colorguard 2019-2022, studio dance 2007-2019</v>
      </c>
      <c r="I14" s="12" t="str">
        <f>IFERROR(__xludf.DUMMYFUNCTION("""COMPUTED_VALUE"""),"Carly Bronson")</f>
        <v>Carly Bronson</v>
      </c>
      <c r="J14" s="12" t="str">
        <f>IFERROR(__xludf.DUMMYFUNCTION("""COMPUTED_VALUE"""),"cjb6265@icloud.com")</f>
        <v>cjb6265@icloud.com</v>
      </c>
      <c r="K14" s="12"/>
    </row>
    <row r="15">
      <c r="A15" s="13" t="str">
        <f>IFERROR(__xludf.DUMMYFUNCTION("""COMPUTED_VALUE"""),"SG8076")</f>
        <v>SG8076</v>
      </c>
      <c r="B15" s="11" t="str">
        <f>IFERROR(__xludf.DUMMYFUNCTION("""COMPUTED_VALUE"""),"Ganser")</f>
        <v>Ganser</v>
      </c>
      <c r="C15" s="13" t="str">
        <f>IFERROR(__xludf.DUMMYFUNCTION("""COMPUTED_VALUE"""),"Sydney ")</f>
        <v>Sydney </v>
      </c>
      <c r="D15" s="14"/>
      <c r="E15" s="14" t="str">
        <f>IFERROR(__xludf.DUMMYFUNCTION("""COMPUTED_VALUE"""),"Visual Ensemble")</f>
        <v>Visual Ensemble</v>
      </c>
      <c r="F15" s="14">
        <f>IFERROR(__xludf.DUMMYFUNCTION("""COMPUTED_VALUE"""),21.0)</f>
        <v>21</v>
      </c>
      <c r="G15" s="14" t="str">
        <f>IFERROR(__xludf.DUMMYFUNCTION("""COMPUTED_VALUE"""),"i1")</f>
        <v>i1</v>
      </c>
      <c r="H15" s="14" t="str">
        <f>IFERROR(__xludf.DUMMYFUNCTION("""COMPUTED_VALUE"""),"Oviedo Colorguard 2016-2020
Infinity percussion World 2022 and 2023")</f>
        <v>Oviedo Colorguard 2016-2020
Infinity percussion World 2022 and 2023</v>
      </c>
      <c r="I15" s="12" t="str">
        <f>IFERROR(__xludf.DUMMYFUNCTION("""COMPUTED_VALUE"""),"Sydney  Ganser")</f>
        <v>Sydney  Ganser</v>
      </c>
      <c r="J15" s="12" t="str">
        <f>IFERROR(__xludf.DUMMYFUNCTION("""COMPUTED_VALUE"""),"sydney81802@gmail.com")</f>
        <v>sydney81802@gmail.com</v>
      </c>
      <c r="K15" s="12"/>
    </row>
    <row r="16">
      <c r="A16" s="11" t="str">
        <f>IFERROR(__xludf.DUMMYFUNCTION("""COMPUTED_VALUE"""),"AM8079")</f>
        <v>AM8079</v>
      </c>
      <c r="B16" s="11" t="str">
        <f>IFERROR(__xludf.DUMMYFUNCTION("""COMPUTED_VALUE"""),"Marquez")</f>
        <v>Marquez</v>
      </c>
      <c r="C16" s="11" t="str">
        <f>IFERROR(__xludf.DUMMYFUNCTION("""COMPUTED_VALUE"""),"Adrianna")</f>
        <v>Adrianna</v>
      </c>
      <c r="D16" s="17" t="str">
        <f>IFERROR(__xludf.DUMMYFUNCTION("""COMPUTED_VALUE"""),"She/her")</f>
        <v>She/her</v>
      </c>
      <c r="E16" s="17" t="str">
        <f>IFERROR(__xludf.DUMMYFUNCTION("""COMPUTED_VALUE"""),"Bass")</f>
        <v>Bass</v>
      </c>
      <c r="F16" s="17">
        <f>IFERROR(__xludf.DUMMYFUNCTION("""COMPUTED_VALUE"""),22.0)</f>
        <v>22</v>
      </c>
      <c r="G16" s="17" t="str">
        <f>IFERROR(__xludf.DUMMYFUNCTION("""COMPUTED_VALUE"""),"i1")</f>
        <v>i1</v>
      </c>
      <c r="H16" s="17" t="str">
        <f>IFERROR(__xludf.DUMMYFUNCTION("""COMPUTED_VALUE"""),"Infinity 3 2021, Blue Stars 2021-2022, Infinity 2022-2023")</f>
        <v>Infinity 3 2021, Blue Stars 2021-2022, Infinity 2022-2023</v>
      </c>
      <c r="I16" s="12" t="str">
        <f>IFERROR(__xludf.DUMMYFUNCTION("""COMPUTED_VALUE"""),"Adrianna Marquez")</f>
        <v>Adrianna Marquez</v>
      </c>
      <c r="J16" s="12" t="str">
        <f>IFERROR(__xludf.DUMMYFUNCTION("""COMPUTED_VALUE"""),"adrianna8470@gmail.com")</f>
        <v>adrianna8470@gmail.com</v>
      </c>
      <c r="K16" s="12"/>
    </row>
    <row r="17">
      <c r="A17" s="13" t="str">
        <f>IFERROR(__xludf.DUMMYFUNCTION("""COMPUTED_VALUE"""),"ZU8095")</f>
        <v>ZU8095</v>
      </c>
      <c r="B17" s="11" t="str">
        <f>IFERROR(__xludf.DUMMYFUNCTION("""COMPUTED_VALUE"""),"Urmos")</f>
        <v>Urmos</v>
      </c>
      <c r="C17" s="13" t="str">
        <f>IFERROR(__xludf.DUMMYFUNCTION("""COMPUTED_VALUE"""),"Zachary")</f>
        <v>Zachary</v>
      </c>
      <c r="D17" s="14" t="str">
        <f>IFERROR(__xludf.DUMMYFUNCTION("""COMPUTED_VALUE"""),"He him")</f>
        <v>He him</v>
      </c>
      <c r="E17" s="14" t="str">
        <f>IFERROR(__xludf.DUMMYFUNCTION("""COMPUTED_VALUE"""),"Bass")</f>
        <v>Bass</v>
      </c>
      <c r="F17" s="14">
        <f>IFERROR(__xludf.DUMMYFUNCTION("""COMPUTED_VALUE"""),19.0)</f>
        <v>19</v>
      </c>
      <c r="G17" s="14" t="str">
        <f>IFERROR(__xludf.DUMMYFUNCTION("""COMPUTED_VALUE"""),"pio")</f>
        <v>pio</v>
      </c>
      <c r="H17" s="14" t="str">
        <f>IFERROR(__xludf.DUMMYFUNCTION("""COMPUTED_VALUE"""),"University high school - 2020-2023
Atlas percussion PIO -2023")</f>
        <v>University high school - 2020-2023
Atlas percussion PIO -2023</v>
      </c>
      <c r="I17" s="12" t="str">
        <f>IFERROR(__xludf.DUMMYFUNCTION("""COMPUTED_VALUE"""),"Zachary Urmos")</f>
        <v>Zachary Urmos</v>
      </c>
      <c r="J17" s="12" t="str">
        <f>IFERROR(__xludf.DUMMYFUNCTION("""COMPUTED_VALUE"""),"akoreanxach@gmail.com")</f>
        <v>akoreanxach@gmail.com</v>
      </c>
      <c r="K17" s="12"/>
    </row>
    <row r="18">
      <c r="A18" s="11" t="str">
        <f>IFERROR(__xludf.DUMMYFUNCTION("""COMPUTED_VALUE"""),"PC8096")</f>
        <v>PC8096</v>
      </c>
      <c r="B18" s="11" t="str">
        <f>IFERROR(__xludf.DUMMYFUNCTION("""COMPUTED_VALUE"""),"Coffey")</f>
        <v>Coffey</v>
      </c>
      <c r="C18" s="11" t="str">
        <f>IFERROR(__xludf.DUMMYFUNCTION("""COMPUTED_VALUE"""),"Peter")</f>
        <v>Peter</v>
      </c>
      <c r="D18" s="17"/>
      <c r="E18" s="17" t="str">
        <f>IFERROR(__xludf.DUMMYFUNCTION("""COMPUTED_VALUE"""),"Snare")</f>
        <v>Snare</v>
      </c>
      <c r="F18" s="17">
        <f>IFERROR(__xludf.DUMMYFUNCTION("""COMPUTED_VALUE"""),17.0)</f>
        <v>17</v>
      </c>
      <c r="G18" s="17" t="str">
        <f>IFERROR(__xludf.DUMMYFUNCTION("""COMPUTED_VALUE"""),"hs")</f>
        <v>hs</v>
      </c>
      <c r="H18" s="17" t="str">
        <f>IFERROR(__xludf.DUMMYFUNCTION("""COMPUTED_VALUE"""),"Melbourne High School Marching Band 2021-2023
Viera Indoor Percussion 2023")</f>
        <v>Melbourne High School Marching Band 2021-2023
Viera Indoor Percussion 2023</v>
      </c>
      <c r="I18" s="12" t="str">
        <f>IFERROR(__xludf.DUMMYFUNCTION("""COMPUTED_VALUE"""),"Peter Coffey")</f>
        <v>Peter Coffey</v>
      </c>
      <c r="J18" s="12" t="str">
        <f>IFERROR(__xludf.DUMMYFUNCTION("""COMPUTED_VALUE"""),"prcoffey2006@gmail.com")</f>
        <v>prcoffey2006@gmail.com</v>
      </c>
      <c r="K18" s="12"/>
    </row>
    <row r="19">
      <c r="A19" s="13" t="str">
        <f>IFERROR(__xludf.DUMMYFUNCTION("""COMPUTED_VALUE"""),"GB8101")</f>
        <v>GB8101</v>
      </c>
      <c r="B19" s="11" t="str">
        <f>IFERROR(__xludf.DUMMYFUNCTION("""COMPUTED_VALUE"""),"Barnes")</f>
        <v>Barnes</v>
      </c>
      <c r="C19" s="15" t="str">
        <f>IFERROR(__xludf.DUMMYFUNCTION("""COMPUTED_VALUE"""),"Garrett")</f>
        <v>Garrett</v>
      </c>
      <c r="D19" s="14" t="str">
        <f>IFERROR(__xludf.DUMMYFUNCTION("""COMPUTED_VALUE"""),"He/Him")</f>
        <v>He/Him</v>
      </c>
      <c r="E19" s="14" t="str">
        <f>IFERROR(__xludf.DUMMYFUNCTION("""COMPUTED_VALUE"""),"Tenor")</f>
        <v>Tenor</v>
      </c>
      <c r="F19" s="16">
        <f>IFERROR(__xludf.DUMMYFUNCTION("""COMPUTED_VALUE"""),18.0)</f>
        <v>18</v>
      </c>
      <c r="G19" s="16" t="str">
        <f>IFERROR(__xludf.DUMMYFUNCTION("""COMPUTED_VALUE"""),"hs")</f>
        <v>hs</v>
      </c>
      <c r="H19" s="16" t="str">
        <f>IFERROR(__xludf.DUMMYFUNCTION("""COMPUTED_VALUE"""),"HB Plant High School indoor since 2022")</f>
        <v>HB Plant High School indoor since 2022</v>
      </c>
      <c r="I19" s="12" t="str">
        <f>IFERROR(__xludf.DUMMYFUNCTION("""COMPUTED_VALUE"""),"Garrett Barnes")</f>
        <v>Garrett Barnes</v>
      </c>
      <c r="J19" s="12" t="str">
        <f>IFERROR(__xludf.DUMMYFUNCTION("""COMPUTED_VALUE"""),"gbarnes244@yahoo.com")</f>
        <v>gbarnes244@yahoo.com</v>
      </c>
      <c r="K19" s="12"/>
    </row>
    <row r="20">
      <c r="A20" s="11" t="str">
        <f>IFERROR(__xludf.DUMMYFUNCTION("""COMPUTED_VALUE"""),"BG8104")</f>
        <v>BG8104</v>
      </c>
      <c r="B20" s="11" t="str">
        <f>IFERROR(__xludf.DUMMYFUNCTION("""COMPUTED_VALUE"""),"Gorske")</f>
        <v>Gorske</v>
      </c>
      <c r="C20" s="11" t="str">
        <f>IFERROR(__xludf.DUMMYFUNCTION("""COMPUTED_VALUE"""),"Brad")</f>
        <v>Brad</v>
      </c>
      <c r="D20" s="17" t="str">
        <f>IFERROR(__xludf.DUMMYFUNCTION("""COMPUTED_VALUE"""),"He/Him")</f>
        <v>He/Him</v>
      </c>
      <c r="E20" s="17" t="str">
        <f>IFERROR(__xludf.DUMMYFUNCTION("""COMPUTED_VALUE"""),"Snare")</f>
        <v>Snare</v>
      </c>
      <c r="F20" s="17">
        <f>IFERROR(__xludf.DUMMYFUNCTION("""COMPUTED_VALUE"""),22.0)</f>
        <v>22</v>
      </c>
      <c r="G20" s="17" t="str">
        <f>IFERROR(__xludf.DUMMYFUNCTION("""COMPUTED_VALUE"""),"i2")</f>
        <v>i2</v>
      </c>
      <c r="H20" s="17" t="str">
        <f>IFERROR(__xludf.DUMMYFUNCTION("""COMPUTED_VALUE"""),"Unity Percussion 2018-2020 - Snare
Infinity 2 2022-2023 - Snare")</f>
        <v>Unity Percussion 2018-2020 - Snare
Infinity 2 2022-2023 - Snare</v>
      </c>
      <c r="I20" s="12" t="str">
        <f>IFERROR(__xludf.DUMMYFUNCTION("""COMPUTED_VALUE"""),"Brad Gorske")</f>
        <v>Brad Gorske</v>
      </c>
      <c r="J20" s="12" t="str">
        <f>IFERROR(__xludf.DUMMYFUNCTION("""COMPUTED_VALUE"""),"bradgorske@gmail.com")</f>
        <v>bradgorske@gmail.com</v>
      </c>
      <c r="K20" s="12"/>
    </row>
    <row r="21">
      <c r="A21" s="13" t="str">
        <f>IFERROR(__xludf.DUMMYFUNCTION("""COMPUTED_VALUE"""),"HS8105")</f>
        <v>HS8105</v>
      </c>
      <c r="B21" s="11" t="str">
        <f>IFERROR(__xludf.DUMMYFUNCTION("""COMPUTED_VALUE"""),"Slay")</f>
        <v>Slay</v>
      </c>
      <c r="C21" s="13" t="str">
        <f>IFERROR(__xludf.DUMMYFUNCTION("""COMPUTED_VALUE"""),"Hannah")</f>
        <v>Hannah</v>
      </c>
      <c r="D21" s="14" t="str">
        <f>IFERROR(__xludf.DUMMYFUNCTION("""COMPUTED_VALUE"""),"She/her")</f>
        <v>She/her</v>
      </c>
      <c r="E21" s="14" t="str">
        <f>IFERROR(__xludf.DUMMYFUNCTION("""COMPUTED_VALUE"""),"Bass")</f>
        <v>Bass</v>
      </c>
      <c r="F21" s="14">
        <f>IFERROR(__xludf.DUMMYFUNCTION("""COMPUTED_VALUE"""),19.0)</f>
        <v>19</v>
      </c>
      <c r="G21" s="14" t="str">
        <f>IFERROR(__xludf.DUMMYFUNCTION("""COMPUTED_VALUE"""),"hs")</f>
        <v>hs</v>
      </c>
      <c r="H21" s="14" t="str">
        <f>IFERROR(__xludf.DUMMYFUNCTION("""COMPUTED_VALUE"""),"Marched 4 seasons of indoor with high school and 4 seasons with marching band ")</f>
        <v>Marched 4 seasons of indoor with high school and 4 seasons with marching band </v>
      </c>
      <c r="I21" s="12" t="str">
        <f>IFERROR(__xludf.DUMMYFUNCTION("""COMPUTED_VALUE"""),"Hannah Slay")</f>
        <v>Hannah Slay</v>
      </c>
      <c r="J21" s="12" t="str">
        <f>IFERROR(__xludf.DUMMYFUNCTION("""COMPUTED_VALUE"""),"HB7529@comcast.net")</f>
        <v>HB7529@comcast.net</v>
      </c>
      <c r="K21" s="12"/>
    </row>
    <row r="22">
      <c r="A22" s="11" t="str">
        <f>IFERROR(__xludf.DUMMYFUNCTION("""COMPUTED_VALUE"""),"CT8107")</f>
        <v>CT8107</v>
      </c>
      <c r="B22" s="11" t="str">
        <f>IFERROR(__xludf.DUMMYFUNCTION("""COMPUTED_VALUE"""),"Touchton")</f>
        <v>Touchton</v>
      </c>
      <c r="C22" s="11" t="str">
        <f>IFERROR(__xludf.DUMMYFUNCTION("""COMPUTED_VALUE"""),"Christian")</f>
        <v>Christian</v>
      </c>
      <c r="D22" s="17"/>
      <c r="E22" s="17" t="str">
        <f>IFERROR(__xludf.DUMMYFUNCTION("""COMPUTED_VALUE"""),"Snare")</f>
        <v>Snare</v>
      </c>
      <c r="F22" s="17">
        <f>IFERROR(__xludf.DUMMYFUNCTION("""COMPUTED_VALUE"""),22.0)</f>
        <v>22</v>
      </c>
      <c r="G22" s="17" t="str">
        <f>IFERROR(__xludf.DUMMYFUNCTION("""COMPUTED_VALUE"""),"pia")</f>
        <v>pia</v>
      </c>
      <c r="H22" s="17" t="str">
        <f>IFERROR(__xludf.DUMMYFUNCTION("""COMPUTED_VALUE"""),"Sandalwood High ‘15-‘19
Conflux Percussion ‘17, ‘20-‘23")</f>
        <v>Sandalwood High ‘15-‘19
Conflux Percussion ‘17, ‘20-‘23</v>
      </c>
      <c r="I22" s="12" t="str">
        <f>IFERROR(__xludf.DUMMYFUNCTION("""COMPUTED_VALUE"""),"Christian Touchton")</f>
        <v>Christian Touchton</v>
      </c>
      <c r="J22" s="12" t="str">
        <f>IFERROR(__xludf.DUMMYFUNCTION("""COMPUTED_VALUE"""),"ctouchton89@gmail.com")</f>
        <v>ctouchton89@gmail.com</v>
      </c>
      <c r="K22" s="12"/>
    </row>
    <row r="23">
      <c r="A23" s="13" t="str">
        <f>IFERROR(__xludf.DUMMYFUNCTION("""COMPUTED_VALUE"""),"EP8106")</f>
        <v>EP8106</v>
      </c>
      <c r="B23" s="11" t="str">
        <f>IFERROR(__xludf.DUMMYFUNCTION("""COMPUTED_VALUE"""),"Perez")</f>
        <v>Perez</v>
      </c>
      <c r="C23" s="13" t="str">
        <f>IFERROR(__xludf.DUMMYFUNCTION("""COMPUTED_VALUE"""),"Eric")</f>
        <v>Eric</v>
      </c>
      <c r="D23" s="14" t="str">
        <f>IFERROR(__xludf.DUMMYFUNCTION("""COMPUTED_VALUE"""),"He/Him")</f>
        <v>He/Him</v>
      </c>
      <c r="E23" s="14" t="str">
        <f>IFERROR(__xludf.DUMMYFUNCTION("""COMPUTED_VALUE"""),"Bass")</f>
        <v>Bass</v>
      </c>
      <c r="F23" s="14">
        <f>IFERROR(__xludf.DUMMYFUNCTION("""COMPUTED_VALUE"""),22.0)</f>
        <v>22</v>
      </c>
      <c r="G23" s="14" t="str">
        <f>IFERROR(__xludf.DUMMYFUNCTION("""COMPUTED_VALUE"""),"piw")</f>
        <v>piw</v>
      </c>
      <c r="H23" s="14" t="str">
        <f>IFERROR(__xludf.DUMMYFUNCTION("""COMPUTED_VALUE"""),"STRYKE perc (SP2) - 2022
STRYKE perc (SPW) - 2023
Colts Drum and Bugle Corps - 2023")</f>
        <v>STRYKE perc (SP2) - 2022
STRYKE perc (SPW) - 2023
Colts Drum and Bugle Corps - 2023</v>
      </c>
      <c r="I23" s="12" t="str">
        <f>IFERROR(__xludf.DUMMYFUNCTION("""COMPUTED_VALUE"""),"Eric Perez")</f>
        <v>Eric Perez</v>
      </c>
      <c r="J23" s="12" t="str">
        <f>IFERROR(__xludf.DUMMYFUNCTION("""COMPUTED_VALUE"""),"Perez.er04@gmail.com")</f>
        <v>Perez.er04@gmail.com</v>
      </c>
      <c r="K23" s="12"/>
    </row>
    <row r="24">
      <c r="A24" s="11" t="str">
        <f>IFERROR(__xludf.DUMMYFUNCTION("""COMPUTED_VALUE"""),"IM8108")</f>
        <v>IM8108</v>
      </c>
      <c r="B24" s="11" t="str">
        <f>IFERROR(__xludf.DUMMYFUNCTION("""COMPUTED_VALUE"""),"Moss")</f>
        <v>Moss</v>
      </c>
      <c r="C24" s="11" t="str">
        <f>IFERROR(__xludf.DUMMYFUNCTION("""COMPUTED_VALUE"""),"Isaac")</f>
        <v>Isaac</v>
      </c>
      <c r="D24" s="17"/>
      <c r="E24" s="17" t="str">
        <f>IFERROR(__xludf.DUMMYFUNCTION("""COMPUTED_VALUE"""),"Snare")</f>
        <v>Snare</v>
      </c>
      <c r="F24" s="17">
        <f>IFERROR(__xludf.DUMMYFUNCTION("""COMPUTED_VALUE"""),16.0)</f>
        <v>16</v>
      </c>
      <c r="G24" s="17" t="str">
        <f>IFERROR(__xludf.DUMMYFUNCTION("""COMPUTED_VALUE"""),"hs")</f>
        <v>hs</v>
      </c>
      <c r="H24" s="17" t="str">
        <f>IFERROR(__xludf.DUMMYFUNCTION("""COMPUTED_VALUE"""),"Viera High Marching
Viera High Indoor")</f>
        <v>Viera High Marching
Viera High Indoor</v>
      </c>
      <c r="I24" s="12" t="str">
        <f>IFERROR(__xludf.DUMMYFUNCTION("""COMPUTED_VALUE"""),"Isaac Moss")</f>
        <v>Isaac Moss</v>
      </c>
      <c r="J24" s="12" t="str">
        <f>IFERROR(__xludf.DUMMYFUNCTION("""COMPUTED_VALUE"""),"isaacandrewmoss@gmail.com")</f>
        <v>isaacandrewmoss@gmail.com</v>
      </c>
      <c r="K24" s="12"/>
    </row>
    <row r="25">
      <c r="A25" s="13" t="str">
        <f>IFERROR(__xludf.DUMMYFUNCTION("""COMPUTED_VALUE"""),"KM8109")</f>
        <v>KM8109</v>
      </c>
      <c r="B25" s="11" t="str">
        <f>IFERROR(__xludf.DUMMYFUNCTION("""COMPUTED_VALUE"""),"McCarty")</f>
        <v>McCarty</v>
      </c>
      <c r="C25" s="13" t="str">
        <f>IFERROR(__xludf.DUMMYFUNCTION("""COMPUTED_VALUE"""),"Katie")</f>
        <v>Katie</v>
      </c>
      <c r="D25" s="14" t="str">
        <f>IFERROR(__xludf.DUMMYFUNCTION("""COMPUTED_VALUE"""),"She/Her")</f>
        <v>She/Her</v>
      </c>
      <c r="E25" s="14" t="str">
        <f>IFERROR(__xludf.DUMMYFUNCTION("""COMPUTED_VALUE"""),"Snare")</f>
        <v>Snare</v>
      </c>
      <c r="F25" s="14">
        <f>IFERROR(__xludf.DUMMYFUNCTION("""COMPUTED_VALUE"""),21.0)</f>
        <v>21</v>
      </c>
      <c r="G25" s="14" t="str">
        <f>IFERROR(__xludf.DUMMYFUNCTION("""COMPUTED_VALUE"""),"i2")</f>
        <v>i2</v>
      </c>
      <c r="H25" s="14" t="str">
        <f>IFERROR(__xludf.DUMMYFUNCTION("""COMPUTED_VALUE"""),"James W Mitchell High School Indoor Percussion 2021
Infinity 2 2023")</f>
        <v>James W Mitchell High School Indoor Percussion 2021
Infinity 2 2023</v>
      </c>
      <c r="I25" s="12" t="str">
        <f>IFERROR(__xludf.DUMMYFUNCTION("""COMPUTED_VALUE"""),"Katie McCarty")</f>
        <v>Katie McCarty</v>
      </c>
      <c r="J25" s="12" t="str">
        <f>IFERROR(__xludf.DUMMYFUNCTION("""COMPUTED_VALUE"""),"kmccarty02@hotmail.com")</f>
        <v>kmccarty02@hotmail.com</v>
      </c>
      <c r="K25" s="12"/>
    </row>
    <row r="26">
      <c r="A26" s="11" t="str">
        <f>IFERROR(__xludf.DUMMYFUNCTION("""COMPUTED_VALUE"""),"BL8110")</f>
        <v>BL8110</v>
      </c>
      <c r="B26" s="11" t="str">
        <f>IFERROR(__xludf.DUMMYFUNCTION("""COMPUTED_VALUE"""),"Landry")</f>
        <v>Landry</v>
      </c>
      <c r="C26" s="11" t="str">
        <f>IFERROR(__xludf.DUMMYFUNCTION("""COMPUTED_VALUE"""),"Bryce")</f>
        <v>Bryce</v>
      </c>
      <c r="D26" s="17" t="str">
        <f>IFERROR(__xludf.DUMMYFUNCTION("""COMPUTED_VALUE"""),"He/Him")</f>
        <v>He/Him</v>
      </c>
      <c r="E26" s="17" t="str">
        <f>IFERROR(__xludf.DUMMYFUNCTION("""COMPUTED_VALUE"""),"Tenor")</f>
        <v>Tenor</v>
      </c>
      <c r="F26" s="17">
        <f>IFERROR(__xludf.DUMMYFUNCTION("""COMPUTED_VALUE"""),20.0)</f>
        <v>20</v>
      </c>
      <c r="G26" s="17" t="str">
        <f>IFERROR(__xludf.DUMMYFUNCTION("""COMPUTED_VALUE"""),"i3")</f>
        <v>i3</v>
      </c>
      <c r="H26" s="17" t="str">
        <f>IFERROR(__xludf.DUMMYFUNCTION("""COMPUTED_VALUE"""),"Infinity 3 23’
Southwind 23’
USF Drumline 22’")</f>
        <v>Infinity 3 23’
Southwind 23’
USF Drumline 22’</v>
      </c>
      <c r="I26" s="12" t="str">
        <f>IFERROR(__xludf.DUMMYFUNCTION("""COMPUTED_VALUE"""),"Bryce Landry")</f>
        <v>Bryce Landry</v>
      </c>
      <c r="J26" s="12" t="str">
        <f>IFERROR(__xludf.DUMMYFUNCTION("""COMPUTED_VALUE"""),"bmlandry18@gmail.com")</f>
        <v>bmlandry18@gmail.com</v>
      </c>
      <c r="K26" s="12"/>
    </row>
    <row r="27">
      <c r="A27" s="13" t="str">
        <f>IFERROR(__xludf.DUMMYFUNCTION("""COMPUTED_VALUE"""),"GM8113")</f>
        <v>GM8113</v>
      </c>
      <c r="B27" s="11" t="str">
        <f>IFERROR(__xludf.DUMMYFUNCTION("""COMPUTED_VALUE"""),"Maron")</f>
        <v>Maron</v>
      </c>
      <c r="C27" s="13" t="str">
        <f>IFERROR(__xludf.DUMMYFUNCTION("""COMPUTED_VALUE"""),"Gal-Lee")</f>
        <v>Gal-Lee</v>
      </c>
      <c r="D27" s="14" t="str">
        <f>IFERROR(__xludf.DUMMYFUNCTION("""COMPUTED_VALUE"""),"he/him")</f>
        <v>he/him</v>
      </c>
      <c r="E27" s="14" t="str">
        <f>IFERROR(__xludf.DUMMYFUNCTION("""COMPUTED_VALUE"""),"Tenor")</f>
        <v>Tenor</v>
      </c>
      <c r="F27" s="14">
        <f>IFERROR(__xludf.DUMMYFUNCTION("""COMPUTED_VALUE"""),16.0)</f>
        <v>16</v>
      </c>
      <c r="G27" s="14" t="str">
        <f>IFERROR(__xludf.DUMMYFUNCTION("""COMPUTED_VALUE"""),"hs")</f>
        <v>hs</v>
      </c>
      <c r="H27" s="14" t="str">
        <f>IFERROR(__xludf.DUMMYFUNCTION("""COMPUTED_VALUE"""),"Buchholz High School marching band (2 years), Alachua County Indoor Percussion (1 year, FFCC AA State Champions 2023).")</f>
        <v>Buchholz High School marching band (2 years), Alachua County Indoor Percussion (1 year, FFCC AA State Champions 2023).</v>
      </c>
      <c r="I27" s="12" t="str">
        <f>IFERROR(__xludf.DUMMYFUNCTION("""COMPUTED_VALUE"""),"Gal-Lee Maron")</f>
        <v>Gal-Lee Maron</v>
      </c>
      <c r="J27" s="12" t="str">
        <f>IFERROR(__xludf.DUMMYFUNCTION("""COMPUTED_VALUE"""),"gal.lee.maron7@gmail.com")</f>
        <v>gal.lee.maron7@gmail.com</v>
      </c>
      <c r="K27" s="12"/>
    </row>
    <row r="28">
      <c r="A28" s="11" t="str">
        <f>IFERROR(__xludf.DUMMYFUNCTION("""COMPUTED_VALUE"""),"CW8091")</f>
        <v>CW8091</v>
      </c>
      <c r="B28" s="11" t="str">
        <f>IFERROR(__xludf.DUMMYFUNCTION("""COMPUTED_VALUE"""),"Webb")</f>
        <v>Webb</v>
      </c>
      <c r="C28" s="11" t="str">
        <f>IFERROR(__xludf.DUMMYFUNCTION("""COMPUTED_VALUE"""),"Chloe")</f>
        <v>Chloe</v>
      </c>
      <c r="D28" s="17" t="str">
        <f>IFERROR(__xludf.DUMMYFUNCTION("""COMPUTED_VALUE"""),"She/her")</f>
        <v>She/her</v>
      </c>
      <c r="E28" s="17" t="str">
        <f>IFERROR(__xludf.DUMMYFUNCTION("""COMPUTED_VALUE"""),"Tenor")</f>
        <v>Tenor</v>
      </c>
      <c r="F28" s="17">
        <f>IFERROR(__xludf.DUMMYFUNCTION("""COMPUTED_VALUE"""),16.0)</f>
        <v>16</v>
      </c>
      <c r="G28" s="17" t="str">
        <f>IFERROR(__xludf.DUMMYFUNCTION("""COMPUTED_VALUE"""),"hs")</f>
        <v>hs</v>
      </c>
      <c r="H28" s="17" t="str">
        <f>IFERROR(__xludf.DUMMYFUNCTION("""COMPUTED_VALUE"""),"I played drum set in my high schools indoor percussion group as an 8th grader. I marched tenors for two years (freshman and sophomore). I attended a 2 week percussion intensive at Juilliard school of music in NYC this past summer. ")</f>
        <v>I played drum set in my high schools indoor percussion group as an 8th grader. I marched tenors for two years (freshman and sophomore). I attended a 2 week percussion intensive at Juilliard school of music in NYC this past summer. </v>
      </c>
      <c r="I28" s="12" t="str">
        <f>IFERROR(__xludf.DUMMYFUNCTION("""COMPUTED_VALUE"""),"Chloe Webb")</f>
        <v>Chloe Webb</v>
      </c>
      <c r="J28" s="12" t="str">
        <f>IFERROR(__xludf.DUMMYFUNCTION("""COMPUTED_VALUE"""),"cdubdrum@gmail.com")</f>
        <v>cdubdrum@gmail.com</v>
      </c>
      <c r="K28" s="12"/>
    </row>
    <row r="29">
      <c r="A29" s="13" t="str">
        <f>IFERROR(__xludf.DUMMYFUNCTION("""COMPUTED_VALUE"""),"JG8115")</f>
        <v>JG8115</v>
      </c>
      <c r="B29" s="11" t="str">
        <f>IFERROR(__xludf.DUMMYFUNCTION("""COMPUTED_VALUE"""),"Garcia")</f>
        <v>Garcia</v>
      </c>
      <c r="C29" s="13" t="str">
        <f>IFERROR(__xludf.DUMMYFUNCTION("""COMPUTED_VALUE"""),"Jude")</f>
        <v>Jude</v>
      </c>
      <c r="D29" s="14" t="str">
        <f>IFERROR(__xludf.DUMMYFUNCTION("""COMPUTED_VALUE"""),"He Him")</f>
        <v>He Him</v>
      </c>
      <c r="E29" s="14" t="str">
        <f>IFERROR(__xludf.DUMMYFUNCTION("""COMPUTED_VALUE"""),"Snare")</f>
        <v>Snare</v>
      </c>
      <c r="F29" s="16">
        <f>IFERROR(__xludf.DUMMYFUNCTION("""COMPUTED_VALUE"""),18.0)</f>
        <v>18</v>
      </c>
      <c r="G29" s="16" t="str">
        <f>IFERROR(__xludf.DUMMYFUNCTION("""COMPUTED_VALUE"""),"hs")</f>
        <v>hs</v>
      </c>
      <c r="H29" s="16" t="str">
        <f>IFERROR(__xludf.DUMMYFUNCTION("""COMPUTED_VALUE"""),"High school marching band, earned superior ratings on 3 grade 7 snare solos in middle school solo &amp; ensemble, and middle school all-state jazz band.")</f>
        <v>High school marching band, earned superior ratings on 3 grade 7 snare solos in middle school solo &amp; ensemble, and middle school all-state jazz band.</v>
      </c>
      <c r="I29" s="12" t="str">
        <f>IFERROR(__xludf.DUMMYFUNCTION("""COMPUTED_VALUE"""),"Jude Garcia")</f>
        <v>Jude Garcia</v>
      </c>
      <c r="J29" s="12" t="str">
        <f>IFERROR(__xludf.DUMMYFUNCTION("""COMPUTED_VALUE"""),"judegarcia111@gmail.com")</f>
        <v>judegarcia111@gmail.com</v>
      </c>
      <c r="K29" s="12"/>
    </row>
    <row r="30">
      <c r="A30" s="11" t="str">
        <f>IFERROR(__xludf.DUMMYFUNCTION("""COMPUTED_VALUE"""),"VS8117")</f>
        <v>VS8117</v>
      </c>
      <c r="B30" s="11" t="str">
        <f>IFERROR(__xludf.DUMMYFUNCTION("""COMPUTED_VALUE"""),"Sritharan")</f>
        <v>Sritharan</v>
      </c>
      <c r="C30" s="11" t="str">
        <f>IFERROR(__xludf.DUMMYFUNCTION("""COMPUTED_VALUE"""),"Vivek")</f>
        <v>Vivek</v>
      </c>
      <c r="D30" s="17" t="str">
        <f>IFERROR(__xludf.DUMMYFUNCTION("""COMPUTED_VALUE"""),"He/Him")</f>
        <v>He/Him</v>
      </c>
      <c r="E30" s="17" t="str">
        <f>IFERROR(__xludf.DUMMYFUNCTION("""COMPUTED_VALUE"""),"Snare")</f>
        <v>Snare</v>
      </c>
      <c r="F30" s="17">
        <f>IFERROR(__xludf.DUMMYFUNCTION("""COMPUTED_VALUE"""),19.0)</f>
        <v>19</v>
      </c>
      <c r="G30" s="17" t="str">
        <f>IFERROR(__xludf.DUMMYFUNCTION("""COMPUTED_VALUE"""),"hs")</f>
        <v>hs</v>
      </c>
      <c r="H30" s="17" t="str">
        <f>IFERROR(__xludf.DUMMYFUNCTION("""COMPUTED_VALUE"""),"stoneman douglas high school outdoor/indoor 2018-2023, also filled holes for STRYKE in 2022 during design camps for service hours lol. I was gonna march there 2023 but couldn't because I was going to dayton with douglas already")</f>
        <v>stoneman douglas high school outdoor/indoor 2018-2023, also filled holes for STRYKE in 2022 during design camps for service hours lol. I was gonna march there 2023 but couldn't because I was going to dayton with douglas already</v>
      </c>
      <c r="I30" s="12" t="str">
        <f>IFERROR(__xludf.DUMMYFUNCTION("""COMPUTED_VALUE"""),"Vivek Sritharan")</f>
        <v>Vivek Sritharan</v>
      </c>
      <c r="J30" s="12" t="str">
        <f>IFERROR(__xludf.DUMMYFUNCTION("""COMPUTED_VALUE"""),"vivek.r.sritharan@gmail.com")</f>
        <v>vivek.r.sritharan@gmail.com</v>
      </c>
      <c r="K30" s="12"/>
    </row>
    <row r="31">
      <c r="A31" s="13" t="str">
        <f>IFERROR(__xludf.DUMMYFUNCTION("""COMPUTED_VALUE"""),"TP8111")</f>
        <v>TP8111</v>
      </c>
      <c r="B31" s="11" t="str">
        <f>IFERROR(__xludf.DUMMYFUNCTION("""COMPUTED_VALUE"""),"Prentiss")</f>
        <v>Prentiss</v>
      </c>
      <c r="C31" s="13" t="str">
        <f>IFERROR(__xludf.DUMMYFUNCTION("""COMPUTED_VALUE"""),"Taylor")</f>
        <v>Taylor</v>
      </c>
      <c r="D31" s="14" t="str">
        <f>IFERROR(__xludf.DUMMYFUNCTION("""COMPUTED_VALUE"""),"He/They")</f>
        <v>He/They</v>
      </c>
      <c r="E31" s="14" t="str">
        <f>IFERROR(__xludf.DUMMYFUNCTION("""COMPUTED_VALUE"""),"Cymbals")</f>
        <v>Cymbals</v>
      </c>
      <c r="F31" s="14">
        <f>IFERROR(__xludf.DUMMYFUNCTION("""COMPUTED_VALUE"""),20.0)</f>
        <v>20</v>
      </c>
      <c r="G31" s="14" t="str">
        <f>IFERROR(__xludf.DUMMYFUNCTION("""COMPUTED_VALUE"""),"i3")</f>
        <v>i3</v>
      </c>
      <c r="H31" s="14" t="str">
        <f>IFERROR(__xludf.DUMMYFUNCTION("""COMPUTED_VALUE"""),"Santa Fe High School indoor 2019-2022, Infinity 3 2023")</f>
        <v>Santa Fe High School indoor 2019-2022, Infinity 3 2023</v>
      </c>
      <c r="I31" s="12" t="str">
        <f>IFERROR(__xludf.DUMMYFUNCTION("""COMPUTED_VALUE"""),"Taylor Prentiss")</f>
        <v>Taylor Prentiss</v>
      </c>
      <c r="J31" s="12" t="str">
        <f>IFERROR(__xludf.DUMMYFUNCTION("""COMPUTED_VALUE"""),"tprentiss2@gmail.com")</f>
        <v>tprentiss2@gmail.com</v>
      </c>
      <c r="K31" s="12"/>
    </row>
    <row r="32">
      <c r="A32" s="11" t="str">
        <f>IFERROR(__xludf.DUMMYFUNCTION("""COMPUTED_VALUE"""),"RE8121")</f>
        <v>RE8121</v>
      </c>
      <c r="B32" s="11" t="str">
        <f>IFERROR(__xludf.DUMMYFUNCTION("""COMPUTED_VALUE"""),"Ellis")</f>
        <v>Ellis</v>
      </c>
      <c r="C32" s="11" t="str">
        <f>IFERROR(__xludf.DUMMYFUNCTION("""COMPUTED_VALUE"""),"Robert")</f>
        <v>Robert</v>
      </c>
      <c r="D32" s="17"/>
      <c r="E32" s="17" t="str">
        <f>IFERROR(__xludf.DUMMYFUNCTION("""COMPUTED_VALUE"""),"Snare")</f>
        <v>Snare</v>
      </c>
      <c r="F32" s="12">
        <f>IFERROR(__xludf.DUMMYFUNCTION("""COMPUTED_VALUE"""),18.0)</f>
        <v>18</v>
      </c>
      <c r="G32" s="12" t="str">
        <f>IFERROR(__xludf.DUMMYFUNCTION("""COMPUTED_VALUE"""),"dci")</f>
        <v>dci</v>
      </c>
      <c r="H32" s="12" t="str">
        <f>IFERROR(__xludf.DUMMYFUNCTION("""COMPUTED_VALUE"""),"Heatwave 2023")</f>
        <v>Heatwave 2023</v>
      </c>
      <c r="I32" s="12" t="str">
        <f>IFERROR(__xludf.DUMMYFUNCTION("""COMPUTED_VALUE"""),"Robert Ellis")</f>
        <v>Robert Ellis</v>
      </c>
      <c r="J32" s="12" t="str">
        <f>IFERROR(__xludf.DUMMYFUNCTION("""COMPUTED_VALUE"""),"ellisja77@gmail.com")</f>
        <v>ellisja77@gmail.com</v>
      </c>
      <c r="K32" s="12"/>
    </row>
    <row r="33">
      <c r="A33" s="13" t="str">
        <f>IFERROR(__xludf.DUMMYFUNCTION("""COMPUTED_VALUE"""),"DR8122")</f>
        <v>DR8122</v>
      </c>
      <c r="B33" s="11" t="str">
        <f>IFERROR(__xludf.DUMMYFUNCTION("""COMPUTED_VALUE"""),"Rix")</f>
        <v>Rix</v>
      </c>
      <c r="C33" s="13" t="str">
        <f>IFERROR(__xludf.DUMMYFUNCTION("""COMPUTED_VALUE"""),"Damian")</f>
        <v>Damian</v>
      </c>
      <c r="D33" s="14" t="str">
        <f>IFERROR(__xludf.DUMMYFUNCTION("""COMPUTED_VALUE"""),"he/it")</f>
        <v>he/it</v>
      </c>
      <c r="E33" s="14" t="str">
        <f>IFERROR(__xludf.DUMMYFUNCTION("""COMPUTED_VALUE"""),"Cymbals")</f>
        <v>Cymbals</v>
      </c>
      <c r="F33" s="14">
        <f>IFERROR(__xludf.DUMMYFUNCTION("""COMPUTED_VALUE"""),16.0)</f>
        <v>16</v>
      </c>
      <c r="G33" s="14" t="str">
        <f>IFERROR(__xludf.DUMMYFUNCTION("""COMPUTED_VALUE"""),"hs")</f>
        <v>hs</v>
      </c>
      <c r="H33" s="14" t="str">
        <f>IFERROR(__xludf.DUMMYFUNCTION("""COMPUTED_VALUE"""),"I have been in the Santa Fe High School marching band since 2020 and the Santa Fe High School indoor percussion for the past two seasons.")</f>
        <v>I have been in the Santa Fe High School marching band since 2020 and the Santa Fe High School indoor percussion for the past two seasons.</v>
      </c>
      <c r="I33" s="12" t="str">
        <f>IFERROR(__xludf.DUMMYFUNCTION("""COMPUTED_VALUE"""),"Damian Rix")</f>
        <v>Damian Rix</v>
      </c>
      <c r="J33" s="12" t="str">
        <f>IFERROR(__xludf.DUMMYFUNCTION("""COMPUTED_VALUE"""),"tarynrix01@gmail.com")</f>
        <v>tarynrix01@gmail.com</v>
      </c>
      <c r="K33" s="12"/>
    </row>
    <row r="34">
      <c r="A34" s="11" t="str">
        <f>IFERROR(__xludf.DUMMYFUNCTION("""COMPUTED_VALUE"""),"SM8059")</f>
        <v>SM8059</v>
      </c>
      <c r="B34" s="11" t="str">
        <f>IFERROR(__xludf.DUMMYFUNCTION("""COMPUTED_VALUE"""),"Manrique")</f>
        <v>Manrique</v>
      </c>
      <c r="C34" s="11" t="str">
        <f>IFERROR(__xludf.DUMMYFUNCTION("""COMPUTED_VALUE"""),"Steph")</f>
        <v>Steph</v>
      </c>
      <c r="D34" s="17" t="str">
        <f>IFERROR(__xludf.DUMMYFUNCTION("""COMPUTED_VALUE"""),"she/her")</f>
        <v>she/her</v>
      </c>
      <c r="E34" s="17" t="str">
        <f>IFERROR(__xludf.DUMMYFUNCTION("""COMPUTED_VALUE"""),"Visual Ensemble")</f>
        <v>Visual Ensemble</v>
      </c>
      <c r="F34" s="17">
        <f>IFERROR(__xludf.DUMMYFUNCTION("""COMPUTED_VALUE"""),19.0)</f>
        <v>19</v>
      </c>
      <c r="G34" s="17" t="str">
        <f>IFERROR(__xludf.DUMMYFUNCTION("""COMPUTED_VALUE"""),"i3")</f>
        <v>i3</v>
      </c>
      <c r="H34" s="17" t="str">
        <f>IFERROR(__xludf.DUMMYFUNCTION("""COMPUTED_VALUE"""),"3 years of high school outdoor marching band, 3 years of high school indoor percussion (two on VE, one on tenor drums), and 1 year of Infinity 3 VE.")</f>
        <v>3 years of high school outdoor marching band, 3 years of high school indoor percussion (two on VE, one on tenor drums), and 1 year of Infinity 3 VE.</v>
      </c>
      <c r="I34" s="12" t="str">
        <f>IFERROR(__xludf.DUMMYFUNCTION("""COMPUTED_VALUE"""),"Steph Manrique")</f>
        <v>Steph Manrique</v>
      </c>
      <c r="J34" s="12" t="str">
        <f>IFERROR(__xludf.DUMMYFUNCTION("""COMPUTED_VALUE"""),"stephymanrique@gmail.com")</f>
        <v>stephymanrique@gmail.com</v>
      </c>
      <c r="K34" s="12"/>
    </row>
    <row r="35">
      <c r="A35" s="13" t="str">
        <f>IFERROR(__xludf.DUMMYFUNCTION("""COMPUTED_VALUE"""),"BA8123")</f>
        <v>BA8123</v>
      </c>
      <c r="B35" s="11" t="str">
        <f>IFERROR(__xludf.DUMMYFUNCTION("""COMPUTED_VALUE"""),"Althoff")</f>
        <v>Althoff</v>
      </c>
      <c r="C35" s="13" t="str">
        <f>IFERROR(__xludf.DUMMYFUNCTION("""COMPUTED_VALUE"""),"Ben")</f>
        <v>Ben</v>
      </c>
      <c r="D35" s="14"/>
      <c r="E35" s="14" t="str">
        <f>IFERROR(__xludf.DUMMYFUNCTION("""COMPUTED_VALUE"""),"Snare")</f>
        <v>Snare</v>
      </c>
      <c r="F35" s="14">
        <f>IFERROR(__xludf.DUMMYFUNCTION("""COMPUTED_VALUE"""),22.0)</f>
        <v>22</v>
      </c>
      <c r="G35" s="14" t="str">
        <f>IFERROR(__xludf.DUMMYFUNCTION("""COMPUTED_VALUE"""),"i1")</f>
        <v>i1</v>
      </c>
      <c r="H35" s="14" t="str">
        <f>IFERROR(__xludf.DUMMYFUNCTION("""COMPUTED_VALUE"""),"Phantom Regiment ‘22, Infinity ‘23")</f>
        <v>Phantom Regiment ‘22, Infinity ‘23</v>
      </c>
      <c r="I35" s="12" t="str">
        <f>IFERROR(__xludf.DUMMYFUNCTION("""COMPUTED_VALUE"""),"Ben Althoff")</f>
        <v>Ben Althoff</v>
      </c>
      <c r="J35" s="12" t="str">
        <f>IFERROR(__xludf.DUMMYFUNCTION("""COMPUTED_VALUE"""),"althoff.ben@gmail.com")</f>
        <v>althoff.ben@gmail.com</v>
      </c>
      <c r="K35" s="12"/>
    </row>
    <row r="36">
      <c r="A36" s="11" t="str">
        <f>IFERROR(__xludf.DUMMYFUNCTION("""COMPUTED_VALUE"""),"GB8124")</f>
        <v>GB8124</v>
      </c>
      <c r="B36" s="11" t="str">
        <f>IFERROR(__xludf.DUMMYFUNCTION("""COMPUTED_VALUE"""),"Barker")</f>
        <v>Barker</v>
      </c>
      <c r="C36" s="11" t="str">
        <f>IFERROR(__xludf.DUMMYFUNCTION("""COMPUTED_VALUE"""),"Gavin")</f>
        <v>Gavin</v>
      </c>
      <c r="D36" s="17" t="str">
        <f>IFERROR(__xludf.DUMMYFUNCTION("""COMPUTED_VALUE"""),"He/Him")</f>
        <v>He/Him</v>
      </c>
      <c r="E36" s="17" t="str">
        <f>IFERROR(__xludf.DUMMYFUNCTION("""COMPUTED_VALUE"""),"Snare")</f>
        <v>Snare</v>
      </c>
      <c r="F36" s="17">
        <f>IFERROR(__xludf.DUMMYFUNCTION("""COMPUTED_VALUE"""),21.0)</f>
        <v>21</v>
      </c>
      <c r="G36" s="17" t="str">
        <f>IFERROR(__xludf.DUMMYFUNCTION("""COMPUTED_VALUE"""),"i3")</f>
        <v>i3</v>
      </c>
      <c r="H36" s="17" t="str">
        <f>IFERROR(__xludf.DUMMYFUNCTION("""COMPUTED_VALUE"""),"I have marched with Infinity 3 on cymbals in 2021, RPT Percussion on marching snare in 2022, snare for Heat Wave Drum &amp; Bugle Corps for the 2022 DCI season, and I have just finished my 2023 season competing in open class on snare for Infinity 3. I am curr"&amp;"ently the battery tech for Lakewood Ranch High School. 
")</f>
        <v>I have marched with Infinity 3 on cymbals in 2021, RPT Percussion on marching snare in 2022, snare for Heat Wave Drum &amp; Bugle Corps for the 2022 DCI season, and I have just finished my 2023 season competing in open class on snare for Infinity 3. I am currently the battery tech for Lakewood Ranch High School. 
</v>
      </c>
      <c r="I36" s="12" t="str">
        <f>IFERROR(__xludf.DUMMYFUNCTION("""COMPUTED_VALUE"""),"Gavin Barker")</f>
        <v>Gavin Barker</v>
      </c>
      <c r="J36" s="12" t="str">
        <f>IFERROR(__xludf.DUMMYFUNCTION("""COMPUTED_VALUE"""),"gavinraysfan@yahoo.com")</f>
        <v>gavinraysfan@yahoo.com</v>
      </c>
      <c r="K36" s="12"/>
    </row>
    <row r="37">
      <c r="A37" s="13" t="str">
        <f>IFERROR(__xludf.DUMMYFUNCTION("""COMPUTED_VALUE"""),"AM8125")</f>
        <v>AM8125</v>
      </c>
      <c r="B37" s="11" t="str">
        <f>IFERROR(__xludf.DUMMYFUNCTION("""COMPUTED_VALUE"""),"Moore")</f>
        <v>Moore</v>
      </c>
      <c r="C37" s="13" t="str">
        <f>IFERROR(__xludf.DUMMYFUNCTION("""COMPUTED_VALUE"""),"Aidan")</f>
        <v>Aidan</v>
      </c>
      <c r="D37" s="14"/>
      <c r="E37" s="14" t="str">
        <f>IFERROR(__xludf.DUMMYFUNCTION("""COMPUTED_VALUE"""),"Snare")</f>
        <v>Snare</v>
      </c>
      <c r="F37" s="14">
        <f>IFERROR(__xludf.DUMMYFUNCTION("""COMPUTED_VALUE"""),19.0)</f>
        <v>19</v>
      </c>
      <c r="G37" s="14" t="str">
        <f>IFERROR(__xludf.DUMMYFUNCTION("""COMPUTED_VALUE"""),"hs")</f>
        <v>hs</v>
      </c>
      <c r="H37" s="14" t="str">
        <f>IFERROR(__xludf.DUMMYFUNCTION("""COMPUTED_VALUE"""),"Pace HS 2019-2023")</f>
        <v>Pace HS 2019-2023</v>
      </c>
      <c r="I37" s="12" t="str">
        <f>IFERROR(__xludf.DUMMYFUNCTION("""COMPUTED_VALUE"""),"Aidan Moore")</f>
        <v>Aidan Moore</v>
      </c>
      <c r="J37" s="12" t="str">
        <f>IFERROR(__xludf.DUMMYFUNCTION("""COMPUTED_VALUE"""),"aidanjcm23@gmail.com")</f>
        <v>aidanjcm23@gmail.com</v>
      </c>
      <c r="K37" s="12"/>
    </row>
    <row r="38">
      <c r="A38" s="11" t="str">
        <f>IFERROR(__xludf.DUMMYFUNCTION("""COMPUTED_VALUE"""),"JR8128")</f>
        <v>JR8128</v>
      </c>
      <c r="B38" s="11" t="str">
        <f>IFERROR(__xludf.DUMMYFUNCTION("""COMPUTED_VALUE"""),"Rivera")</f>
        <v>Rivera</v>
      </c>
      <c r="C38" s="11" t="str">
        <f>IFERROR(__xludf.DUMMYFUNCTION("""COMPUTED_VALUE"""),"Joel")</f>
        <v>Joel</v>
      </c>
      <c r="D38" s="17" t="str">
        <f>IFERROR(__xludf.DUMMYFUNCTION("""COMPUTED_VALUE"""),"He/Him")</f>
        <v>He/Him</v>
      </c>
      <c r="E38" s="17" t="str">
        <f>IFERROR(__xludf.DUMMYFUNCTION("""COMPUTED_VALUE"""),"Tenor")</f>
        <v>Tenor</v>
      </c>
      <c r="F38" s="17">
        <f>IFERROR(__xludf.DUMMYFUNCTION("""COMPUTED_VALUE"""),21.0)</f>
        <v>21</v>
      </c>
      <c r="G38" s="17" t="str">
        <f>IFERROR(__xludf.DUMMYFUNCTION("""COMPUTED_VALUE"""),"i2")</f>
        <v>i2</v>
      </c>
      <c r="H38" s="17" t="str">
        <f>IFERROR(__xludf.DUMMYFUNCTION("""COMPUTED_VALUE"""),"Infinity 3 2022, Southwind 2022, Infinity 2 2023, Spirit of Atlanta 2023")</f>
        <v>Infinity 3 2022, Southwind 2022, Infinity 2 2023, Spirit of Atlanta 2023</v>
      </c>
      <c r="I38" s="12" t="str">
        <f>IFERROR(__xludf.DUMMYFUNCTION("""COMPUTED_VALUE"""),"Joel Rivera")</f>
        <v>Joel Rivera</v>
      </c>
      <c r="J38" s="12" t="str">
        <f>IFERROR(__xludf.DUMMYFUNCTION("""COMPUTED_VALUE"""),"joel.rivera5@cox.net")</f>
        <v>joel.rivera5@cox.net</v>
      </c>
      <c r="K38" s="12"/>
    </row>
    <row r="39">
      <c r="A39" s="13" t="str">
        <f>IFERROR(__xludf.DUMMYFUNCTION("""COMPUTED_VALUE"""),"IC8131")</f>
        <v>IC8131</v>
      </c>
      <c r="B39" s="11" t="str">
        <f>IFERROR(__xludf.DUMMYFUNCTION("""COMPUTED_VALUE"""),"Centeno")</f>
        <v>Centeno</v>
      </c>
      <c r="C39" s="13" t="str">
        <f>IFERROR(__xludf.DUMMYFUNCTION("""COMPUTED_VALUE"""),"Ian")</f>
        <v>Ian</v>
      </c>
      <c r="D39" s="13" t="str">
        <f>IFERROR(__xludf.DUMMYFUNCTION("""COMPUTED_VALUE"""),"He/Him")</f>
        <v>He/Him</v>
      </c>
      <c r="E39" s="13" t="str">
        <f>IFERROR(__xludf.DUMMYFUNCTION("""COMPUTED_VALUE"""),"Snare")</f>
        <v>Snare</v>
      </c>
      <c r="F39" s="13">
        <f>IFERROR(__xludf.DUMMYFUNCTION("""COMPUTED_VALUE"""),18.0)</f>
        <v>18</v>
      </c>
      <c r="G39" s="13" t="str">
        <f>IFERROR(__xludf.DUMMYFUNCTION("""COMPUTED_VALUE"""),"hs")</f>
        <v>hs</v>
      </c>
      <c r="H39" s="13" t="str">
        <f>IFERROR(__xludf.DUMMYFUNCTION("""COMPUTED_VALUE"""),"Timber Creek High School outdoor 2019-2022 Timber Creek Indoor ensemble 2023")</f>
        <v>Timber Creek High School outdoor 2019-2022 Timber Creek Indoor ensemble 2023</v>
      </c>
      <c r="I39" s="12" t="str">
        <f>IFERROR(__xludf.DUMMYFUNCTION("""COMPUTED_VALUE"""),"Ian Centeno")</f>
        <v>Ian Centeno</v>
      </c>
      <c r="J39" s="12" t="str">
        <f>IFERROR(__xludf.DUMMYFUNCTION("""COMPUTED_VALUE"""),"ianjo2005@icloud.com")</f>
        <v>ianjo2005@icloud.com</v>
      </c>
      <c r="K39" s="12"/>
    </row>
    <row r="40">
      <c r="A40" s="11" t="str">
        <f>IFERROR(__xludf.DUMMYFUNCTION("""COMPUTED_VALUE"""),"AG8132")</f>
        <v>AG8132</v>
      </c>
      <c r="B40" s="11" t="str">
        <f>IFERROR(__xludf.DUMMYFUNCTION("""COMPUTED_VALUE"""),"Gilbert")</f>
        <v>Gilbert</v>
      </c>
      <c r="C40" s="11" t="str">
        <f>IFERROR(__xludf.DUMMYFUNCTION("""COMPUTED_VALUE"""),"Ashley")</f>
        <v>Ashley</v>
      </c>
      <c r="D40" s="17"/>
      <c r="E40" s="17" t="str">
        <f>IFERROR(__xludf.DUMMYFUNCTION("""COMPUTED_VALUE"""),"Cymbals")</f>
        <v>Cymbals</v>
      </c>
      <c r="F40" s="17">
        <f>IFERROR(__xludf.DUMMYFUNCTION("""COMPUTED_VALUE"""),21.0)</f>
        <v>21</v>
      </c>
      <c r="G40" s="17" t="str">
        <f>IFERROR(__xludf.DUMMYFUNCTION("""COMPUTED_VALUE"""),"i2")</f>
        <v>i2</v>
      </c>
      <c r="H40" s="17" t="str">
        <f>IFERROR(__xludf.DUMMYFUNCTION("""COMPUTED_VALUE"""),"Infinity 3 2021, Infinity 2 2023")</f>
        <v>Infinity 3 2021, Infinity 2 2023</v>
      </c>
      <c r="I40" s="12" t="str">
        <f>IFERROR(__xludf.DUMMYFUNCTION("""COMPUTED_VALUE"""),"Ashley Gilbert")</f>
        <v>Ashley Gilbert</v>
      </c>
      <c r="J40" s="12" t="str">
        <f>IFERROR(__xludf.DUMMYFUNCTION("""COMPUTED_VALUE"""),"ash.gilbert104@gmail.com")</f>
        <v>ash.gilbert104@gmail.com</v>
      </c>
      <c r="K40" s="12"/>
    </row>
    <row r="41">
      <c r="A41" s="13" t="str">
        <f>IFERROR(__xludf.DUMMYFUNCTION("""COMPUTED_VALUE"""),"DR8133")</f>
        <v>DR8133</v>
      </c>
      <c r="B41" s="11" t="str">
        <f>IFERROR(__xludf.DUMMYFUNCTION("""COMPUTED_VALUE"""),"Rosado")</f>
        <v>Rosado</v>
      </c>
      <c r="C41" s="13" t="str">
        <f>IFERROR(__xludf.DUMMYFUNCTION("""COMPUTED_VALUE"""),"Daliana")</f>
        <v>Daliana</v>
      </c>
      <c r="D41" s="14" t="str">
        <f>IFERROR(__xludf.DUMMYFUNCTION("""COMPUTED_VALUE"""),"She/they")</f>
        <v>She/they</v>
      </c>
      <c r="E41" s="14" t="str">
        <f>IFERROR(__xludf.DUMMYFUNCTION("""COMPUTED_VALUE"""),"Visual Ensemble")</f>
        <v>Visual Ensemble</v>
      </c>
      <c r="F41" s="14">
        <f>IFERROR(__xludf.DUMMYFUNCTION("""COMPUTED_VALUE"""),16.0)</f>
        <v>16</v>
      </c>
      <c r="G41" s="14" t="str">
        <f>IFERROR(__xludf.DUMMYFUNCTION("""COMPUTED_VALUE"""),"i3")</f>
        <v>i3</v>
      </c>
      <c r="H41" s="14" t="str">
        <f>IFERROR(__xludf.DUMMYFUNCTION("""COMPUTED_VALUE"""),"Lake Minneola High School marching band ‘21-‘23, Infinity 3 VE ‘23.")</f>
        <v>Lake Minneola High School marching band ‘21-‘23, Infinity 3 VE ‘23.</v>
      </c>
      <c r="I41" s="12" t="str">
        <f>IFERROR(__xludf.DUMMYFUNCTION("""COMPUTED_VALUE"""),"Daliana Rosado")</f>
        <v>Daliana Rosado</v>
      </c>
      <c r="J41" s="12" t="str">
        <f>IFERROR(__xludf.DUMMYFUNCTION("""COMPUTED_VALUE"""),"dalianarosado45@gmail.com")</f>
        <v>dalianarosado45@gmail.com</v>
      </c>
      <c r="K41" s="12"/>
    </row>
    <row r="42">
      <c r="A42" s="11" t="str">
        <f>IFERROR(__xludf.DUMMYFUNCTION("""COMPUTED_VALUE"""),"CH8134")</f>
        <v>CH8134</v>
      </c>
      <c r="B42" s="11" t="str">
        <f>IFERROR(__xludf.DUMMYFUNCTION("""COMPUTED_VALUE"""),"Heffner")</f>
        <v>Heffner</v>
      </c>
      <c r="C42" s="11" t="str">
        <f>IFERROR(__xludf.DUMMYFUNCTION("""COMPUTED_VALUE"""),"Chase")</f>
        <v>Chase</v>
      </c>
      <c r="D42" s="17" t="str">
        <f>IFERROR(__xludf.DUMMYFUNCTION("""COMPUTED_VALUE"""),"he/him")</f>
        <v>he/him</v>
      </c>
      <c r="E42" s="17" t="str">
        <f>IFERROR(__xludf.DUMMYFUNCTION("""COMPUTED_VALUE"""),"Tenor")</f>
        <v>Tenor</v>
      </c>
      <c r="F42" s="17">
        <f>IFERROR(__xludf.DUMMYFUNCTION("""COMPUTED_VALUE"""),18.0)</f>
        <v>18</v>
      </c>
      <c r="G42" s="17" t="str">
        <f>IFERROR(__xludf.DUMMYFUNCTION("""COMPUTED_VALUE"""),"hs")</f>
        <v>hs</v>
      </c>
      <c r="H42" s="17" t="str">
        <f>IFERROR(__xludf.DUMMYFUNCTION("""COMPUTED_VALUE"""),"Lakewood Ranch High School marching band 2020-2023
LRHS indoor percussion 2022
FBA Solo/Ensemble (grade 6 tenor duet- superior w/ distinction) ")</f>
        <v>Lakewood Ranch High School marching band 2020-2023
LRHS indoor percussion 2022
FBA Solo/Ensemble (grade 6 tenor duet- superior w/ distinction) </v>
      </c>
      <c r="I42" s="12" t="str">
        <f>IFERROR(__xludf.DUMMYFUNCTION("""COMPUTED_VALUE"""),"Chase Heffner")</f>
        <v>Chase Heffner</v>
      </c>
      <c r="J42" s="12" t="str">
        <f>IFERROR(__xludf.DUMMYFUNCTION("""COMPUTED_VALUE"""),"chaseheffner85@gmail.com")</f>
        <v>chaseheffner85@gmail.com</v>
      </c>
      <c r="K42" s="12"/>
    </row>
    <row r="43">
      <c r="A43" s="13" t="str">
        <f>IFERROR(__xludf.DUMMYFUNCTION("""COMPUTED_VALUE"""),"EB8135")</f>
        <v>EB8135</v>
      </c>
      <c r="B43" s="11" t="str">
        <f>IFERROR(__xludf.DUMMYFUNCTION("""COMPUTED_VALUE"""),"Barlow")</f>
        <v>Barlow</v>
      </c>
      <c r="C43" s="13" t="str">
        <f>IFERROR(__xludf.DUMMYFUNCTION("""COMPUTED_VALUE"""),"Evan ")</f>
        <v>Evan </v>
      </c>
      <c r="D43" s="14"/>
      <c r="E43" s="14" t="str">
        <f>IFERROR(__xludf.DUMMYFUNCTION("""COMPUTED_VALUE"""),"Snare")</f>
        <v>Snare</v>
      </c>
      <c r="F43" s="14">
        <f>IFERROR(__xludf.DUMMYFUNCTION("""COMPUTED_VALUE"""),17.0)</f>
        <v>17</v>
      </c>
      <c r="G43" s="14" t="str">
        <f>IFERROR(__xludf.DUMMYFUNCTION("""COMPUTED_VALUE"""),"hs")</f>
        <v>hs</v>
      </c>
      <c r="H43" s="14" t="str">
        <f>IFERROR(__xludf.DUMMYFUNCTION("""COMPUTED_VALUE"""),"Tarpon Springs High School Drum line 2020-2023")</f>
        <v>Tarpon Springs High School Drum line 2020-2023</v>
      </c>
      <c r="I43" s="12" t="str">
        <f>IFERROR(__xludf.DUMMYFUNCTION("""COMPUTED_VALUE"""),"Evan  Barlow")</f>
        <v>Evan  Barlow</v>
      </c>
      <c r="J43" s="12" t="str">
        <f>IFERROR(__xludf.DUMMYFUNCTION("""COMPUTED_VALUE"""),"theevanbarlow@gmail.com")</f>
        <v>theevanbarlow@gmail.com</v>
      </c>
      <c r="K43" s="12"/>
    </row>
    <row r="44">
      <c r="A44" s="11" t="str">
        <f>IFERROR(__xludf.DUMMYFUNCTION("""COMPUTED_VALUE"""),"GM8139")</f>
        <v>GM8139</v>
      </c>
      <c r="B44" s="11" t="str">
        <f>IFERROR(__xludf.DUMMYFUNCTION("""COMPUTED_VALUE"""),"Martin")</f>
        <v>Martin</v>
      </c>
      <c r="C44" s="11" t="str">
        <f>IFERROR(__xludf.DUMMYFUNCTION("""COMPUTED_VALUE"""),"Gio")</f>
        <v>Gio</v>
      </c>
      <c r="D44" s="11" t="str">
        <f>IFERROR(__xludf.DUMMYFUNCTION("""COMPUTED_VALUE"""),"He/Him")</f>
        <v>He/Him</v>
      </c>
      <c r="E44" s="11" t="str">
        <f>IFERROR(__xludf.DUMMYFUNCTION("""COMPUTED_VALUE"""),"Bass")</f>
        <v>Bass</v>
      </c>
      <c r="F44" s="11">
        <f>IFERROR(__xludf.DUMMYFUNCTION("""COMPUTED_VALUE"""),17.0)</f>
        <v>17</v>
      </c>
      <c r="G44" s="11" t="str">
        <f>IFERROR(__xludf.DUMMYFUNCTION("""COMPUTED_VALUE"""),"hs")</f>
        <v>hs</v>
      </c>
      <c r="H44" s="11" t="str">
        <f>IFERROR(__xludf.DUMMYFUNCTION("""COMPUTED_VALUE"""),"4 Years of High School outdoor marching band (4A) 1 season in front, 1 season on bass, 2 seasons on snare. 2 Years of indoor percussion (A class) experience, 1 season on tenors, one season on snare")</f>
        <v>4 Years of High School outdoor marching band (4A) 1 season in front, 1 season on bass, 2 seasons on snare. 2 Years of indoor percussion (A class) experience, 1 season on tenors, one season on snare</v>
      </c>
      <c r="I44" s="12" t="str">
        <f>IFERROR(__xludf.DUMMYFUNCTION("""COMPUTED_VALUE"""),"Gio Martin")</f>
        <v>Gio Martin</v>
      </c>
      <c r="J44" s="12" t="str">
        <f>IFERROR(__xludf.DUMMYFUNCTION("""COMPUTED_VALUE"""),"oblivionbro06@gmail.com        ")</f>
        <v>oblivionbro06@gmail.com        </v>
      </c>
      <c r="K44" s="12"/>
    </row>
    <row r="45">
      <c r="A45" s="13" t="str">
        <f>IFERROR(__xludf.DUMMYFUNCTION("""COMPUTED_VALUE"""),"AS8099")</f>
        <v>AS8099</v>
      </c>
      <c r="B45" s="11" t="str">
        <f>IFERROR(__xludf.DUMMYFUNCTION("""COMPUTED_VALUE"""),"Silin")</f>
        <v>Silin</v>
      </c>
      <c r="C45" s="13" t="str">
        <f>IFERROR(__xludf.DUMMYFUNCTION("""COMPUTED_VALUE"""),"Anthony")</f>
        <v>Anthony</v>
      </c>
      <c r="D45" s="14" t="str">
        <f>IFERROR(__xludf.DUMMYFUNCTION("""COMPUTED_VALUE"""),"He/Him")</f>
        <v>He/Him</v>
      </c>
      <c r="E45" s="14" t="str">
        <f>IFERROR(__xludf.DUMMYFUNCTION("""COMPUTED_VALUE"""),"Tenor")</f>
        <v>Tenor</v>
      </c>
      <c r="F45" s="14">
        <f>IFERROR(__xludf.DUMMYFUNCTION("""COMPUTED_VALUE"""),21.0)</f>
        <v>21</v>
      </c>
      <c r="G45" s="14" t="str">
        <f>IFERROR(__xludf.DUMMYFUNCTION("""COMPUTED_VALUE"""),"hs")</f>
        <v>hs</v>
      </c>
      <c r="H45" s="14" t="str">
        <f>IFERROR(__xludf.DUMMYFUNCTION("""COMPUTED_VALUE"""),"Pembroke Pines Charter Highschool, Outdoor ‘17-‘20
Pembroke Pines Charter Highschool, Indoor 18’-‘21
FIU Marching Band, ‘22-‘23 
(All years on Quads/Marching Tenors)")</f>
        <v>Pembroke Pines Charter Highschool, Outdoor ‘17-‘20
Pembroke Pines Charter Highschool, Indoor 18’-‘21
FIU Marching Band, ‘22-‘23 
(All years on Quads/Marching Tenors)</v>
      </c>
      <c r="I45" s="12" t="str">
        <f>IFERROR(__xludf.DUMMYFUNCTION("""COMPUTED_VALUE"""),"Anthony Silin")</f>
        <v>Anthony Silin</v>
      </c>
      <c r="J45" s="12" t="str">
        <f>IFERROR(__xludf.DUMMYFUNCTION("""COMPUTED_VALUE"""),"anthonymsilin@gmail.com")</f>
        <v>anthonymsilin@gmail.com</v>
      </c>
      <c r="K45" s="12"/>
    </row>
    <row r="46">
      <c r="A46" s="11" t="str">
        <f>IFERROR(__xludf.DUMMYFUNCTION("""COMPUTED_VALUE"""),"ZS8141")</f>
        <v>ZS8141</v>
      </c>
      <c r="B46" s="11" t="str">
        <f>IFERROR(__xludf.DUMMYFUNCTION("""COMPUTED_VALUE"""),"Smith")</f>
        <v>Smith</v>
      </c>
      <c r="C46" s="11" t="str">
        <f>IFERROR(__xludf.DUMMYFUNCTION("""COMPUTED_VALUE"""),"Zachary")</f>
        <v>Zachary</v>
      </c>
      <c r="D46" s="17" t="str">
        <f>IFERROR(__xludf.DUMMYFUNCTION("""COMPUTED_VALUE"""),"He/Him")</f>
        <v>He/Him</v>
      </c>
      <c r="E46" s="17" t="str">
        <f>IFERROR(__xludf.DUMMYFUNCTION("""COMPUTED_VALUE"""),"Snare")</f>
        <v>Snare</v>
      </c>
      <c r="F46" s="17">
        <f>IFERROR(__xludf.DUMMYFUNCTION("""COMPUTED_VALUE"""),15.0)</f>
        <v>15</v>
      </c>
      <c r="G46" s="17" t="str">
        <f>IFERROR(__xludf.DUMMYFUNCTION("""COMPUTED_VALUE"""),"pia")</f>
        <v>pia</v>
      </c>
      <c r="H46" s="17" t="str">
        <f>IFERROR(__xludf.DUMMYFUNCTION("""COMPUTED_VALUE"""),"RPT Percussion Snareline 2023, heat-wave Snareline 2023 and Mount Dora High School 2022 and 2023")</f>
        <v>RPT Percussion Snareline 2023, heat-wave Snareline 2023 and Mount Dora High School 2022 and 2023</v>
      </c>
      <c r="I46" s="12" t="str">
        <f>IFERROR(__xludf.DUMMYFUNCTION("""COMPUTED_VALUE"""),"Zachary Smith")</f>
        <v>Zachary Smith</v>
      </c>
      <c r="J46" s="12" t="str">
        <f>IFERROR(__xludf.DUMMYFUNCTION("""COMPUTED_VALUE"""),"zacharysmith2008@gmail.com")</f>
        <v>zacharysmith2008@gmail.com</v>
      </c>
      <c r="K46" s="12"/>
    </row>
    <row r="47">
      <c r="A47" s="13" t="str">
        <f>IFERROR(__xludf.DUMMYFUNCTION("""COMPUTED_VALUE"""),"AL8264")</f>
        <v>AL8264</v>
      </c>
      <c r="B47" s="11" t="str">
        <f>IFERROR(__xludf.DUMMYFUNCTION("""COMPUTED_VALUE"""),"Lee")</f>
        <v>Lee</v>
      </c>
      <c r="C47" s="13" t="str">
        <f>IFERROR(__xludf.DUMMYFUNCTION("""COMPUTED_VALUE"""),"Amber")</f>
        <v>Amber</v>
      </c>
      <c r="D47" s="14" t="str">
        <f>IFERROR(__xludf.DUMMYFUNCTION("""COMPUTED_VALUE"""),"She/Her")</f>
        <v>She/Her</v>
      </c>
      <c r="E47" s="14" t="str">
        <f>IFERROR(__xludf.DUMMYFUNCTION("""COMPUTED_VALUE"""),"Visual Ensemble")</f>
        <v>Visual Ensemble</v>
      </c>
      <c r="F47" s="14">
        <f>IFERROR(__xludf.DUMMYFUNCTION("""COMPUTED_VALUE"""),13.0)</f>
        <v>13</v>
      </c>
      <c r="G47" s="14" t="str">
        <f>IFERROR(__xludf.DUMMYFUNCTION("""COMPUTED_VALUE"""),"i3")</f>
        <v>i3</v>
      </c>
      <c r="H47" s="14" t="str">
        <f>IFERROR(__xludf.DUMMYFUNCTION("""COMPUTED_VALUE"""),"Santa Fe High School 2022
Infinity 3 2023")</f>
        <v>Santa Fe High School 2022
Infinity 3 2023</v>
      </c>
      <c r="I47" s="12" t="str">
        <f>IFERROR(__xludf.DUMMYFUNCTION("""COMPUTED_VALUE"""),"Amber Lee")</f>
        <v>Amber Lee</v>
      </c>
      <c r="J47" s="12" t="str">
        <f>IFERROR(__xludf.DUMMYFUNCTION("""COMPUTED_VALUE"""),"Calee0104@gmail.com")</f>
        <v>Calee0104@gmail.com</v>
      </c>
      <c r="K47" s="12"/>
    </row>
    <row r="48">
      <c r="A48" s="11" t="str">
        <f>IFERROR(__xludf.DUMMYFUNCTION("""COMPUTED_VALUE"""),"JM8157")</f>
        <v>JM8157</v>
      </c>
      <c r="B48" s="11" t="str">
        <f>IFERROR(__xludf.DUMMYFUNCTION("""COMPUTED_VALUE"""),"MacRae")</f>
        <v>MacRae</v>
      </c>
      <c r="C48" s="11" t="str">
        <f>IFERROR(__xludf.DUMMYFUNCTION("""COMPUTED_VALUE"""),"Jayden")</f>
        <v>Jayden</v>
      </c>
      <c r="D48" s="17" t="str">
        <f>IFERROR(__xludf.DUMMYFUNCTION("""COMPUTED_VALUE"""),"He/Him")</f>
        <v>He/Him</v>
      </c>
      <c r="E48" s="17" t="str">
        <f>IFERROR(__xludf.DUMMYFUNCTION("""COMPUTED_VALUE"""),"Snare")</f>
        <v>Snare</v>
      </c>
      <c r="F48" s="17">
        <f>IFERROR(__xludf.DUMMYFUNCTION("""COMPUTED_VALUE"""),16.0)</f>
        <v>16</v>
      </c>
      <c r="G48" s="17" t="str">
        <f>IFERROR(__xludf.DUMMYFUNCTION("""COMPUTED_VALUE"""),"hs")</f>
        <v>hs</v>
      </c>
      <c r="H48" s="17" t="str">
        <f>IFERROR(__xludf.DUMMYFUNCTION("""COMPUTED_VALUE"""),"Marching band for 3 years and MFA")</f>
        <v>Marching band for 3 years and MFA</v>
      </c>
      <c r="I48" s="12" t="str">
        <f>IFERROR(__xludf.DUMMYFUNCTION("""COMPUTED_VALUE"""),"Jayden MacRae")</f>
        <v>Jayden MacRae</v>
      </c>
      <c r="J48" s="12" t="str">
        <f>IFERROR(__xludf.DUMMYFUNCTION("""COMPUTED_VALUE"""),"JMac6407@yahoo.com")</f>
        <v>JMac6407@yahoo.com</v>
      </c>
      <c r="K48" s="12"/>
    </row>
    <row r="49">
      <c r="A49" s="13" t="str">
        <f>IFERROR(__xludf.DUMMYFUNCTION("""COMPUTED_VALUE"""),"BF8073")</f>
        <v>BF8073</v>
      </c>
      <c r="B49" s="11" t="str">
        <f>IFERROR(__xludf.DUMMYFUNCTION("""COMPUTED_VALUE"""),"Ferrer")</f>
        <v>Ferrer</v>
      </c>
      <c r="C49" s="13" t="str">
        <f>IFERROR(__xludf.DUMMYFUNCTION("""COMPUTED_VALUE"""),"Benjamin ")</f>
        <v>Benjamin </v>
      </c>
      <c r="D49" s="14" t="str">
        <f>IFERROR(__xludf.DUMMYFUNCTION("""COMPUTED_VALUE"""),"He/him")</f>
        <v>He/him</v>
      </c>
      <c r="E49" s="14" t="str">
        <f>IFERROR(__xludf.DUMMYFUNCTION("""COMPUTED_VALUE"""),"Cymbals")</f>
        <v>Cymbals</v>
      </c>
      <c r="F49" s="14">
        <f>IFERROR(__xludf.DUMMYFUNCTION("""COMPUTED_VALUE"""),18.0)</f>
        <v>18</v>
      </c>
      <c r="G49" s="14" t="str">
        <f>IFERROR(__xludf.DUMMYFUNCTION("""COMPUTED_VALUE"""),"i2")</f>
        <v>i2</v>
      </c>
      <c r="H49" s="14" t="str">
        <f>IFERROR(__xludf.DUMMYFUNCTION("""COMPUTED_VALUE"""),"Semifinals - Infinity 2, 2023
Semifinals - Infinity 3, 2022
FMBC Finalist - CCHS, 2021
Music For All - CCHS Percussion, 2023")</f>
        <v>Semifinals - Infinity 2, 2023
Semifinals - Infinity 3, 2022
FMBC Finalist - CCHS, 2021
Music For All - CCHS Percussion, 2023</v>
      </c>
      <c r="I49" s="12" t="str">
        <f>IFERROR(__xludf.DUMMYFUNCTION("""COMPUTED_VALUE"""),"Benjamin  Ferrer")</f>
        <v>Benjamin  Ferrer</v>
      </c>
      <c r="J49" s="12" t="str">
        <f>IFERROR(__xludf.DUMMYFUNCTION("""COMPUTED_VALUE"""),"bferrer2006@gmail.com")</f>
        <v>bferrer2006@gmail.com</v>
      </c>
      <c r="K49" s="12"/>
    </row>
    <row r="50">
      <c r="A50" s="11" t="str">
        <f>IFERROR(__xludf.DUMMYFUNCTION("""COMPUTED_VALUE"""),"CC8162")</f>
        <v>CC8162</v>
      </c>
      <c r="B50" s="11" t="str">
        <f>IFERROR(__xludf.DUMMYFUNCTION("""COMPUTED_VALUE"""),"Cole")</f>
        <v>Cole</v>
      </c>
      <c r="C50" s="11" t="str">
        <f>IFERROR(__xludf.DUMMYFUNCTION("""COMPUTED_VALUE"""),"Callen")</f>
        <v>Callen</v>
      </c>
      <c r="D50" s="17" t="str">
        <f>IFERROR(__xludf.DUMMYFUNCTION("""COMPUTED_VALUE"""),"She/her")</f>
        <v>She/her</v>
      </c>
      <c r="E50" s="17" t="str">
        <f>IFERROR(__xludf.DUMMYFUNCTION("""COMPUTED_VALUE"""),"Snare")</f>
        <v>Snare</v>
      </c>
      <c r="F50" s="17">
        <f>IFERROR(__xludf.DUMMYFUNCTION("""COMPUTED_VALUE"""),17.0)</f>
        <v>17</v>
      </c>
      <c r="G50" s="17" t="str">
        <f>IFERROR(__xludf.DUMMYFUNCTION("""COMPUTED_VALUE"""),"hs")</f>
        <v>hs</v>
      </c>
      <c r="H50" s="17" t="str">
        <f>IFERROR(__xludf.DUMMYFUNCTION("""COMPUTED_VALUE"""),"I have marched two previous seasons of marching battery in marching band and done two previous season of competition marching indoor percussion. I am currently on my third marching season.
")</f>
        <v>I have marched two previous seasons of marching battery in marching band and done two previous season of competition marching indoor percussion. I am currently on my third marching season.
</v>
      </c>
      <c r="I50" s="12" t="str">
        <f>IFERROR(__xludf.DUMMYFUNCTION("""COMPUTED_VALUE"""),"Callen Cole")</f>
        <v>Callen Cole</v>
      </c>
      <c r="J50" s="12" t="str">
        <f>IFERROR(__xludf.DUMMYFUNCTION("""COMPUTED_VALUE"""),"callenleigh07@gmail.com")</f>
        <v>callenleigh07@gmail.com</v>
      </c>
      <c r="K50" s="12"/>
    </row>
    <row r="51">
      <c r="A51" s="13" t="str">
        <f>IFERROR(__xludf.DUMMYFUNCTION("""COMPUTED_VALUE"""),"WB8165")</f>
        <v>WB8165</v>
      </c>
      <c r="B51" s="11" t="str">
        <f>IFERROR(__xludf.DUMMYFUNCTION("""COMPUTED_VALUE"""),"Blackwood")</f>
        <v>Blackwood</v>
      </c>
      <c r="C51" s="13" t="str">
        <f>IFERROR(__xludf.DUMMYFUNCTION("""COMPUTED_VALUE"""),"Warner")</f>
        <v>Warner</v>
      </c>
      <c r="D51" s="14" t="str">
        <f>IFERROR(__xludf.DUMMYFUNCTION("""COMPUTED_VALUE"""),"he/him")</f>
        <v>he/him</v>
      </c>
      <c r="E51" s="14" t="str">
        <f>IFERROR(__xludf.DUMMYFUNCTION("""COMPUTED_VALUE"""),"Bass")</f>
        <v>Bass</v>
      </c>
      <c r="F51" s="14">
        <f>IFERROR(__xludf.DUMMYFUNCTION("""COMPUTED_VALUE"""),18.0)</f>
        <v>18</v>
      </c>
      <c r="G51" s="14" t="str">
        <f>IFERROR(__xludf.DUMMYFUNCTION("""COMPUTED_VALUE"""),"i3")</f>
        <v>i3</v>
      </c>
      <c r="H51" s="14" t="str">
        <f>IFERROR(__xludf.DUMMYFUNCTION("""COMPUTED_VALUE"""),"Boone HS SOTB 2020 -&gt; 2024; Infinity 3 2023")</f>
        <v>Boone HS SOTB 2020 -&gt; 2024; Infinity 3 2023</v>
      </c>
      <c r="I51" s="12" t="str">
        <f>IFERROR(__xludf.DUMMYFUNCTION("""COMPUTED_VALUE"""),"Warner Blackwood")</f>
        <v>Warner Blackwood</v>
      </c>
      <c r="J51" s="12" t="str">
        <f>IFERROR(__xludf.DUMMYFUNCTION("""COMPUTED_VALUE"""),"thewborlando@gmail.com")</f>
        <v>thewborlando@gmail.com</v>
      </c>
      <c r="K51" s="12"/>
    </row>
    <row r="52">
      <c r="A52" s="11" t="str">
        <f>IFERROR(__xludf.DUMMYFUNCTION("""COMPUTED_VALUE"""),"DS8063")</f>
        <v>DS8063</v>
      </c>
      <c r="B52" s="11" t="str">
        <f>IFERROR(__xludf.DUMMYFUNCTION("""COMPUTED_VALUE"""),"Smith")</f>
        <v>Smith</v>
      </c>
      <c r="C52" s="11" t="str">
        <f>IFERROR(__xludf.DUMMYFUNCTION("""COMPUTED_VALUE"""),"Dexter")</f>
        <v>Dexter</v>
      </c>
      <c r="D52" s="11" t="str">
        <f>IFERROR(__xludf.DUMMYFUNCTION("""COMPUTED_VALUE"""),"He/him")</f>
        <v>He/him</v>
      </c>
      <c r="E52" s="11" t="str">
        <f>IFERROR(__xludf.DUMMYFUNCTION("""COMPUTED_VALUE"""),"Cymbals")</f>
        <v>Cymbals</v>
      </c>
      <c r="F52" s="11">
        <f>IFERROR(__xludf.DUMMYFUNCTION("""COMPUTED_VALUE"""),19.0)</f>
        <v>19</v>
      </c>
      <c r="G52" s="11" t="str">
        <f>IFERROR(__xludf.DUMMYFUNCTION("""COMPUTED_VALUE"""),"i2")</f>
        <v>i2</v>
      </c>
      <c r="H52" s="11" t="str">
        <f>IFERROR(__xludf.DUMMYFUNCTION("""COMPUTED_VALUE"""),"Timber creek hs outdoor 2019-2022 (snare)
TCHS scholastic concert 2023 (vibraphone)
infinity 3 2021 (cymbals)
infinity 2 2022-2023 (cymbals)
Southwind 2023 (cymbals) ")</f>
        <v>Timber creek hs outdoor 2019-2022 (snare)
TCHS scholastic concert 2023 (vibraphone)
infinity 3 2021 (cymbals)
infinity 2 2022-2023 (cymbals)
Southwind 2023 (cymbals) </v>
      </c>
      <c r="I52" s="12" t="str">
        <f>IFERROR(__xludf.DUMMYFUNCTION("""COMPUTED_VALUE"""),"Dexter Smith")</f>
        <v>Dexter Smith</v>
      </c>
      <c r="J52" s="12" t="str">
        <f>IFERROR(__xludf.DUMMYFUNCTION("""COMPUTED_VALUE"""),"dextersmith194@gmail.com")</f>
        <v>dextersmith194@gmail.com</v>
      </c>
      <c r="K52" s="12"/>
    </row>
    <row r="53">
      <c r="A53" s="13" t="str">
        <f>IFERROR(__xludf.DUMMYFUNCTION("""COMPUTED_VALUE"""),"PS8167")</f>
        <v>PS8167</v>
      </c>
      <c r="B53" s="11" t="str">
        <f>IFERROR(__xludf.DUMMYFUNCTION("""COMPUTED_VALUE"""),"Sturdivant")</f>
        <v>Sturdivant</v>
      </c>
      <c r="C53" s="13" t="str">
        <f>IFERROR(__xludf.DUMMYFUNCTION("""COMPUTED_VALUE"""),"Parker")</f>
        <v>Parker</v>
      </c>
      <c r="D53" s="14" t="str">
        <f>IFERROR(__xludf.DUMMYFUNCTION("""COMPUTED_VALUE"""),"He/him")</f>
        <v>He/him</v>
      </c>
      <c r="E53" s="14" t="str">
        <f>IFERROR(__xludf.DUMMYFUNCTION("""COMPUTED_VALUE"""),"Snare")</f>
        <v>Snare</v>
      </c>
      <c r="F53" s="14">
        <f>IFERROR(__xludf.DUMMYFUNCTION("""COMPUTED_VALUE"""),19.0)</f>
        <v>19</v>
      </c>
      <c r="G53" s="14" t="str">
        <f>IFERROR(__xludf.DUMMYFUNCTION("""COMPUTED_VALUE"""),"piw")</f>
        <v>piw</v>
      </c>
      <c r="H53" s="14" t="str">
        <f>IFERROR(__xludf.DUMMYFUNCTION("""COMPUTED_VALUE"""),"Marched Stryke 2022-2023
Marched three years of highschool on quads. My fourth year I was centersnare/captain.")</f>
        <v>Marched Stryke 2022-2023
Marched three years of highschool on quads. My fourth year I was centersnare/captain.</v>
      </c>
      <c r="I53" s="12" t="str">
        <f>IFERROR(__xludf.DUMMYFUNCTION("""COMPUTED_VALUE"""),"Parker Sturdivant")</f>
        <v>Parker Sturdivant</v>
      </c>
      <c r="J53" s="12" t="str">
        <f>IFERROR(__xludf.DUMMYFUNCTION("""COMPUTED_VALUE"""),"parkersturdy@gmail.com")</f>
        <v>parkersturdy@gmail.com</v>
      </c>
      <c r="K53" s="12"/>
    </row>
    <row r="54">
      <c r="A54" s="11" t="str">
        <f>IFERROR(__xludf.DUMMYFUNCTION("""COMPUTED_VALUE"""),"AS8171")</f>
        <v>AS8171</v>
      </c>
      <c r="B54" s="11" t="str">
        <f>IFERROR(__xludf.DUMMYFUNCTION("""COMPUTED_VALUE"""),"Sigall")</f>
        <v>Sigall</v>
      </c>
      <c r="C54" s="11" t="str">
        <f>IFERROR(__xludf.DUMMYFUNCTION("""COMPUTED_VALUE"""),"Aden")</f>
        <v>Aden</v>
      </c>
      <c r="D54" s="17" t="str">
        <f>IFERROR(__xludf.DUMMYFUNCTION("""COMPUTED_VALUE"""),"He/Him")</f>
        <v>He/Him</v>
      </c>
      <c r="E54" s="17" t="str">
        <f>IFERROR(__xludf.DUMMYFUNCTION("""COMPUTED_VALUE"""),"Bass")</f>
        <v>Bass</v>
      </c>
      <c r="F54" s="17">
        <f>IFERROR(__xludf.DUMMYFUNCTION("""COMPUTED_VALUE"""),19.0)</f>
        <v>19</v>
      </c>
      <c r="G54" s="17" t="str">
        <f>IFERROR(__xludf.DUMMYFUNCTION("""COMPUTED_VALUE"""),"i2")</f>
        <v>i2</v>
      </c>
      <c r="H54" s="17" t="str">
        <f>IFERROR(__xludf.DUMMYFUNCTION("""COMPUTED_VALUE"""),"Nease HS 2019-2023, Nease Indoor Percussion 2021, Conflux 2020, Infinity II 2022-2023, Jersey Surf 2022, Blue Stars 2023")</f>
        <v>Nease HS 2019-2023, Nease Indoor Percussion 2021, Conflux 2020, Infinity II 2022-2023, Jersey Surf 2022, Blue Stars 2023</v>
      </c>
      <c r="I54" s="12" t="str">
        <f>IFERROR(__xludf.DUMMYFUNCTION("""COMPUTED_VALUE"""),"Aden Sigall")</f>
        <v>Aden Sigall</v>
      </c>
      <c r="J54" s="12" t="str">
        <f>IFERROR(__xludf.DUMMYFUNCTION("""COMPUTED_VALUE"""),"amsig@icloud.com")</f>
        <v>amsig@icloud.com</v>
      </c>
      <c r="K54" s="12"/>
    </row>
    <row r="55">
      <c r="A55" s="13" t="str">
        <f>IFERROR(__xludf.DUMMYFUNCTION("""COMPUTED_VALUE"""),"AS8173")</f>
        <v>AS8173</v>
      </c>
      <c r="B55" s="11" t="str">
        <f>IFERROR(__xludf.DUMMYFUNCTION("""COMPUTED_VALUE"""),"Sanchez")</f>
        <v>Sanchez</v>
      </c>
      <c r="C55" s="13" t="str">
        <f>IFERROR(__xludf.DUMMYFUNCTION("""COMPUTED_VALUE"""),"Alex")</f>
        <v>Alex</v>
      </c>
      <c r="D55" s="13" t="str">
        <f>IFERROR(__xludf.DUMMYFUNCTION("""COMPUTED_VALUE"""),"He\him")</f>
        <v>He\him</v>
      </c>
      <c r="E55" s="13" t="str">
        <f>IFERROR(__xludf.DUMMYFUNCTION("""COMPUTED_VALUE"""),"Bass")</f>
        <v>Bass</v>
      </c>
      <c r="F55" s="13">
        <f>IFERROR(__xludf.DUMMYFUNCTION("""COMPUTED_VALUE"""),17.0)</f>
        <v>17</v>
      </c>
      <c r="G55" s="13" t="str">
        <f>IFERROR(__xludf.DUMMYFUNCTION("""COMPUTED_VALUE"""),"hs")</f>
        <v>hs</v>
      </c>
      <c r="H55" s="13" t="str">
        <f>IFERROR(__xludf.DUMMYFUNCTION("""COMPUTED_VALUE"""),"Wild frontier (North Port Highschool 2022)
Worlds apart (North Port Highschool 2023)")</f>
        <v>Wild frontier (North Port Highschool 2022)
Worlds apart (North Port Highschool 2023)</v>
      </c>
      <c r="I55" s="12" t="str">
        <f>IFERROR(__xludf.DUMMYFUNCTION("""COMPUTED_VALUE"""),"Alex Sanchez")</f>
        <v>Alex Sanchez</v>
      </c>
      <c r="J55" s="12" t="str">
        <f>IFERROR(__xludf.DUMMYFUNCTION("""COMPUTED_VALUE"""),"pizzapoolparty2018@gmail.com")</f>
        <v>pizzapoolparty2018@gmail.com</v>
      </c>
      <c r="K55" s="12"/>
    </row>
    <row r="56">
      <c r="A56" s="11" t="str">
        <f>IFERROR(__xludf.DUMMYFUNCTION("""COMPUTED_VALUE"""),"CA8174")</f>
        <v>CA8174</v>
      </c>
      <c r="B56" s="11" t="str">
        <f>IFERROR(__xludf.DUMMYFUNCTION("""COMPUTED_VALUE"""),"Anderson")</f>
        <v>Anderson</v>
      </c>
      <c r="C56" s="11" t="str">
        <f>IFERROR(__xludf.DUMMYFUNCTION("""COMPUTED_VALUE"""),"Cole")</f>
        <v>Cole</v>
      </c>
      <c r="D56" s="17"/>
      <c r="E56" s="17" t="str">
        <f>IFERROR(__xludf.DUMMYFUNCTION("""COMPUTED_VALUE"""),"Cymbals")</f>
        <v>Cymbals</v>
      </c>
      <c r="F56" s="17">
        <f>IFERROR(__xludf.DUMMYFUNCTION("""COMPUTED_VALUE"""),18.0)</f>
        <v>18</v>
      </c>
      <c r="G56" s="17" t="str">
        <f>IFERROR(__xludf.DUMMYFUNCTION("""COMPUTED_VALUE"""),"hs")</f>
        <v>hs</v>
      </c>
      <c r="H56" s="17" t="str">
        <f>IFERROR(__xludf.DUMMYFUNCTION("""COMPUTED_VALUE"""),"Pace High Indoor Percussion: 2019-2020 Auxiliary Percussion 
2020-2023: Cymbal Line")</f>
        <v>Pace High Indoor Percussion: 2019-2020 Auxiliary Percussion 
2020-2023: Cymbal Line</v>
      </c>
      <c r="I56" s="12" t="str">
        <f>IFERROR(__xludf.DUMMYFUNCTION("""COMPUTED_VALUE"""),"Cole Anderson")</f>
        <v>Cole Anderson</v>
      </c>
      <c r="J56" s="12" t="str">
        <f>IFERROR(__xludf.DUMMYFUNCTION("""COMPUTED_VALUE"""),"messitaco29@gmail.com")</f>
        <v>messitaco29@gmail.com</v>
      </c>
      <c r="K56" s="12"/>
    </row>
    <row r="57">
      <c r="A57" s="13" t="str">
        <f>IFERROR(__xludf.DUMMYFUNCTION("""COMPUTED_VALUE"""),"AM8153")</f>
        <v>AM8153</v>
      </c>
      <c r="B57" s="11" t="str">
        <f>IFERROR(__xludf.DUMMYFUNCTION("""COMPUTED_VALUE"""),"Martin")</f>
        <v>Martin</v>
      </c>
      <c r="C57" s="13" t="str">
        <f>IFERROR(__xludf.DUMMYFUNCTION("""COMPUTED_VALUE"""),"Austin")</f>
        <v>Austin</v>
      </c>
      <c r="D57" s="14" t="str">
        <f>IFERROR(__xludf.DUMMYFUNCTION("""COMPUTED_VALUE"""),"He/Him")</f>
        <v>He/Him</v>
      </c>
      <c r="E57" s="14" t="str">
        <f>IFERROR(__xludf.DUMMYFUNCTION("""COMPUTED_VALUE"""),"Tenor")</f>
        <v>Tenor</v>
      </c>
      <c r="F57" s="14">
        <f>IFERROR(__xludf.DUMMYFUNCTION("""COMPUTED_VALUE"""),22.0)</f>
        <v>22</v>
      </c>
      <c r="G57" s="14" t="str">
        <f>IFERROR(__xludf.DUMMYFUNCTION("""COMPUTED_VALUE"""),"pia")</f>
        <v>pia</v>
      </c>
      <c r="H57" s="14" t="str">
        <f>IFERROR(__xludf.DUMMYFUNCTION("""COMPUTED_VALUE"""),"Southwind 2022, conflux 2023, Valdosta State University 2020-2023")</f>
        <v>Southwind 2022, conflux 2023, Valdosta State University 2020-2023</v>
      </c>
      <c r="I57" s="12" t="str">
        <f>IFERROR(__xludf.DUMMYFUNCTION("""COMPUTED_VALUE"""),"Austin Martin")</f>
        <v>Austin Martin</v>
      </c>
      <c r="J57" s="12" t="str">
        <f>IFERROR(__xludf.DUMMYFUNCTION("""COMPUTED_VALUE"""),"atm080801@gmail.com")</f>
        <v>atm080801@gmail.com</v>
      </c>
      <c r="K57" s="12"/>
    </row>
    <row r="58">
      <c r="A58" s="11" t="str">
        <f>IFERROR(__xludf.DUMMYFUNCTION("""COMPUTED_VALUE"""),"SK8163")</f>
        <v>SK8163</v>
      </c>
      <c r="B58" s="11" t="str">
        <f>IFERROR(__xludf.DUMMYFUNCTION("""COMPUTED_VALUE"""),"Kaniyur")</f>
        <v>Kaniyur</v>
      </c>
      <c r="C58" s="11" t="str">
        <f>IFERROR(__xludf.DUMMYFUNCTION("""COMPUTED_VALUE"""),"Surya")</f>
        <v>Surya</v>
      </c>
      <c r="D58" s="17" t="str">
        <f>IFERROR(__xludf.DUMMYFUNCTION("""COMPUTED_VALUE"""),"He/Him")</f>
        <v>He/Him</v>
      </c>
      <c r="E58" s="17" t="str">
        <f>IFERROR(__xludf.DUMMYFUNCTION("""COMPUTED_VALUE"""),"Tenor")</f>
        <v>Tenor</v>
      </c>
      <c r="F58" s="17">
        <f>IFERROR(__xludf.DUMMYFUNCTION("""COMPUTED_VALUE"""),21.0)</f>
        <v>21</v>
      </c>
      <c r="G58" s="17" t="str">
        <f>IFERROR(__xludf.DUMMYFUNCTION("""COMPUTED_VALUE"""),"i1")</f>
        <v>i1</v>
      </c>
      <c r="H58" s="17" t="str">
        <f>IFERROR(__xludf.DUMMYFUNCTION("""COMPUTED_VALUE"""),"-Somerset Academy High School Marching Band 2015-2020
-FIU Indoor Percussion 2017-2021
-FIU Marching Band 2020-2021
-The Academy DBC 2021-2022
-Infinity Percussion 2022
-Blue Devils Entertainment 2019-Present")</f>
        <v>-Somerset Academy High School Marching Band 2015-2020
-FIU Indoor Percussion 2017-2021
-FIU Marching Band 2020-2021
-The Academy DBC 2021-2022
-Infinity Percussion 2022
-Blue Devils Entertainment 2019-Present</v>
      </c>
      <c r="I58" s="12" t="str">
        <f>IFERROR(__xludf.DUMMYFUNCTION("""COMPUTED_VALUE"""),"Surya Kaniyur")</f>
        <v>Surya Kaniyur</v>
      </c>
      <c r="J58" s="12" t="str">
        <f>IFERROR(__xludf.DUMMYFUNCTION("""COMPUTED_VALUE"""),"suryakaniyur@gmail.com")</f>
        <v>suryakaniyur@gmail.com</v>
      </c>
      <c r="K58" s="12"/>
    </row>
    <row r="59">
      <c r="A59" s="13" t="str">
        <f>IFERROR(__xludf.DUMMYFUNCTION("""COMPUTED_VALUE"""),"JB8146")</f>
        <v>JB8146</v>
      </c>
      <c r="B59" s="11" t="str">
        <f>IFERROR(__xludf.DUMMYFUNCTION("""COMPUTED_VALUE"""),"Bruton")</f>
        <v>Bruton</v>
      </c>
      <c r="C59" s="13" t="str">
        <f>IFERROR(__xludf.DUMMYFUNCTION("""COMPUTED_VALUE"""),"Jason")</f>
        <v>Jason</v>
      </c>
      <c r="D59" s="14" t="str">
        <f>IFERROR(__xludf.DUMMYFUNCTION("""COMPUTED_VALUE"""),"He/Him")</f>
        <v>He/Him</v>
      </c>
      <c r="E59" s="14" t="str">
        <f>IFERROR(__xludf.DUMMYFUNCTION("""COMPUTED_VALUE"""),"Snare")</f>
        <v>Snare</v>
      </c>
      <c r="F59" s="14">
        <f>IFERROR(__xludf.DUMMYFUNCTION("""COMPUTED_VALUE"""),19.0)</f>
        <v>19</v>
      </c>
      <c r="G59" s="14" t="str">
        <f>IFERROR(__xludf.DUMMYFUNCTION("""COMPUTED_VALUE"""),"hs")</f>
        <v>hs</v>
      </c>
      <c r="H59" s="14" t="str">
        <f>IFERROR(__xludf.DUMMYFUNCTION("""COMPUTED_VALUE"""),"4 years Highscool Marching Band
4 Years Highscool Indoor Percussion
Raiders Drum and Bugle Corp 2020 - 2022")</f>
        <v>4 years Highscool Marching Band
4 Years Highscool Indoor Percussion
Raiders Drum and Bugle Corp 2020 - 2022</v>
      </c>
      <c r="I59" s="12" t="str">
        <f>IFERROR(__xludf.DUMMYFUNCTION("""COMPUTED_VALUE"""),"Jason Bruton")</f>
        <v>Jason Bruton</v>
      </c>
      <c r="J59" s="12" t="str">
        <f>IFERROR(__xludf.DUMMYFUNCTION("""COMPUTED_VALUE"""),"jasonbruton652@gmail.com")</f>
        <v>jasonbruton652@gmail.com</v>
      </c>
      <c r="K59" s="12"/>
    </row>
    <row r="60">
      <c r="A60" s="11" t="str">
        <f>IFERROR(__xludf.DUMMYFUNCTION("""COMPUTED_VALUE"""),"MW8067")</f>
        <v>MW8067</v>
      </c>
      <c r="B60" s="11" t="str">
        <f>IFERROR(__xludf.DUMMYFUNCTION("""COMPUTED_VALUE"""),"Wydler")</f>
        <v>Wydler</v>
      </c>
      <c r="C60" s="11" t="str">
        <f>IFERROR(__xludf.DUMMYFUNCTION("""COMPUTED_VALUE"""),"Mark")</f>
        <v>Mark</v>
      </c>
      <c r="D60" s="17"/>
      <c r="E60" s="17" t="str">
        <f>IFERROR(__xludf.DUMMYFUNCTION("""COMPUTED_VALUE"""),"Cymbals")</f>
        <v>Cymbals</v>
      </c>
      <c r="F60" s="17">
        <f>IFERROR(__xludf.DUMMYFUNCTION("""COMPUTED_VALUE"""),21.0)</f>
        <v>21</v>
      </c>
      <c r="G60" s="17" t="str">
        <f>IFERROR(__xludf.DUMMYFUNCTION("""COMPUTED_VALUE"""),"pio")</f>
        <v>pio</v>
      </c>
      <c r="H60" s="17" t="str">
        <f>IFERROR(__xludf.DUMMYFUNCTION("""COMPUTED_VALUE"""),"Mandarin High school marching band 2018-2022
DCI - Colt cadets 2021, Pacific Crest 2022, Seattle Cascades 2023
WGI - Atlas Percussion 2023")</f>
        <v>Mandarin High school marching band 2018-2022
DCI - Colt cadets 2021, Pacific Crest 2022, Seattle Cascades 2023
WGI - Atlas Percussion 2023</v>
      </c>
      <c r="I60" s="12" t="str">
        <f>IFERROR(__xludf.DUMMYFUNCTION("""COMPUTED_VALUE"""),"Mark Wydler")</f>
        <v>Mark Wydler</v>
      </c>
      <c r="J60" s="12" t="str">
        <f>IFERROR(__xludf.DUMMYFUNCTION("""COMPUTED_VALUE"""),"mark.wydler@icloud.com")</f>
        <v>mark.wydler@icloud.com</v>
      </c>
      <c r="K60" s="12"/>
    </row>
    <row r="61">
      <c r="A61" s="13" t="str">
        <f>IFERROR(__xludf.DUMMYFUNCTION("""COMPUTED_VALUE"""),"MV8148")</f>
        <v>MV8148</v>
      </c>
      <c r="B61" s="11" t="str">
        <f>IFERROR(__xludf.DUMMYFUNCTION("""COMPUTED_VALUE"""),"Vickery")</f>
        <v>Vickery</v>
      </c>
      <c r="C61" s="13" t="str">
        <f>IFERROR(__xludf.DUMMYFUNCTION("""COMPUTED_VALUE"""),"Mike")</f>
        <v>Mike</v>
      </c>
      <c r="D61" s="14" t="str">
        <f>IFERROR(__xludf.DUMMYFUNCTION("""COMPUTED_VALUE"""),"He/Him")</f>
        <v>He/Him</v>
      </c>
      <c r="E61" s="14" t="str">
        <f>IFERROR(__xludf.DUMMYFUNCTION("""COMPUTED_VALUE"""),"Snare")</f>
        <v>Snare</v>
      </c>
      <c r="F61" s="14">
        <f>IFERROR(__xludf.DUMMYFUNCTION("""COMPUTED_VALUE"""),22.0)</f>
        <v>22</v>
      </c>
      <c r="G61" s="14" t="str">
        <f>IFERROR(__xludf.DUMMYFUNCTION("""COMPUTED_VALUE"""),"i2")</f>
        <v>i2</v>
      </c>
      <c r="H61" s="14" t="str">
        <f>IFERROR(__xludf.DUMMYFUNCTION("""COMPUTED_VALUE"""),"Conflux 18, 19, 21, 22
Southwind 22
Infinity 2 23")</f>
        <v>Conflux 18, 19, 21, 22
Southwind 22
Infinity 2 23</v>
      </c>
      <c r="I61" s="12" t="str">
        <f>IFERROR(__xludf.DUMMYFUNCTION("""COMPUTED_VALUE"""),"Mike Vickery")</f>
        <v>Mike Vickery</v>
      </c>
      <c r="J61" s="12" t="str">
        <f>IFERROR(__xludf.DUMMYFUNCTION("""COMPUTED_VALUE"""),"michaelvickery321@gmail.com")</f>
        <v>michaelvickery321@gmail.com</v>
      </c>
      <c r="K61" s="12"/>
    </row>
    <row r="62">
      <c r="A62" s="11" t="str">
        <f>IFERROR(__xludf.DUMMYFUNCTION("""COMPUTED_VALUE"""),"DT8151")</f>
        <v>DT8151</v>
      </c>
      <c r="B62" s="11" t="str">
        <f>IFERROR(__xludf.DUMMYFUNCTION("""COMPUTED_VALUE"""),"Tibma")</f>
        <v>Tibma</v>
      </c>
      <c r="C62" s="11" t="str">
        <f>IFERROR(__xludf.DUMMYFUNCTION("""COMPUTED_VALUE"""),"Daniel")</f>
        <v>Daniel</v>
      </c>
      <c r="D62" s="17" t="str">
        <f>IFERROR(__xludf.DUMMYFUNCTION("""COMPUTED_VALUE"""),"he/him")</f>
        <v>he/him</v>
      </c>
      <c r="E62" s="17" t="str">
        <f>IFERROR(__xludf.DUMMYFUNCTION("""COMPUTED_VALUE"""),"Snare")</f>
        <v>Snare</v>
      </c>
      <c r="F62" s="17">
        <f>IFERROR(__xludf.DUMMYFUNCTION("""COMPUTED_VALUE"""),19.0)</f>
        <v>19</v>
      </c>
      <c r="G62" s="17" t="str">
        <f>IFERROR(__xludf.DUMMYFUNCTION("""COMPUTED_VALUE"""),"i3")</f>
        <v>i3</v>
      </c>
      <c r="H62" s="17" t="str">
        <f>IFERROR(__xludf.DUMMYFUNCTION("""COMPUTED_VALUE"""),"Tarpon Springs High School 2019-2023, Infinity 3 2022, Atlas 2023, Southwind 2023")</f>
        <v>Tarpon Springs High School 2019-2023, Infinity 3 2022, Atlas 2023, Southwind 2023</v>
      </c>
      <c r="I62" s="12" t="str">
        <f>IFERROR(__xludf.DUMMYFUNCTION("""COMPUTED_VALUE"""),"Daniel Tibma")</f>
        <v>Daniel Tibma</v>
      </c>
      <c r="J62" s="12" t="str">
        <f>IFERROR(__xludf.DUMMYFUNCTION("""COMPUTED_VALUE"""),"dtibma05@gmail.com")</f>
        <v>dtibma05@gmail.com</v>
      </c>
      <c r="K62" s="12"/>
    </row>
    <row r="63">
      <c r="A63" s="13" t="str">
        <f>IFERROR(__xludf.DUMMYFUNCTION("""COMPUTED_VALUE"""),"DG8051")</f>
        <v>DG8051</v>
      </c>
      <c r="B63" s="11" t="str">
        <f>IFERROR(__xludf.DUMMYFUNCTION("""COMPUTED_VALUE"""),"Gregory")</f>
        <v>Gregory</v>
      </c>
      <c r="C63" s="13" t="str">
        <f>IFERROR(__xludf.DUMMYFUNCTION("""COMPUTED_VALUE"""),"Dillon")</f>
        <v>Dillon</v>
      </c>
      <c r="D63" s="14"/>
      <c r="E63" s="14" t="str">
        <f>IFERROR(__xludf.DUMMYFUNCTION("""COMPUTED_VALUE"""),"Snare")</f>
        <v>Snare</v>
      </c>
      <c r="F63" s="14">
        <f>IFERROR(__xludf.DUMMYFUNCTION("""COMPUTED_VALUE"""),21.0)</f>
        <v>21</v>
      </c>
      <c r="G63" s="14" t="str">
        <f>IFERROR(__xludf.DUMMYFUNCTION("""COMPUTED_VALUE"""),"pia")</f>
        <v>pia</v>
      </c>
      <c r="H63" s="14" t="str">
        <f>IFERROR(__xludf.DUMMYFUNCTION("""COMPUTED_VALUE"""),"Taylor County High School 2017-2020
Unity Percussion 2019-2020")</f>
        <v>Taylor County High School 2017-2020
Unity Percussion 2019-2020</v>
      </c>
      <c r="I63" s="12" t="str">
        <f>IFERROR(__xludf.DUMMYFUNCTION("""COMPUTED_VALUE"""),"Dillon Gregory")</f>
        <v>Dillon Gregory</v>
      </c>
      <c r="J63" s="12" t="str">
        <f>IFERROR(__xludf.DUMMYFUNCTION("""COMPUTED_VALUE"""),"little6point@gmail.com")</f>
        <v>little6point@gmail.com</v>
      </c>
      <c r="K63" s="12"/>
    </row>
    <row r="64">
      <c r="A64" s="11" t="str">
        <f>IFERROR(__xludf.DUMMYFUNCTION("""COMPUTED_VALUE"""),"AH8142")</f>
        <v>AH8142</v>
      </c>
      <c r="B64" s="11" t="str">
        <f>IFERROR(__xludf.DUMMYFUNCTION("""COMPUTED_VALUE"""),"Hulsey")</f>
        <v>Hulsey</v>
      </c>
      <c r="C64" s="11" t="str">
        <f>IFERROR(__xludf.DUMMYFUNCTION("""COMPUTED_VALUE"""),"Alex")</f>
        <v>Alex</v>
      </c>
      <c r="D64" s="17" t="str">
        <f>IFERROR(__xludf.DUMMYFUNCTION("""COMPUTED_VALUE"""),"He/Him")</f>
        <v>He/Him</v>
      </c>
      <c r="E64" s="17" t="str">
        <f>IFERROR(__xludf.DUMMYFUNCTION("""COMPUTED_VALUE"""),"Tenor")</f>
        <v>Tenor</v>
      </c>
      <c r="F64" s="17">
        <f>IFERROR(__xludf.DUMMYFUNCTION("""COMPUTED_VALUE"""),17.0)</f>
        <v>17</v>
      </c>
      <c r="G64" s="17" t="str">
        <f>IFERROR(__xludf.DUMMYFUNCTION("""COMPUTED_VALUE"""),"hs")</f>
        <v>hs</v>
      </c>
      <c r="H64" s="17" t="str">
        <f>IFERROR(__xludf.DUMMYFUNCTION("""COMPUTED_VALUE"""),"Windermere High school (2021-2022 marching band-Tenors, 2021-2022 Indoor-Tenors, 2022-2023 marching band-Tenors, 2023-2024 marching band-Snare)")</f>
        <v>Windermere High school (2021-2022 marching band-Tenors, 2021-2022 Indoor-Tenors, 2022-2023 marching band-Tenors, 2023-2024 marching band-Snare)</v>
      </c>
      <c r="I64" s="12" t="str">
        <f>IFERROR(__xludf.DUMMYFUNCTION("""COMPUTED_VALUE"""),"Alex Hulsey")</f>
        <v>Alex Hulsey</v>
      </c>
      <c r="J64" s="12" t="str">
        <f>IFERROR(__xludf.DUMMYFUNCTION("""COMPUTED_VALUE"""),"alex.hulsey@icloud.com")</f>
        <v>alex.hulsey@icloud.com</v>
      </c>
      <c r="K64" s="12"/>
    </row>
    <row r="65">
      <c r="A65" s="13" t="str">
        <f>IFERROR(__xludf.DUMMYFUNCTION("""COMPUTED_VALUE"""),"BH8100")</f>
        <v>BH8100</v>
      </c>
      <c r="B65" s="11" t="str">
        <f>IFERROR(__xludf.DUMMYFUNCTION("""COMPUTED_VALUE"""),"Haire")</f>
        <v>Haire</v>
      </c>
      <c r="C65" s="13" t="str">
        <f>IFERROR(__xludf.DUMMYFUNCTION("""COMPUTED_VALUE"""),"Brian")</f>
        <v>Brian</v>
      </c>
      <c r="D65" s="14" t="str">
        <f>IFERROR(__xludf.DUMMYFUNCTION("""COMPUTED_VALUE"""),"N/A")</f>
        <v>N/A</v>
      </c>
      <c r="E65" s="14" t="str">
        <f>IFERROR(__xludf.DUMMYFUNCTION("""COMPUTED_VALUE"""),"Snare")</f>
        <v>Snare</v>
      </c>
      <c r="F65" s="14">
        <f>IFERROR(__xludf.DUMMYFUNCTION("""COMPUTED_VALUE"""),21.0)</f>
        <v>21</v>
      </c>
      <c r="G65" s="14" t="str">
        <f>IFERROR(__xludf.DUMMYFUNCTION("""COMPUTED_VALUE"""),"dci")</f>
        <v>dci</v>
      </c>
      <c r="H65" s="14" t="str">
        <f>IFERROR(__xludf.DUMMYFUNCTION("""COMPUTED_VALUE"""),"Lincoln High School drumline, and Heat Wave Dci 2023")</f>
        <v>Lincoln High School drumline, and Heat Wave Dci 2023</v>
      </c>
      <c r="I65" s="12" t="str">
        <f>IFERROR(__xludf.DUMMYFUNCTION("""COMPUTED_VALUE"""),"Brian Haire")</f>
        <v>Brian Haire</v>
      </c>
      <c r="J65" s="12" t="str">
        <f>IFERROR(__xludf.DUMMYFUNCTION("""COMPUTED_VALUE"""),"brian130h@gmail.com")</f>
        <v>brian130h@gmail.com</v>
      </c>
      <c r="K65" s="12"/>
    </row>
    <row r="66">
      <c r="A66" s="11" t="str">
        <f>IFERROR(__xludf.DUMMYFUNCTION("""COMPUTED_VALUE"""),"GR8103")</f>
        <v>GR8103</v>
      </c>
      <c r="B66" s="11" t="str">
        <f>IFERROR(__xludf.DUMMYFUNCTION("""COMPUTED_VALUE"""),"Roberts")</f>
        <v>Roberts</v>
      </c>
      <c r="C66" s="11" t="str">
        <f>IFERROR(__xludf.DUMMYFUNCTION("""COMPUTED_VALUE"""),"Grady")</f>
        <v>Grady</v>
      </c>
      <c r="D66" s="17" t="str">
        <f>IFERROR(__xludf.DUMMYFUNCTION("""COMPUTED_VALUE"""),"He/Him")</f>
        <v>He/Him</v>
      </c>
      <c r="E66" s="17" t="str">
        <f>IFERROR(__xludf.DUMMYFUNCTION("""COMPUTED_VALUE"""),"Cymbals")</f>
        <v>Cymbals</v>
      </c>
      <c r="F66" s="17">
        <f>IFERROR(__xludf.DUMMYFUNCTION("""COMPUTED_VALUE"""),20.0)</f>
        <v>20</v>
      </c>
      <c r="G66" s="17" t="str">
        <f>IFERROR(__xludf.DUMMYFUNCTION("""COMPUTED_VALUE"""),"i3")</f>
        <v>i3</v>
      </c>
      <c r="H66" s="17" t="str">
        <f>IFERROR(__xludf.DUMMYFUNCTION("""COMPUTED_VALUE"""),"Ponte Vedra High School 4 years, Infinity 3 Do not go gentle cymbals and everything in it’s right place quads ")</f>
        <v>Ponte Vedra High School 4 years, Infinity 3 Do not go gentle cymbals and everything in it’s right place quads </v>
      </c>
      <c r="I66" s="12" t="str">
        <f>IFERROR(__xludf.DUMMYFUNCTION("""COMPUTED_VALUE"""),"Grady Roberts")</f>
        <v>Grady Roberts</v>
      </c>
      <c r="J66" s="12" t="str">
        <f>IFERROR(__xludf.DUMMYFUNCTION("""COMPUTED_VALUE"""),"gradyroberts11@icloud.com")</f>
        <v>gradyroberts11@icloud.com</v>
      </c>
      <c r="K66" s="12"/>
    </row>
    <row r="67">
      <c r="A67" s="13" t="str">
        <f>IFERROR(__xludf.DUMMYFUNCTION("""COMPUTED_VALUE"""),"ES8178")</f>
        <v>ES8178</v>
      </c>
      <c r="B67" s="11" t="str">
        <f>IFERROR(__xludf.DUMMYFUNCTION("""COMPUTED_VALUE"""),"Sanderson III")</f>
        <v>Sanderson III</v>
      </c>
      <c r="C67" s="13" t="str">
        <f>IFERROR(__xludf.DUMMYFUNCTION("""COMPUTED_VALUE"""),"Eddie")</f>
        <v>Eddie</v>
      </c>
      <c r="D67" s="14" t="str">
        <f>IFERROR(__xludf.DUMMYFUNCTION("""COMPUTED_VALUE"""),"He/him")</f>
        <v>He/him</v>
      </c>
      <c r="E67" s="14" t="str">
        <f>IFERROR(__xludf.DUMMYFUNCTION("""COMPUTED_VALUE"""),"Snare")</f>
        <v>Snare</v>
      </c>
      <c r="F67" s="14">
        <f>IFERROR(__xludf.DUMMYFUNCTION("""COMPUTED_VALUE"""),18.0)</f>
        <v>18</v>
      </c>
      <c r="G67" s="14" t="str">
        <f>IFERROR(__xludf.DUMMYFUNCTION("""COMPUTED_VALUE"""),"hs")</f>
        <v>hs</v>
      </c>
      <c r="H67" s="14" t="str">
        <f>IFERROR(__xludf.DUMMYFUNCTION("""COMPUTED_VALUE"""),"4 years performing in high school marching band playing snare drum, one concert indoor percussion season playing marimba.")</f>
        <v>4 years performing in high school marching band playing snare drum, one concert indoor percussion season playing marimba.</v>
      </c>
      <c r="I67" s="12" t="str">
        <f>IFERROR(__xludf.DUMMYFUNCTION("""COMPUTED_VALUE"""),"Eddie Sanderson III")</f>
        <v>Eddie Sanderson III</v>
      </c>
      <c r="J67" s="12" t="str">
        <f>IFERROR(__xludf.DUMMYFUNCTION("""COMPUTED_VALUE"""),"eddiesanderson140@gmail.com")</f>
        <v>eddiesanderson140@gmail.com</v>
      </c>
      <c r="K67" s="12"/>
    </row>
    <row r="68">
      <c r="A68" s="11" t="str">
        <f>IFERROR(__xludf.DUMMYFUNCTION("""COMPUTED_VALUE"""),"KH8181")</f>
        <v>KH8181</v>
      </c>
      <c r="B68" s="11" t="str">
        <f>IFERROR(__xludf.DUMMYFUNCTION("""COMPUTED_VALUE"""),"Huynh")</f>
        <v>Huynh</v>
      </c>
      <c r="C68" s="11" t="str">
        <f>IFERROR(__xludf.DUMMYFUNCTION("""COMPUTED_VALUE"""),"Katie")</f>
        <v>Katie</v>
      </c>
      <c r="D68" s="17" t="str">
        <f>IFERROR(__xludf.DUMMYFUNCTION("""COMPUTED_VALUE"""),"She/her")</f>
        <v>She/her</v>
      </c>
      <c r="E68" s="17" t="str">
        <f>IFERROR(__xludf.DUMMYFUNCTION("""COMPUTED_VALUE"""),"Visual Ensemble")</f>
        <v>Visual Ensemble</v>
      </c>
      <c r="F68" s="17">
        <f>IFERROR(__xludf.DUMMYFUNCTION("""COMPUTED_VALUE"""),16.0)</f>
        <v>16</v>
      </c>
      <c r="G68" s="17" t="str">
        <f>IFERROR(__xludf.DUMMYFUNCTION("""COMPUTED_VALUE"""),"piw")</f>
        <v>piw</v>
      </c>
      <c r="H68" s="17" t="str">
        <f>IFERROR(__xludf.DUMMYFUNCTION("""COMPUTED_VALUE"""),"Naples High School marching band ('21, '22), indoor percussion ('22), winter guard ('21)
STRYKE percussion '22
Troopers color guard '23")</f>
        <v>Naples High School marching band ('21, '22), indoor percussion ('22), winter guard ('21)
STRYKE percussion '22
Troopers color guard '23</v>
      </c>
      <c r="I68" s="12" t="str">
        <f>IFERROR(__xludf.DUMMYFUNCTION("""COMPUTED_VALUE"""),"Katie Huynh")</f>
        <v>Katie Huynh</v>
      </c>
      <c r="J68" s="12" t="str">
        <f>IFERROR(__xludf.DUMMYFUNCTION("""COMPUTED_VALUE"""),"mskatiehuynh@gmail.com")</f>
        <v>mskatiehuynh@gmail.com</v>
      </c>
      <c r="K68" s="12"/>
    </row>
    <row r="69">
      <c r="A69" s="13" t="str">
        <f>IFERROR(__xludf.DUMMYFUNCTION("""COMPUTED_VALUE"""),"EV8179")</f>
        <v>EV8179</v>
      </c>
      <c r="B69" s="11" t="str">
        <f>IFERROR(__xludf.DUMMYFUNCTION("""COMPUTED_VALUE"""),"Valdez ")</f>
        <v>Valdez </v>
      </c>
      <c r="C69" s="13" t="str">
        <f>IFERROR(__xludf.DUMMYFUNCTION("""COMPUTED_VALUE"""),"Emilio")</f>
        <v>Emilio</v>
      </c>
      <c r="D69" s="14" t="str">
        <f>IFERROR(__xludf.DUMMYFUNCTION("""COMPUTED_VALUE"""),"He/Him ")</f>
        <v>He/Him </v>
      </c>
      <c r="E69" s="14" t="str">
        <f>IFERROR(__xludf.DUMMYFUNCTION("""COMPUTED_VALUE"""),"Snare")</f>
        <v>Snare</v>
      </c>
      <c r="F69" s="14">
        <f>IFERROR(__xludf.DUMMYFUNCTION("""COMPUTED_VALUE"""),21.0)</f>
        <v>21</v>
      </c>
      <c r="G69" s="14" t="str">
        <f>IFERROR(__xludf.DUMMYFUNCTION("""COMPUTED_VALUE"""),"piw")</f>
        <v>piw</v>
      </c>
      <c r="H69" s="14" t="str">
        <f>IFERROR(__xludf.DUMMYFUNCTION("""COMPUTED_VALUE"""),"West Broward MB 2017-2021
FIU band 2021-2022
STRYKE ( COVID year ) 2021 
Stryke percussion 2 2022
Stryke percussion World 2023 
")</f>
        <v>West Broward MB 2017-2021
FIU band 2021-2022
STRYKE ( COVID year ) 2021 
Stryke percussion 2 2022
Stryke percussion World 2023 
</v>
      </c>
      <c r="I69" s="12" t="str">
        <f>IFERROR(__xludf.DUMMYFUNCTION("""COMPUTED_VALUE"""),"Emilio Valdez ")</f>
        <v>Emilio Valdez </v>
      </c>
      <c r="J69" s="12" t="str">
        <f>IFERROR(__xludf.DUMMYFUNCTION("""COMPUTED_VALUE"""),"emilioval0324@gmail.com")</f>
        <v>emilioval0324@gmail.com</v>
      </c>
      <c r="K69" s="12"/>
    </row>
    <row r="70">
      <c r="A70" s="11" t="str">
        <f>IFERROR(__xludf.DUMMYFUNCTION("""COMPUTED_VALUE"""),"GS8183")</f>
        <v>GS8183</v>
      </c>
      <c r="B70" s="11" t="str">
        <f>IFERROR(__xludf.DUMMYFUNCTION("""COMPUTED_VALUE"""),"Smith")</f>
        <v>Smith</v>
      </c>
      <c r="C70" s="11" t="str">
        <f>IFERROR(__xludf.DUMMYFUNCTION("""COMPUTED_VALUE"""),"Gabe")</f>
        <v>Gabe</v>
      </c>
      <c r="D70" s="17" t="str">
        <f>IFERROR(__xludf.DUMMYFUNCTION("""COMPUTED_VALUE"""),"He/Him")</f>
        <v>He/Him</v>
      </c>
      <c r="E70" s="17" t="str">
        <f>IFERROR(__xludf.DUMMYFUNCTION("""COMPUTED_VALUE"""),"Tenor")</f>
        <v>Tenor</v>
      </c>
      <c r="F70" s="17">
        <f>IFERROR(__xludf.DUMMYFUNCTION("""COMPUTED_VALUE"""),21.0)</f>
        <v>21</v>
      </c>
      <c r="G70" s="17" t="str">
        <f>IFERROR(__xludf.DUMMYFUNCTION("""COMPUTED_VALUE"""),"i2")</f>
        <v>i2</v>
      </c>
      <c r="H70" s="17" t="str">
        <f>IFERROR(__xludf.DUMMYFUNCTION("""COMPUTED_VALUE"""),"Infinity Organization '20-'23")</f>
        <v>Infinity Organization '20-'23</v>
      </c>
      <c r="I70" s="12" t="str">
        <f>IFERROR(__xludf.DUMMYFUNCTION("""COMPUTED_VALUE"""),"Gabe Smith")</f>
        <v>Gabe Smith</v>
      </c>
      <c r="J70" s="12" t="str">
        <f>IFERROR(__xludf.DUMMYFUNCTION("""COMPUTED_VALUE"""),"gaber104@icloud.com")</f>
        <v>gaber104@icloud.com</v>
      </c>
      <c r="K70" s="12"/>
    </row>
    <row r="71">
      <c r="A71" s="13" t="str">
        <f>IFERROR(__xludf.DUMMYFUNCTION("""COMPUTED_VALUE"""),"MC8184")</f>
        <v>MC8184</v>
      </c>
      <c r="B71" s="11" t="str">
        <f>IFERROR(__xludf.DUMMYFUNCTION("""COMPUTED_VALUE"""),"Calandro")</f>
        <v>Calandro</v>
      </c>
      <c r="C71" s="13" t="str">
        <f>IFERROR(__xludf.DUMMYFUNCTION("""COMPUTED_VALUE"""),"Mitch")</f>
        <v>Mitch</v>
      </c>
      <c r="D71" s="14" t="str">
        <f>IFERROR(__xludf.DUMMYFUNCTION("""COMPUTED_VALUE"""),"He/Him")</f>
        <v>He/Him</v>
      </c>
      <c r="E71" s="14" t="str">
        <f>IFERROR(__xludf.DUMMYFUNCTION("""COMPUTED_VALUE"""),"Tenor")</f>
        <v>Tenor</v>
      </c>
      <c r="F71" s="14">
        <f>IFERROR(__xludf.DUMMYFUNCTION("""COMPUTED_VALUE"""),17.0)</f>
        <v>17</v>
      </c>
      <c r="G71" s="14" t="str">
        <f>IFERROR(__xludf.DUMMYFUNCTION("""COMPUTED_VALUE"""),"hs")</f>
        <v>hs</v>
      </c>
      <c r="H71" s="14" t="str">
        <f>IFERROR(__xludf.DUMMYFUNCTION("""COMPUTED_VALUE"""),"NFMHS Indoor Percussion 23' 1st Place AA FFCC, Lehigh Senior Highschool Marching Band 20',21',22'")</f>
        <v>NFMHS Indoor Percussion 23' 1st Place AA FFCC, Lehigh Senior Highschool Marching Band 20',21',22'</v>
      </c>
      <c r="I71" s="12" t="str">
        <f>IFERROR(__xludf.DUMMYFUNCTION("""COMPUTED_VALUE"""),"Mitch Calandro")</f>
        <v>Mitch Calandro</v>
      </c>
      <c r="J71" s="12" t="str">
        <f>IFERROR(__xludf.DUMMYFUNCTION("""COMPUTED_VALUE"""),"happydogeyt@gmail.com")</f>
        <v>happydogeyt@gmail.com</v>
      </c>
      <c r="K71" s="12"/>
    </row>
    <row r="72">
      <c r="A72" s="11" t="str">
        <f>IFERROR(__xludf.DUMMYFUNCTION("""COMPUTED_VALUE"""),"OM8185")</f>
        <v>OM8185</v>
      </c>
      <c r="B72" s="11" t="str">
        <f>IFERROR(__xludf.DUMMYFUNCTION("""COMPUTED_VALUE"""),"Montgomery")</f>
        <v>Montgomery</v>
      </c>
      <c r="C72" s="11" t="str">
        <f>IFERROR(__xludf.DUMMYFUNCTION("""COMPUTED_VALUE"""),"Owen")</f>
        <v>Owen</v>
      </c>
      <c r="D72" s="17" t="str">
        <f>IFERROR(__xludf.DUMMYFUNCTION("""COMPUTED_VALUE"""),"He/Him")</f>
        <v>He/Him</v>
      </c>
      <c r="E72" s="17" t="str">
        <f>IFERROR(__xludf.DUMMYFUNCTION("""COMPUTED_VALUE"""),"Snare")</f>
        <v>Snare</v>
      </c>
      <c r="F72" s="17">
        <f>IFERROR(__xludf.DUMMYFUNCTION("""COMPUTED_VALUE"""),18.0)</f>
        <v>18</v>
      </c>
      <c r="G72" s="17" t="str">
        <f>IFERROR(__xludf.DUMMYFUNCTION("""COMPUTED_VALUE"""),"i2")</f>
        <v>i2</v>
      </c>
      <c r="H72" s="17" t="str">
        <f>IFERROR(__xludf.DUMMYFUNCTION("""COMPUTED_VALUE"""),"Infinity 3 2022 (Synth)
Infinity 2 2023 (Synth)
Cypress Creek High School Marching Band 22-23 (Snare)")</f>
        <v>Infinity 3 2022 (Synth)
Infinity 2 2023 (Synth)
Cypress Creek High School Marching Band 22-23 (Snare)</v>
      </c>
      <c r="I72" s="12" t="str">
        <f>IFERROR(__xludf.DUMMYFUNCTION("""COMPUTED_VALUE"""),"Owen Montgomery")</f>
        <v>Owen Montgomery</v>
      </c>
      <c r="J72" s="12" t="str">
        <f>IFERROR(__xludf.DUMMYFUNCTION("""COMPUTED_VALUE"""),"owenzmonty@gmail.com")</f>
        <v>owenzmonty@gmail.com</v>
      </c>
      <c r="K72" s="12"/>
    </row>
    <row r="73">
      <c r="A73" s="15" t="str">
        <f>IFERROR(__xludf.DUMMYFUNCTION("""COMPUTED_VALUE"""),"GF8250")</f>
        <v>GF8250</v>
      </c>
      <c r="B73" s="11" t="str">
        <f>IFERROR(__xludf.DUMMYFUNCTION("""COMPUTED_VALUE"""),"Fogle")</f>
        <v>Fogle</v>
      </c>
      <c r="C73" s="15" t="str">
        <f>IFERROR(__xludf.DUMMYFUNCTION("""COMPUTED_VALUE"""),"Gillyan ")</f>
        <v>Gillyan </v>
      </c>
      <c r="D73" s="14" t="str">
        <f>IFERROR(__xludf.DUMMYFUNCTION("""COMPUTED_VALUE"""),"She/her")</f>
        <v>She/her</v>
      </c>
      <c r="E73" s="14" t="str">
        <f>IFERROR(__xludf.DUMMYFUNCTION("""COMPUTED_VALUE"""),"Visual Ensemble")</f>
        <v>Visual Ensemble</v>
      </c>
      <c r="F73" s="14">
        <f>IFERROR(__xludf.DUMMYFUNCTION("""COMPUTED_VALUE"""),20.0)</f>
        <v>20</v>
      </c>
      <c r="G73" s="14" t="str">
        <f>IFERROR(__xludf.DUMMYFUNCTION("""COMPUTED_VALUE"""),"pia")</f>
        <v>pia</v>
      </c>
      <c r="H73" s="14" t="str">
        <f>IFERROR(__xludf.DUMMYFUNCTION("""COMPUTED_VALUE"""),"Fleming Island High School Marching Band (colorguard) 18-21
Fleming Island High School Winterguard (scholastic, AA, A, Open)
Pegasus A 22 (did not fulfill full season due to environment)")</f>
        <v>Fleming Island High School Marching Band (colorguard) 18-21
Fleming Island High School Winterguard (scholastic, AA, A, Open)
Pegasus A 22 (did not fulfill full season due to environment)</v>
      </c>
      <c r="I73" s="12" t="str">
        <f>IFERROR(__xludf.DUMMYFUNCTION("""COMPUTED_VALUE"""),"Gillyan  Fogle")</f>
        <v>Gillyan  Fogle</v>
      </c>
      <c r="J73" s="12" t="str">
        <f>IFERROR(__xludf.DUMMYFUNCTION("""COMPUTED_VALUE"""),"gillyanivy3@gmail.com")</f>
        <v>gillyanivy3@gmail.com</v>
      </c>
      <c r="K73" s="12"/>
    </row>
    <row r="74">
      <c r="A74" s="13" t="str">
        <f>IFERROR(__xludf.DUMMYFUNCTION("""COMPUTED_VALUE"""),"OL8150")</f>
        <v>OL8150</v>
      </c>
      <c r="B74" s="11" t="str">
        <f>IFERROR(__xludf.DUMMYFUNCTION("""COMPUTED_VALUE"""),"Lowe")</f>
        <v>Lowe</v>
      </c>
      <c r="C74" s="13" t="str">
        <f>IFERROR(__xludf.DUMMYFUNCTION("""COMPUTED_VALUE"""),"Owen")</f>
        <v>Owen</v>
      </c>
      <c r="D74" s="14" t="str">
        <f>IFERROR(__xludf.DUMMYFUNCTION("""COMPUTED_VALUE"""),"He/Him")</f>
        <v>He/Him</v>
      </c>
      <c r="E74" s="14" t="str">
        <f>IFERROR(__xludf.DUMMYFUNCTION("""COMPUTED_VALUE"""),"Cymbals")</f>
        <v>Cymbals</v>
      </c>
      <c r="F74" s="14">
        <f>IFERROR(__xludf.DUMMYFUNCTION("""COMPUTED_VALUE"""),20.0)</f>
        <v>20</v>
      </c>
      <c r="G74" s="14" t="str">
        <f>IFERROR(__xludf.DUMMYFUNCTION("""COMPUTED_VALUE"""),"i2")</f>
        <v>i2</v>
      </c>
      <c r="H74" s="14" t="str">
        <f>IFERROR(__xludf.DUMMYFUNCTION("""COMPUTED_VALUE"""),"Infinity 2 2022, Infinity World 2023, Colts drum and bugle corps 2023")</f>
        <v>Infinity 2 2022, Infinity World 2023, Colts drum and bugle corps 2023</v>
      </c>
      <c r="I74" s="12" t="str">
        <f>IFERROR(__xludf.DUMMYFUNCTION("""COMPUTED_VALUE"""),"Owen Lowe")</f>
        <v>Owen Lowe</v>
      </c>
      <c r="J74" s="12" t="str">
        <f>IFERROR(__xludf.DUMMYFUNCTION("""COMPUTED_VALUE"""),"odog31904@gmail.com")</f>
        <v>odog31904@gmail.com</v>
      </c>
      <c r="K74" s="12"/>
    </row>
    <row r="75">
      <c r="A75" s="22" t="str">
        <f>IFERROR(__xludf.DUMMYFUNCTION("""COMPUTED_VALUE"""),"CH8191")</f>
        <v>CH8191</v>
      </c>
      <c r="B75" s="11" t="str">
        <f>IFERROR(__xludf.DUMMYFUNCTION("""COMPUTED_VALUE"""),"Holder")</f>
        <v>Holder</v>
      </c>
      <c r="C75" s="22" t="str">
        <f>IFERROR(__xludf.DUMMYFUNCTION("""COMPUTED_VALUE"""),"Carly")</f>
        <v>Carly</v>
      </c>
      <c r="D75" s="17" t="str">
        <f>IFERROR(__xludf.DUMMYFUNCTION("""COMPUTED_VALUE"""),"she/her")</f>
        <v>she/her</v>
      </c>
      <c r="E75" s="17" t="str">
        <f>IFERROR(__xludf.DUMMYFUNCTION("""COMPUTED_VALUE"""),"Bass")</f>
        <v>Bass</v>
      </c>
      <c r="F75" s="17">
        <f>IFERROR(__xludf.DUMMYFUNCTION("""COMPUTED_VALUE"""),16.0)</f>
        <v>16</v>
      </c>
      <c r="G75" s="17" t="str">
        <f>IFERROR(__xludf.DUMMYFUNCTION("""COMPUTED_VALUE"""),"hs")</f>
        <v>hs</v>
      </c>
      <c r="H75" s="17" t="str">
        <f>IFERROR(__xludf.DUMMYFUNCTION("""COMPUTED_VALUE"""),"2 years of highschool marching/concert band")</f>
        <v>2 years of highschool marching/concert band</v>
      </c>
      <c r="I75" s="12" t="str">
        <f>IFERROR(__xludf.DUMMYFUNCTION("""COMPUTED_VALUE"""),"Carly Holder")</f>
        <v>Carly Holder</v>
      </c>
      <c r="J75" s="12" t="str">
        <f>IFERROR(__xludf.DUMMYFUNCTION("""COMPUTED_VALUE"""),"carlyholder07@icloud.com")</f>
        <v>carlyholder07@icloud.com</v>
      </c>
      <c r="K75" s="12"/>
    </row>
    <row r="76">
      <c r="A76" s="22" t="str">
        <f>IFERROR(__xludf.DUMMYFUNCTION("""COMPUTED_VALUE"""),"AR8072")</f>
        <v>AR8072</v>
      </c>
      <c r="B76" s="11" t="str">
        <f>IFERROR(__xludf.DUMMYFUNCTION("""COMPUTED_VALUE"""),"Redding")</f>
        <v>Redding</v>
      </c>
      <c r="C76" s="22" t="str">
        <f>IFERROR(__xludf.DUMMYFUNCTION("""COMPUTED_VALUE"""),"Austin")</f>
        <v>Austin</v>
      </c>
      <c r="D76" s="12"/>
      <c r="E76" s="12" t="str">
        <f>IFERROR(__xludf.DUMMYFUNCTION("""COMPUTED_VALUE"""),"Cymbals")</f>
        <v>Cymbals</v>
      </c>
      <c r="F76" s="12">
        <f>IFERROR(__xludf.DUMMYFUNCTION("""COMPUTED_VALUE"""),21.0)</f>
        <v>21</v>
      </c>
      <c r="G76" s="12" t="str">
        <f>IFERROR(__xludf.DUMMYFUNCTION("""COMPUTED_VALUE"""),"i1")</f>
        <v>i1</v>
      </c>
      <c r="H76" s="12" t="str">
        <f>IFERROR(__xludf.DUMMYFUNCTION("""COMPUTED_VALUE"""),"Infinity World 21-23, Colts 20-23")</f>
        <v>Infinity World 21-23, Colts 20-23</v>
      </c>
      <c r="I76" s="12" t="str">
        <f>IFERROR(__xludf.DUMMYFUNCTION("""COMPUTED_VALUE"""),"Austin Redding")</f>
        <v>Austin Redding</v>
      </c>
      <c r="J76" s="12" t="str">
        <f>IFERROR(__xludf.DUMMYFUNCTION("""COMPUTED_VALUE"""),"austin.t.redding@gmail.com")</f>
        <v>austin.t.redding@gmail.com</v>
      </c>
      <c r="K76" s="12"/>
    </row>
    <row r="77">
      <c r="A77" s="23" t="str">
        <f>IFERROR(__xludf.DUMMYFUNCTION("""COMPUTED_VALUE"""),"SU8192")</f>
        <v>SU8192</v>
      </c>
      <c r="B77" s="11" t="str">
        <f>IFERROR(__xludf.DUMMYFUNCTION("""COMPUTED_VALUE"""),"Ulate")</f>
        <v>Ulate</v>
      </c>
      <c r="C77" s="23" t="str">
        <f>IFERROR(__xludf.DUMMYFUNCTION("""COMPUTED_VALUE"""),"Sebastian")</f>
        <v>Sebastian</v>
      </c>
      <c r="D77" s="24"/>
      <c r="E77" s="24" t="str">
        <f>IFERROR(__xludf.DUMMYFUNCTION("""COMPUTED_VALUE"""),"Bass")</f>
        <v>Bass</v>
      </c>
      <c r="F77" s="24">
        <f>IFERROR(__xludf.DUMMYFUNCTION("""COMPUTED_VALUE"""),20.0)</f>
        <v>20</v>
      </c>
      <c r="G77" s="24" t="str">
        <f>IFERROR(__xludf.DUMMYFUNCTION("""COMPUTED_VALUE"""),"i3")</f>
        <v>i3</v>
      </c>
      <c r="H77" s="24" t="str">
        <f>IFERROR(__xludf.DUMMYFUNCTION("""COMPUTED_VALUE"""),"Seminole HS Sanford Fl 18-22. Infinity 3 2023, Marching Knights UCF 2023(Current)")</f>
        <v>Seminole HS Sanford Fl 18-22. Infinity 3 2023, Marching Knights UCF 2023(Current)</v>
      </c>
      <c r="I77" s="12" t="str">
        <f>IFERROR(__xludf.DUMMYFUNCTION("""COMPUTED_VALUE"""),"Sebastian Ulate")</f>
        <v>Sebastian Ulate</v>
      </c>
      <c r="J77" s="12" t="str">
        <f>IFERROR(__xludf.DUMMYFUNCTION("""COMPUTED_VALUE"""),"sebasrock20@gmail.com")</f>
        <v>sebasrock20@gmail.com</v>
      </c>
      <c r="K77" s="12"/>
    </row>
    <row r="78">
      <c r="A78" s="23" t="str">
        <f>IFERROR(__xludf.DUMMYFUNCTION("""COMPUTED_VALUE"""),"WW8194")</f>
        <v>WW8194</v>
      </c>
      <c r="B78" s="11" t="str">
        <f>IFERROR(__xludf.DUMMYFUNCTION("""COMPUTED_VALUE"""),"Webster")</f>
        <v>Webster</v>
      </c>
      <c r="C78" s="23" t="str">
        <f>IFERROR(__xludf.DUMMYFUNCTION("""COMPUTED_VALUE"""),"Web")</f>
        <v>Web</v>
      </c>
      <c r="D78" s="23" t="str">
        <f>IFERROR(__xludf.DUMMYFUNCTION("""COMPUTED_VALUE"""),"He/Him")</f>
        <v>He/Him</v>
      </c>
      <c r="E78" s="23" t="str">
        <f>IFERROR(__xludf.DUMMYFUNCTION("""COMPUTED_VALUE"""),"Snare")</f>
        <v>Snare</v>
      </c>
      <c r="F78" s="23">
        <f>IFERROR(__xludf.DUMMYFUNCTION("""COMPUTED_VALUE"""),17.0)</f>
        <v>17</v>
      </c>
      <c r="G78" s="23" t="str">
        <f>IFERROR(__xludf.DUMMYFUNCTION("""COMPUTED_VALUE"""),"hs")</f>
        <v>hs</v>
      </c>
      <c r="H78" s="23" t="str">
        <f>IFERROR(__xludf.DUMMYFUNCTION("""COMPUTED_VALUE"""),"- Marched Snare on the Vero Beach High School Drumline (2023, 2022)
- Marched Bass Four on the Vero Beach High School Drumline (2021)
- Superior on Grade Five Snare Solo at District Solo and Ensemble (2021)
- Superior on Grade Five Snare Solo at State Sol"&amp;"o and Ensemble (2021)
- Superior on Grade Six Snare Solo at District Solo and Ensemble (2022)
- Superior on Grade Six Snare Solo at State Solo and Ensemble (2022)
- Principal Percussionist of the Vero Beach High School Symphonic Band (2022, 2023)
- Member"&amp;" of the Vero Beach High School Concert Band (2021)
- Performed with First Presbyterian Symphonic Orchestra (2020, 2021, 2022, 2023)
- Member of the Vero Beach High School Jazz Ensemble (2021)")</f>
        <v>- Marched Snare on the Vero Beach High School Drumline (2023, 2022)
- Marched Bass Four on the Vero Beach High School Drumline (2021)
- Superior on Grade Five Snare Solo at District Solo and Ensemble (2021)
- Superior on Grade Five Snare Solo at State Solo and Ensemble (2021)
- Superior on Grade Six Snare Solo at District Solo and Ensemble (2022)
- Superior on Grade Six Snare Solo at State Solo and Ensemble (2022)
- Principal Percussionist of the Vero Beach High School Symphonic Band (2022, 2023)
- Member of the Vero Beach High School Concert Band (2021)
- Performed with First Presbyterian Symphonic Orchestra (2020, 2021, 2022, 2023)
- Member of the Vero Beach High School Jazz Ensemble (2021)</v>
      </c>
      <c r="I78" s="12" t="str">
        <f>IFERROR(__xludf.DUMMYFUNCTION("""COMPUTED_VALUE"""),"Web Webster")</f>
        <v>Web Webster</v>
      </c>
      <c r="J78" s="12" t="str">
        <f>IFERROR(__xludf.DUMMYFUNCTION("""COMPUTED_VALUE"""),"websterfl17@gmail.com")</f>
        <v>websterfl17@gmail.com</v>
      </c>
      <c r="K78" s="12"/>
    </row>
    <row r="79">
      <c r="A79" s="24" t="str">
        <f>IFERROR(__xludf.DUMMYFUNCTION("""COMPUTED_VALUE"""),"ds8196")</f>
        <v>ds8196</v>
      </c>
      <c r="B79" s="11" t="str">
        <f>IFERROR(__xludf.DUMMYFUNCTION("""COMPUTED_VALUE"""),"summerall")</f>
        <v>summerall</v>
      </c>
      <c r="C79" s="23" t="str">
        <f>IFERROR(__xludf.DUMMYFUNCTION("""COMPUTED_VALUE"""),"dylan")</f>
        <v>dylan</v>
      </c>
      <c r="D79" s="24"/>
      <c r="E79" s="24" t="str">
        <f>IFERROR(__xludf.DUMMYFUNCTION("""COMPUTED_VALUE"""),"Snare")</f>
        <v>Snare</v>
      </c>
      <c r="F79" s="24">
        <f>IFERROR(__xludf.DUMMYFUNCTION("""COMPUTED_VALUE"""),19.0)</f>
        <v>19</v>
      </c>
      <c r="G79" s="24" t="str">
        <f>IFERROR(__xludf.DUMMYFUNCTION("""COMPUTED_VALUE"""),"i3")</f>
        <v>i3</v>
      </c>
      <c r="H79" s="24" t="str">
        <f>IFERROR(__xludf.DUMMYFUNCTION("""COMPUTED_VALUE"""),"Heat Wave 2019 
Infinity 3 2023")</f>
        <v>Heat Wave 2019 
Infinity 3 2023</v>
      </c>
      <c r="I79" s="12" t="str">
        <f>IFERROR(__xludf.DUMMYFUNCTION("""COMPUTED_VALUE"""),"dylan summerall")</f>
        <v>dylan summerall</v>
      </c>
      <c r="J79" s="12" t="str">
        <f>IFERROR(__xludf.DUMMYFUNCTION("""COMPUTED_VALUE"""),"dylantsummerall@gmail.com")</f>
        <v>dylantsummerall@gmail.com</v>
      </c>
      <c r="K79" s="12"/>
    </row>
    <row r="80">
      <c r="A80" s="24" t="str">
        <f>IFERROR(__xludf.DUMMYFUNCTION("""COMPUTED_VALUE"""),"MR8199")</f>
        <v>MR8199</v>
      </c>
      <c r="B80" s="11" t="str">
        <f>IFERROR(__xludf.DUMMYFUNCTION("""COMPUTED_VALUE"""),"Ritter")</f>
        <v>Ritter</v>
      </c>
      <c r="C80" s="24" t="str">
        <f>IFERROR(__xludf.DUMMYFUNCTION("""COMPUTED_VALUE"""),"Maddie")</f>
        <v>Maddie</v>
      </c>
      <c r="D80" s="24" t="str">
        <f>IFERROR(__xludf.DUMMYFUNCTION("""COMPUTED_VALUE"""),"she/her")</f>
        <v>she/her</v>
      </c>
      <c r="E80" s="24" t="str">
        <f>IFERROR(__xludf.DUMMYFUNCTION("""COMPUTED_VALUE"""),"Visual Ensemble")</f>
        <v>Visual Ensemble</v>
      </c>
      <c r="F80" s="24">
        <f>IFERROR(__xludf.DUMMYFUNCTION("""COMPUTED_VALUE"""),19.0)</f>
        <v>19</v>
      </c>
      <c r="G80" s="24" t="str">
        <f>IFERROR(__xludf.DUMMYFUNCTION("""COMPUTED_VALUE"""),"i1")</f>
        <v>i1</v>
      </c>
      <c r="H80" s="24" t="str">
        <f>IFERROR(__xludf.DUMMYFUNCTION("""COMPUTED_VALUE"""),"Newsome HS Colorguard and Winter Guard ‘ ‘18-Fall ‘21 Newsome HS Indoor Perc ‘22. Infinity PIW ‘23")</f>
        <v>Newsome HS Colorguard and Winter Guard ‘ ‘18-Fall ‘21 Newsome HS Indoor Perc ‘22. Infinity PIW ‘23</v>
      </c>
      <c r="I80" s="12" t="str">
        <f>IFERROR(__xludf.DUMMYFUNCTION("""COMPUTED_VALUE"""),"Maddie Ritter")</f>
        <v>Maddie Ritter</v>
      </c>
      <c r="J80" s="12" t="str">
        <f>IFERROR(__xludf.DUMMYFUNCTION("""COMPUTED_VALUE"""),"maddie.ritter2004@gmail.com")</f>
        <v>maddie.ritter2004@gmail.com</v>
      </c>
      <c r="K80" s="12"/>
    </row>
    <row r="81">
      <c r="A81" s="24" t="str">
        <f>IFERROR(__xludf.DUMMYFUNCTION("""COMPUTED_VALUE"""),"BW8203")</f>
        <v>BW8203</v>
      </c>
      <c r="B81" s="11" t="str">
        <f>IFERROR(__xludf.DUMMYFUNCTION("""COMPUTED_VALUE"""),"Whitley")</f>
        <v>Whitley</v>
      </c>
      <c r="C81" s="24" t="str">
        <f>IFERROR(__xludf.DUMMYFUNCTION("""COMPUTED_VALUE"""),"Brooke")</f>
        <v>Brooke</v>
      </c>
      <c r="D81" s="24" t="str">
        <f>IFERROR(__xludf.DUMMYFUNCTION("""COMPUTED_VALUE"""),"She/her")</f>
        <v>She/her</v>
      </c>
      <c r="E81" s="24" t="str">
        <f>IFERROR(__xludf.DUMMYFUNCTION("""COMPUTED_VALUE"""),"Visual Ensemble")</f>
        <v>Visual Ensemble</v>
      </c>
      <c r="F81" s="24">
        <f>IFERROR(__xludf.DUMMYFUNCTION("""COMPUTED_VALUE"""),19.0)</f>
        <v>19</v>
      </c>
      <c r="G81" s="24" t="str">
        <f>IFERROR(__xludf.DUMMYFUNCTION("""COMPUTED_VALUE"""),"piw")</f>
        <v>piw</v>
      </c>
      <c r="H81" s="24" t="str">
        <f>IFERROR(__xludf.DUMMYFUNCTION("""COMPUTED_VALUE"""),"Jupiter high marching band 2018-2022
Stryke percussion world 2022-2023")</f>
        <v>Jupiter high marching band 2018-2022
Stryke percussion world 2022-2023</v>
      </c>
      <c r="I81" s="12" t="str">
        <f>IFERROR(__xludf.DUMMYFUNCTION("""COMPUTED_VALUE"""),"Brooke Whitley")</f>
        <v>Brooke Whitley</v>
      </c>
      <c r="J81" s="12" t="str">
        <f>IFERROR(__xludf.DUMMYFUNCTION("""COMPUTED_VALUE"""),"brookewhitley4@gmail.com")</f>
        <v>brookewhitley4@gmail.com</v>
      </c>
      <c r="K81" s="12"/>
    </row>
    <row r="82">
      <c r="A82" s="24" t="str">
        <f>IFERROR(__xludf.DUMMYFUNCTION("""COMPUTED_VALUE"""),"SL8201")</f>
        <v>SL8201</v>
      </c>
      <c r="B82" s="11" t="str">
        <f>IFERROR(__xludf.DUMMYFUNCTION("""COMPUTED_VALUE"""),"Lowe")</f>
        <v>Lowe</v>
      </c>
      <c r="C82" s="24" t="str">
        <f>IFERROR(__xludf.DUMMYFUNCTION("""COMPUTED_VALUE"""),"Sophie")</f>
        <v>Sophie</v>
      </c>
      <c r="D82" s="24" t="str">
        <f>IFERROR(__xludf.DUMMYFUNCTION("""COMPUTED_VALUE"""),"she/her")</f>
        <v>she/her</v>
      </c>
      <c r="E82" s="24" t="str">
        <f>IFERROR(__xludf.DUMMYFUNCTION("""COMPUTED_VALUE"""),"Visual Ensemble")</f>
        <v>Visual Ensemble</v>
      </c>
      <c r="F82" s="24">
        <f>IFERROR(__xludf.DUMMYFUNCTION("""COMPUTED_VALUE"""),22.0)</f>
        <v>22</v>
      </c>
      <c r="G82" s="24" t="str">
        <f>IFERROR(__xludf.DUMMYFUNCTION("""COMPUTED_VALUE"""),"i1")</f>
        <v>i1</v>
      </c>
      <c r="H82" s="24" t="str">
        <f>IFERROR(__xludf.DUMMYFUNCTION("""COMPUTED_VALUE"""),"Nease Marching Band - 16,17,18,19
Nease Indoor Percussion - 18,19
UCF Marching Knights - 21, 22, 23
Infinity Visual Ensemble - 20, 21, 22, 23")</f>
        <v>Nease Marching Band - 16,17,18,19
Nease Indoor Percussion - 18,19
UCF Marching Knights - 21, 22, 23
Infinity Visual Ensemble - 20, 21, 22, 23</v>
      </c>
      <c r="I82" s="12" t="str">
        <f>IFERROR(__xludf.DUMMYFUNCTION("""COMPUTED_VALUE"""),"Sophie Lowe")</f>
        <v>Sophie Lowe</v>
      </c>
      <c r="J82" s="12" t="str">
        <f>IFERROR(__xludf.DUMMYFUNCTION("""COMPUTED_VALUE"""),"lowesophie02@gmail.com")</f>
        <v>lowesophie02@gmail.com</v>
      </c>
      <c r="K82" s="12"/>
    </row>
    <row r="83">
      <c r="A83" s="24" t="str">
        <f>IFERROR(__xludf.DUMMYFUNCTION("""COMPUTED_VALUE"""),"IA8205")</f>
        <v>IA8205</v>
      </c>
      <c r="B83" s="11" t="str">
        <f>IFERROR(__xludf.DUMMYFUNCTION("""COMPUTED_VALUE"""),"Alvarenga")</f>
        <v>Alvarenga</v>
      </c>
      <c r="C83" s="24" t="str">
        <f>IFERROR(__xludf.DUMMYFUNCTION("""COMPUTED_VALUE"""),"Ian")</f>
        <v>Ian</v>
      </c>
      <c r="D83" s="24" t="str">
        <f>IFERROR(__xludf.DUMMYFUNCTION("""COMPUTED_VALUE"""),"he/him")</f>
        <v>he/him</v>
      </c>
      <c r="E83" s="24" t="str">
        <f>IFERROR(__xludf.DUMMYFUNCTION("""COMPUTED_VALUE"""),"Tenor")</f>
        <v>Tenor</v>
      </c>
      <c r="F83" s="24">
        <f>IFERROR(__xludf.DUMMYFUNCTION("""COMPUTED_VALUE"""),19.0)</f>
        <v>19</v>
      </c>
      <c r="G83" s="24" t="str">
        <f>IFERROR(__xludf.DUMMYFUNCTION("""COMPUTED_VALUE"""),"pia")</f>
        <v>pia</v>
      </c>
      <c r="H83" s="24" t="str">
        <f>IFERROR(__xludf.DUMMYFUNCTION("""COMPUTED_VALUE"""),"I marched with RPT's 2023 season o tenor and i marched 4 years of high school marching 1 year bass and 3 years on tenor.")</f>
        <v>I marched with RPT's 2023 season o tenor and i marched 4 years of high school marching 1 year bass and 3 years on tenor.</v>
      </c>
      <c r="I83" s="12" t="str">
        <f>IFERROR(__xludf.DUMMYFUNCTION("""COMPUTED_VALUE"""),"Ian Alvarenga")</f>
        <v>Ian Alvarenga</v>
      </c>
      <c r="J83" s="12" t="str">
        <f>IFERROR(__xludf.DUMMYFUNCTION("""COMPUTED_VALUE"""),"ialvarenga888865@gmail.com")</f>
        <v>ialvarenga888865@gmail.com</v>
      </c>
      <c r="K83" s="12"/>
    </row>
    <row r="84">
      <c r="A84" s="24" t="str">
        <f>IFERROR(__xludf.DUMMYFUNCTION("""COMPUTED_VALUE"""),"SH8215")</f>
        <v>SH8215</v>
      </c>
      <c r="B84" s="11" t="str">
        <f>IFERROR(__xludf.DUMMYFUNCTION("""COMPUTED_VALUE"""),"Harrison")</f>
        <v>Harrison</v>
      </c>
      <c r="C84" s="24" t="str">
        <f>IFERROR(__xludf.DUMMYFUNCTION("""COMPUTED_VALUE"""),"Syd")</f>
        <v>Syd</v>
      </c>
      <c r="D84" s="24" t="str">
        <f>IFERROR(__xludf.DUMMYFUNCTION("""COMPUTED_VALUE"""),"she/her")</f>
        <v>she/her</v>
      </c>
      <c r="E84" s="24" t="str">
        <f>IFERROR(__xludf.DUMMYFUNCTION("""COMPUTED_VALUE"""),"Visual Ensemble")</f>
        <v>Visual Ensemble</v>
      </c>
      <c r="F84" s="24">
        <f>IFERROR(__xludf.DUMMYFUNCTION("""COMPUTED_VALUE"""),21.0)</f>
        <v>21</v>
      </c>
      <c r="G84" s="24" t="str">
        <f>IFERROR(__xludf.DUMMYFUNCTION("""COMPUTED_VALUE"""),"i2")</f>
        <v>i2</v>
      </c>
      <c r="H84" s="24" t="str">
        <f>IFERROR(__xludf.DUMMYFUNCTION("""COMPUTED_VALUE"""),"Chattahoochee HS PSA 2017-2021, FSU Drumline 2021-2022, Infinity 2 PIO 2021-2022, Colony Point Creative Performer 2022 ")</f>
        <v>Chattahoochee HS PSA 2017-2021, FSU Drumline 2021-2022, Infinity 2 PIO 2021-2022, Colony Point Creative Performer 2022 </v>
      </c>
      <c r="I84" s="12" t="str">
        <f>IFERROR(__xludf.DUMMYFUNCTION("""COMPUTED_VALUE"""),"Syd Harrison")</f>
        <v>Syd Harrison</v>
      </c>
      <c r="J84" s="12" t="str">
        <f>IFERROR(__xludf.DUMMYFUNCTION("""COMPUTED_VALUE"""),"sydneyharrison1221@icloud.com")</f>
        <v>sydneyharrison1221@icloud.com</v>
      </c>
      <c r="K84" s="12"/>
    </row>
    <row r="85">
      <c r="A85" s="24" t="str">
        <f>IFERROR(__xludf.DUMMYFUNCTION("""COMPUTED_VALUE"""),"MR8219")</f>
        <v>MR8219</v>
      </c>
      <c r="B85" s="11" t="str">
        <f>IFERROR(__xludf.DUMMYFUNCTION("""COMPUTED_VALUE"""),"Rinaldo")</f>
        <v>Rinaldo</v>
      </c>
      <c r="C85" s="24" t="str">
        <f>IFERROR(__xludf.DUMMYFUNCTION("""COMPUTED_VALUE"""),"Makaylee")</f>
        <v>Makaylee</v>
      </c>
      <c r="D85" s="24"/>
      <c r="E85" s="24" t="str">
        <f>IFERROR(__xludf.DUMMYFUNCTION("""COMPUTED_VALUE"""),"Bass")</f>
        <v>Bass</v>
      </c>
      <c r="F85" s="24">
        <f>IFERROR(__xludf.DUMMYFUNCTION("""COMPUTED_VALUE"""),21.0)</f>
        <v>21</v>
      </c>
      <c r="G85" s="24" t="str">
        <f>IFERROR(__xludf.DUMMYFUNCTION("""COMPUTED_VALUE"""),"pia")</f>
        <v>pia</v>
      </c>
      <c r="H85" s="24" t="str">
        <f>IFERROR(__xludf.DUMMYFUNCTION("""COMPUTED_VALUE"""),"Celebration high school marching band 1st bass in 2017, 2nd bass in 2018 and 2019, and tenor in 2020. RPT percussion 1st bass in 2019. Celebration high school winter guard in 2020")</f>
        <v>Celebration high school marching band 1st bass in 2017, 2nd bass in 2018 and 2019, and tenor in 2020. RPT percussion 1st bass in 2019. Celebration high school winter guard in 2020</v>
      </c>
      <c r="I85" s="12" t="str">
        <f>IFERROR(__xludf.DUMMYFUNCTION("""COMPUTED_VALUE"""),"Makaylee Rinaldo")</f>
        <v>Makaylee Rinaldo</v>
      </c>
      <c r="J85" s="12" t="str">
        <f>IFERROR(__xludf.DUMMYFUNCTION("""COMPUTED_VALUE"""),"makayleerinaldo@ymail.com")</f>
        <v>makayleerinaldo@ymail.com</v>
      </c>
      <c r="K85" s="12"/>
    </row>
    <row r="86">
      <c r="A86" s="24" t="str">
        <f>IFERROR(__xludf.DUMMYFUNCTION("""COMPUTED_VALUE"""),"SH8218")</f>
        <v>SH8218</v>
      </c>
      <c r="B86" s="11" t="str">
        <f>IFERROR(__xludf.DUMMYFUNCTION("""COMPUTED_VALUE"""),"Hickman")</f>
        <v>Hickman</v>
      </c>
      <c r="C86" s="24" t="str">
        <f>IFERROR(__xludf.DUMMYFUNCTION("""COMPUTED_VALUE"""),"Sarah")</f>
        <v>Sarah</v>
      </c>
      <c r="D86" s="24" t="str">
        <f>IFERROR(__xludf.DUMMYFUNCTION("""COMPUTED_VALUE"""),"She/her")</f>
        <v>She/her</v>
      </c>
      <c r="E86" s="24" t="str">
        <f>IFERROR(__xludf.DUMMYFUNCTION("""COMPUTED_VALUE"""),"Snare")</f>
        <v>Snare</v>
      </c>
      <c r="F86" s="24">
        <f>IFERROR(__xludf.DUMMYFUNCTION("""COMPUTED_VALUE"""),16.0)</f>
        <v>16</v>
      </c>
      <c r="G86" s="24" t="str">
        <f>IFERROR(__xludf.DUMMYFUNCTION("""COMPUTED_VALUE"""),"i3")</f>
        <v>i3</v>
      </c>
      <c r="H86" s="24" t="str">
        <f>IFERROR(__xludf.DUMMYFUNCTION("""COMPUTED_VALUE"""),"Infinity 3 2022-2023, Lake Minneola HS Marching Band 2021-Current, LMHS Center Snare 2022-Current, Lake Minneola HS Jazz Band 2021-2023, Lake Minneola HS Symphonic Winds 2021-Current, Lake Minneola HS Winterguard 2021-2022, Penny's Camp 2023, 2022 All-Dis"&amp;"trict Concert Band 1st Chair, 4 Solo and Ensemble Snare Drum Grade 6 Superiors")</f>
        <v>Infinity 3 2022-2023, Lake Minneola HS Marching Band 2021-Current, LMHS Center Snare 2022-Current, Lake Minneola HS Jazz Band 2021-2023, Lake Minneola HS Symphonic Winds 2021-Current, Lake Minneola HS Winterguard 2021-2022, Penny's Camp 2023, 2022 All-District Concert Band 1st Chair, 4 Solo and Ensemble Snare Drum Grade 6 Superiors</v>
      </c>
      <c r="I86" s="12" t="str">
        <f>IFERROR(__xludf.DUMMYFUNCTION("""COMPUTED_VALUE"""),"Sarah Hickman")</f>
        <v>Sarah Hickman</v>
      </c>
      <c r="J86" s="12" t="str">
        <f>IFERROR(__xludf.DUMMYFUNCTION("""COMPUTED_VALUE"""),"sarah.e.hickman@outlook.com")</f>
        <v>sarah.e.hickman@outlook.com</v>
      </c>
      <c r="K86" s="12"/>
    </row>
    <row r="87">
      <c r="A87" s="24" t="str">
        <f>IFERROR(__xludf.DUMMYFUNCTION("""COMPUTED_VALUE"""),"EG8222")</f>
        <v>EG8222</v>
      </c>
      <c r="B87" s="11" t="str">
        <f>IFERROR(__xludf.DUMMYFUNCTION("""COMPUTED_VALUE"""),"Gomes Lopez")</f>
        <v>Gomes Lopez</v>
      </c>
      <c r="C87" s="24" t="str">
        <f>IFERROR(__xludf.DUMMYFUNCTION("""COMPUTED_VALUE"""),"Esteban")</f>
        <v>Esteban</v>
      </c>
      <c r="D87" s="24" t="str">
        <f>IFERROR(__xludf.DUMMYFUNCTION("""COMPUTED_VALUE"""),"He/him")</f>
        <v>He/him</v>
      </c>
      <c r="E87" s="24" t="str">
        <f>IFERROR(__xludf.DUMMYFUNCTION("""COMPUTED_VALUE"""),"Snare")</f>
        <v>Snare</v>
      </c>
      <c r="F87" s="24">
        <f>IFERROR(__xludf.DUMMYFUNCTION("""COMPUTED_VALUE"""),17.0)</f>
        <v>17</v>
      </c>
      <c r="G87" s="24" t="str">
        <f>IFERROR(__xludf.DUMMYFUNCTION("""COMPUTED_VALUE"""),"dci")</f>
        <v>dci</v>
      </c>
      <c r="H87" s="24" t="str">
        <f>IFERROR(__xludf.DUMMYFUNCTION("""COMPUTED_VALUE"""),"2 full years and ongoing of outdoor season at Fort Pierce Central High School.
1 year Heat Wave Drum and Bugle Corps")</f>
        <v>2 full years and ongoing of outdoor season at Fort Pierce Central High School.
1 year Heat Wave Drum and Bugle Corps</v>
      </c>
      <c r="I87" s="12" t="str">
        <f>IFERROR(__xludf.DUMMYFUNCTION("""COMPUTED_VALUE"""),"Esteban Gomes Lopez")</f>
        <v>Esteban Gomes Lopez</v>
      </c>
      <c r="J87" s="12" t="str">
        <f>IFERROR(__xludf.DUMMYFUNCTION("""COMPUTED_VALUE"""),"estebangomeslopez127@gmail.com")</f>
        <v>estebangomeslopez127@gmail.com</v>
      </c>
      <c r="K87" s="12"/>
    </row>
    <row r="88">
      <c r="A88" s="24" t="str">
        <f>IFERROR(__xludf.DUMMYFUNCTION("""COMPUTED_VALUE"""),"CB8332")</f>
        <v>CB8332</v>
      </c>
      <c r="B88" s="11" t="str">
        <f>IFERROR(__xludf.DUMMYFUNCTION("""COMPUTED_VALUE"""),"Boyle")</f>
        <v>Boyle</v>
      </c>
      <c r="C88" s="24" t="str">
        <f>IFERROR(__xludf.DUMMYFUNCTION("""COMPUTED_VALUE"""),"Chris")</f>
        <v>Chris</v>
      </c>
      <c r="D88" s="24" t="str">
        <f>IFERROR(__xludf.DUMMYFUNCTION("""COMPUTED_VALUE"""),"He/Him")</f>
        <v>He/Him</v>
      </c>
      <c r="E88" s="24" t="str">
        <f>IFERROR(__xludf.DUMMYFUNCTION("""COMPUTED_VALUE"""),"Snare")</f>
        <v>Snare</v>
      </c>
      <c r="F88" s="24">
        <f>IFERROR(__xludf.DUMMYFUNCTION("""COMPUTED_VALUE"""),20.0)</f>
        <v>20</v>
      </c>
      <c r="G88" s="24" t="str">
        <f>IFERROR(__xludf.DUMMYFUNCTION("""COMPUTED_VALUE"""),"hs")</f>
        <v>hs</v>
      </c>
      <c r="H88" s="24" t="str">
        <f>IFERROR(__xludf.DUMMYFUNCTION("""COMPUTED_VALUE"""),"8 Years Total Percussion Experience and 3 of them were spent marching snare at the High School level ")</f>
        <v>8 Years Total Percussion Experience and 3 of them were spent marching snare at the High School level </v>
      </c>
      <c r="I88" s="12" t="str">
        <f>IFERROR(__xludf.DUMMYFUNCTION("""COMPUTED_VALUE"""),"Chris Boyle")</f>
        <v>Chris Boyle</v>
      </c>
      <c r="J88" s="12" t="str">
        <f>IFERROR(__xludf.DUMMYFUNCTION("""COMPUTED_VALUE"""),"chrisboyle255@gmail.com")</f>
        <v>chrisboyle255@gmail.com</v>
      </c>
      <c r="K88" s="12"/>
    </row>
    <row r="89">
      <c r="A89" s="24" t="str">
        <f>IFERROR(__xludf.DUMMYFUNCTION("""COMPUTED_VALUE"""),"CK8223")</f>
        <v>CK8223</v>
      </c>
      <c r="B89" s="11" t="str">
        <f>IFERROR(__xludf.DUMMYFUNCTION("""COMPUTED_VALUE"""),"Krinn")</f>
        <v>Krinn</v>
      </c>
      <c r="C89" s="24" t="str">
        <f>IFERROR(__xludf.DUMMYFUNCTION("""COMPUTED_VALUE"""),"Cooper")</f>
        <v>Cooper</v>
      </c>
      <c r="D89" s="24" t="str">
        <f>IFERROR(__xludf.DUMMYFUNCTION("""COMPUTED_VALUE"""),"He/Him")</f>
        <v>He/Him</v>
      </c>
      <c r="E89" s="24" t="str">
        <f>IFERROR(__xludf.DUMMYFUNCTION("""COMPUTED_VALUE"""),"Tenor")</f>
        <v>Tenor</v>
      </c>
      <c r="F89" s="24">
        <f>IFERROR(__xludf.DUMMYFUNCTION("""COMPUTED_VALUE"""),18.0)</f>
        <v>18</v>
      </c>
      <c r="G89" s="24" t="str">
        <f>IFERROR(__xludf.DUMMYFUNCTION("""COMPUTED_VALUE"""),"hs")</f>
        <v>hs</v>
      </c>
      <c r="H89" s="24" t="str">
        <f>IFERROR(__xludf.DUMMYFUNCTION("""COMPUTED_VALUE"""),"River Ridge High School Indoor/Marching 3 years")</f>
        <v>River Ridge High School Indoor/Marching 3 years</v>
      </c>
      <c r="I89" s="12" t="str">
        <f>IFERROR(__xludf.DUMMYFUNCTION("""COMPUTED_VALUE"""),"Cooper Krinn")</f>
        <v>Cooper Krinn</v>
      </c>
      <c r="J89" s="12" t="str">
        <f>IFERROR(__xludf.DUMMYFUNCTION("""COMPUTED_VALUE"""),"cooperkrinn@gmail.com")</f>
        <v>cooperkrinn@gmail.com</v>
      </c>
      <c r="K89" s="12"/>
    </row>
    <row r="90">
      <c r="A90" s="24" t="str">
        <f>IFERROR(__xludf.DUMMYFUNCTION("""COMPUTED_VALUE"""),"SE8147")</f>
        <v>SE8147</v>
      </c>
      <c r="B90" s="11" t="str">
        <f>IFERROR(__xludf.DUMMYFUNCTION("""COMPUTED_VALUE"""),"Ekkens")</f>
        <v>Ekkens</v>
      </c>
      <c r="C90" s="24" t="str">
        <f>IFERROR(__xludf.DUMMYFUNCTION("""COMPUTED_VALUE"""),"Spencer")</f>
        <v>Spencer</v>
      </c>
      <c r="D90" s="24" t="str">
        <f>IFERROR(__xludf.DUMMYFUNCTION("""COMPUTED_VALUE"""),"He/Him")</f>
        <v>He/Him</v>
      </c>
      <c r="E90" s="24" t="str">
        <f>IFERROR(__xludf.DUMMYFUNCTION("""COMPUTED_VALUE"""),"Bass")</f>
        <v>Bass</v>
      </c>
      <c r="F90" s="24">
        <f>IFERROR(__xludf.DUMMYFUNCTION("""COMPUTED_VALUE"""),21.0)</f>
        <v>21</v>
      </c>
      <c r="G90" s="24" t="str">
        <f>IFERROR(__xludf.DUMMYFUNCTION("""COMPUTED_VALUE"""),"i2")</f>
        <v>i2</v>
      </c>
      <c r="H90" s="24" t="str">
        <f>IFERROR(__xludf.DUMMYFUNCTION("""COMPUTED_VALUE"""),"Seminole Warhawk Band- vibraphone 17’, Snare 18’-20’
Seminole Indoor Percussion Ensemble- Snare 18’-21’
Infinity 3- Bass 4 22’
Infinity 2- Bass 4 23’
SPC percussion studio- 21’-22’
")</f>
        <v>Seminole Warhawk Band- vibraphone 17’, Snare 18’-20’
Seminole Indoor Percussion Ensemble- Snare 18’-21’
Infinity 3- Bass 4 22’
Infinity 2- Bass 4 23’
SPC percussion studio- 21’-22’
</v>
      </c>
      <c r="I90" s="12" t="str">
        <f>IFERROR(__xludf.DUMMYFUNCTION("""COMPUTED_VALUE"""),"Spencer Ekkens")</f>
        <v>Spencer Ekkens</v>
      </c>
      <c r="J90" s="12" t="str">
        <f>IFERROR(__xludf.DUMMYFUNCTION("""COMPUTED_VALUE"""),"spfrek7@gmail.com")</f>
        <v>spfrek7@gmail.com</v>
      </c>
      <c r="K90" s="12"/>
    </row>
    <row r="91">
      <c r="A91" s="24" t="str">
        <f>IFERROR(__xludf.DUMMYFUNCTION("""COMPUTED_VALUE"""),"JG8226")</f>
        <v>JG8226</v>
      </c>
      <c r="B91" s="11" t="str">
        <f>IFERROR(__xludf.DUMMYFUNCTION("""COMPUTED_VALUE"""),"Gryglewicz")</f>
        <v>Gryglewicz</v>
      </c>
      <c r="C91" s="24" t="str">
        <f>IFERROR(__xludf.DUMMYFUNCTION("""COMPUTED_VALUE"""),"Josh")</f>
        <v>Josh</v>
      </c>
      <c r="D91" s="24" t="str">
        <f>IFERROR(__xludf.DUMMYFUNCTION("""COMPUTED_VALUE"""),"he/him")</f>
        <v>he/him</v>
      </c>
      <c r="E91" s="24" t="str">
        <f>IFERROR(__xludf.DUMMYFUNCTION("""COMPUTED_VALUE"""),"Snare")</f>
        <v>Snare</v>
      </c>
      <c r="F91" s="24">
        <f>IFERROR(__xludf.DUMMYFUNCTION("""COMPUTED_VALUE"""),19.0)</f>
        <v>19</v>
      </c>
      <c r="G91" s="24" t="str">
        <f>IFERROR(__xludf.DUMMYFUNCTION("""COMPUTED_VALUE"""),"hs")</f>
        <v>hs</v>
      </c>
      <c r="H91" s="24" t="str">
        <f>IFERROR(__xludf.DUMMYFUNCTION("""COMPUTED_VALUE"""),"I marched four years of snare with Sickles High School for the outdoor season and one year of indoor percussion with Steinbrenner High School for my senior year. I am currently in my first year with the Marching Knights at UCF playing snare.")</f>
        <v>I marched four years of snare with Sickles High School for the outdoor season and one year of indoor percussion with Steinbrenner High School for my senior year. I am currently in my first year with the Marching Knights at UCF playing snare.</v>
      </c>
      <c r="I91" s="12" t="str">
        <f>IFERROR(__xludf.DUMMYFUNCTION("""COMPUTED_VALUE"""),"Josh Gryglewicz")</f>
        <v>Josh Gryglewicz</v>
      </c>
      <c r="J91" s="12" t="str">
        <f>IFERROR(__xludf.DUMMYFUNCTION("""COMPUTED_VALUE"""),"jgryglewicz@icloud.com")</f>
        <v>jgryglewicz@icloud.com</v>
      </c>
      <c r="K91" s="12"/>
    </row>
    <row r="92">
      <c r="A92" s="24" t="str">
        <f>IFERROR(__xludf.DUMMYFUNCTION("""COMPUTED_VALUE"""),"RP8231")</f>
        <v>RP8231</v>
      </c>
      <c r="B92" s="11" t="str">
        <f>IFERROR(__xludf.DUMMYFUNCTION("""COMPUTED_VALUE"""),"Powell")</f>
        <v>Powell</v>
      </c>
      <c r="C92" s="24" t="str">
        <f>IFERROR(__xludf.DUMMYFUNCTION("""COMPUTED_VALUE"""),"Ryan")</f>
        <v>Ryan</v>
      </c>
      <c r="D92" s="24" t="str">
        <f>IFERROR(__xludf.DUMMYFUNCTION("""COMPUTED_VALUE"""),"He/Him")</f>
        <v>He/Him</v>
      </c>
      <c r="E92" s="24" t="str">
        <f>IFERROR(__xludf.DUMMYFUNCTION("""COMPUTED_VALUE"""),"Tenor")</f>
        <v>Tenor</v>
      </c>
      <c r="F92" s="24">
        <f>IFERROR(__xludf.DUMMYFUNCTION("""COMPUTED_VALUE"""),20.0)</f>
        <v>20</v>
      </c>
      <c r="G92" s="24" t="str">
        <f>IFERROR(__xludf.DUMMYFUNCTION("""COMPUTED_VALUE"""),"hs")</f>
        <v>hs</v>
      </c>
      <c r="H92" s="24" t="str">
        <f>IFERROR(__xludf.DUMMYFUNCTION("""COMPUTED_VALUE"""),"Newsome High School Marching Band 19-22, Newsome High School Indoor Percussion ‘20-22, USF Drumline ‘22-23")</f>
        <v>Newsome High School Marching Band 19-22, Newsome High School Indoor Percussion ‘20-22, USF Drumline ‘22-23</v>
      </c>
      <c r="I92" s="12" t="str">
        <f>IFERROR(__xludf.DUMMYFUNCTION("""COMPUTED_VALUE"""),"Ryan Powell")</f>
        <v>Ryan Powell</v>
      </c>
      <c r="J92" s="12" t="str">
        <f>IFERROR(__xludf.DUMMYFUNCTION("""COMPUTED_VALUE"""),"rpowell8816@gmail.com")</f>
        <v>rpowell8816@gmail.com</v>
      </c>
      <c r="K92" s="12"/>
    </row>
    <row r="93">
      <c r="A93" s="24" t="str">
        <f>IFERROR(__xludf.DUMMYFUNCTION("""COMPUTED_VALUE"""),"AH8232")</f>
        <v>AH8232</v>
      </c>
      <c r="B93" s="11" t="str">
        <f>IFERROR(__xludf.DUMMYFUNCTION("""COMPUTED_VALUE"""),"Husbands")</f>
        <v>Husbands</v>
      </c>
      <c r="C93" s="24" t="str">
        <f>IFERROR(__xludf.DUMMYFUNCTION("""COMPUTED_VALUE"""),"Aidan")</f>
        <v>Aidan</v>
      </c>
      <c r="D93" s="24" t="str">
        <f>IFERROR(__xludf.DUMMYFUNCTION("""COMPUTED_VALUE"""),"He/Him")</f>
        <v>He/Him</v>
      </c>
      <c r="E93" s="24" t="str">
        <f>IFERROR(__xludf.DUMMYFUNCTION("""COMPUTED_VALUE"""),"Bass")</f>
        <v>Bass</v>
      </c>
      <c r="F93" s="24">
        <f>IFERROR(__xludf.DUMMYFUNCTION("""COMPUTED_VALUE"""),20.0)</f>
        <v>20</v>
      </c>
      <c r="G93" s="24" t="str">
        <f>IFERROR(__xludf.DUMMYFUNCTION("""COMPUTED_VALUE"""),"hs")</f>
        <v>hs</v>
      </c>
      <c r="H93" s="24" t="str">
        <f>IFERROR(__xludf.DUMMYFUNCTION("""COMPUTED_VALUE"""),"Newsome high school marching band 19-22
Newsome high school indoor 20-22
USF marching band 22-23
Madison Scouts 23")</f>
        <v>Newsome high school marching band 19-22
Newsome high school indoor 20-22
USF marching band 22-23
Madison Scouts 23</v>
      </c>
      <c r="I93" s="12" t="str">
        <f>IFERROR(__xludf.DUMMYFUNCTION("""COMPUTED_VALUE"""),"Aidan Husbands")</f>
        <v>Aidan Husbands</v>
      </c>
      <c r="J93" s="12" t="str">
        <f>IFERROR(__xludf.DUMMYFUNCTION("""COMPUTED_VALUE"""),"ahubby06@gmail.com")</f>
        <v>ahubby06@gmail.com</v>
      </c>
      <c r="K93" s="12"/>
    </row>
    <row r="94">
      <c r="A94" s="24" t="str">
        <f>IFERROR(__xludf.DUMMYFUNCTION("""COMPUTED_VALUE"""),"CJ8089")</f>
        <v>CJ8089</v>
      </c>
      <c r="B94" s="11" t="str">
        <f>IFERROR(__xludf.DUMMYFUNCTION("""COMPUTED_VALUE"""),"Jean")</f>
        <v>Jean</v>
      </c>
      <c r="C94" s="24" t="str">
        <f>IFERROR(__xludf.DUMMYFUNCTION("""COMPUTED_VALUE"""),"Cos")</f>
        <v>Cos</v>
      </c>
      <c r="D94" s="24" t="str">
        <f>IFERROR(__xludf.DUMMYFUNCTION("""COMPUTED_VALUE"""),"He/him")</f>
        <v>He/him</v>
      </c>
      <c r="E94" s="24" t="str">
        <f>IFERROR(__xludf.DUMMYFUNCTION("""COMPUTED_VALUE"""),"Snare")</f>
        <v>Snare</v>
      </c>
      <c r="F94" s="24">
        <f>IFERROR(__xludf.DUMMYFUNCTION("""COMPUTED_VALUE"""),19.0)</f>
        <v>19</v>
      </c>
      <c r="G94" s="24" t="str">
        <f>IFERROR(__xludf.DUMMYFUNCTION("""COMPUTED_VALUE"""),"i2")</f>
        <v>i2</v>
      </c>
      <c r="H94" s="24" t="str">
        <f>IFERROR(__xludf.DUMMYFUNCTION("""COMPUTED_VALUE"""),"Cypress creek highschool 18-22 Infinity 3 2022 Infinity 2 2023")</f>
        <v>Cypress creek highschool 18-22 Infinity 3 2022 Infinity 2 2023</v>
      </c>
      <c r="I94" s="12" t="str">
        <f>IFERROR(__xludf.DUMMYFUNCTION("""COMPUTED_VALUE"""),"Cos Jean")</f>
        <v>Cos Jean</v>
      </c>
      <c r="J94" s="12" t="str">
        <f>IFERROR(__xludf.DUMMYFUNCTION("""COMPUTED_VALUE"""),"beanbose03@gmail.com")</f>
        <v>beanbose03@gmail.com</v>
      </c>
      <c r="K94" s="12"/>
    </row>
    <row r="95">
      <c r="A95" s="24" t="str">
        <f>IFERROR(__xludf.DUMMYFUNCTION("""COMPUTED_VALUE"""),"AN8233")</f>
        <v>AN8233</v>
      </c>
      <c r="B95" s="11" t="str">
        <f>IFERROR(__xludf.DUMMYFUNCTION("""COMPUTED_VALUE"""),"Nunley")</f>
        <v>Nunley</v>
      </c>
      <c r="C95" s="24" t="str">
        <f>IFERROR(__xludf.DUMMYFUNCTION("""COMPUTED_VALUE"""),"Alex")</f>
        <v>Alex</v>
      </c>
      <c r="D95" s="24"/>
      <c r="E95" s="24" t="str">
        <f>IFERROR(__xludf.DUMMYFUNCTION("""COMPUTED_VALUE"""),"Tenor")</f>
        <v>Tenor</v>
      </c>
      <c r="F95" s="24">
        <f>IFERROR(__xludf.DUMMYFUNCTION("""COMPUTED_VALUE"""),19.0)</f>
        <v>19</v>
      </c>
      <c r="G95" s="24" t="str">
        <f>IFERROR(__xludf.DUMMYFUNCTION("""COMPUTED_VALUE"""),"piw")</f>
        <v>piw</v>
      </c>
      <c r="H95" s="24" t="str">
        <f>IFERROR(__xludf.DUMMYFUNCTION("""COMPUTED_VALUE"""),"Spirt of Jupiter 2019-2023, Stryke 2023, The Academy 2023 ")</f>
        <v>Spirt of Jupiter 2019-2023, Stryke 2023, The Academy 2023 </v>
      </c>
      <c r="I95" s="12" t="str">
        <f>IFERROR(__xludf.DUMMYFUNCTION("""COMPUTED_VALUE"""),"Alex Nunley")</f>
        <v>Alex Nunley</v>
      </c>
      <c r="J95" s="12" t="str">
        <f>IFERROR(__xludf.DUMMYFUNCTION("""COMPUTED_VALUE"""),"alex.c.nunley@gmail.com")</f>
        <v>alex.c.nunley@gmail.com</v>
      </c>
      <c r="K95" s="12"/>
    </row>
    <row r="96">
      <c r="A96" s="24" t="str">
        <f>IFERROR(__xludf.DUMMYFUNCTION("""COMPUTED_VALUE"""),"AN8237")</f>
        <v>AN8237</v>
      </c>
      <c r="B96" s="11" t="str">
        <f>IFERROR(__xludf.DUMMYFUNCTION("""COMPUTED_VALUE"""),"Nguyen")</f>
        <v>Nguyen</v>
      </c>
      <c r="C96" s="24" t="str">
        <f>IFERROR(__xludf.DUMMYFUNCTION("""COMPUTED_VALUE"""),"Alex")</f>
        <v>Alex</v>
      </c>
      <c r="D96" s="24" t="str">
        <f>IFERROR(__xludf.DUMMYFUNCTION("""COMPUTED_VALUE"""),"He/Him/His")</f>
        <v>He/Him/His</v>
      </c>
      <c r="E96" s="24" t="str">
        <f>IFERROR(__xludf.DUMMYFUNCTION("""COMPUTED_VALUE"""),"Snare")</f>
        <v>Snare</v>
      </c>
      <c r="F96" s="24">
        <f>IFERROR(__xludf.DUMMYFUNCTION("""COMPUTED_VALUE"""),22.0)</f>
        <v>22</v>
      </c>
      <c r="G96" s="24" t="str">
        <f>IFERROR(__xludf.DUMMYFUNCTION("""COMPUTED_VALUE"""),"i3")</f>
        <v>i3</v>
      </c>
      <c r="H96" s="24" t="str">
        <f>IFERROR(__xludf.DUMMYFUNCTION("""COMPUTED_VALUE"""),"Infinity 3 2019, UF Drumline 2021-2023")</f>
        <v>Infinity 3 2019, UF Drumline 2021-2023</v>
      </c>
      <c r="I96" s="12" t="str">
        <f>IFERROR(__xludf.DUMMYFUNCTION("""COMPUTED_VALUE"""),"Alex Nguyen")</f>
        <v>Alex Nguyen</v>
      </c>
      <c r="J96" s="12" t="str">
        <f>IFERROR(__xludf.DUMMYFUNCTION("""COMPUTED_VALUE"""),"dunguyenalex@gmail.com")</f>
        <v>dunguyenalex@gmail.com</v>
      </c>
      <c r="K96" s="12"/>
    </row>
    <row r="97">
      <c r="A97" s="24" t="str">
        <f>IFERROR(__xludf.DUMMYFUNCTION("""COMPUTED_VALUE"""),"LK8238")</f>
        <v>LK8238</v>
      </c>
      <c r="B97" s="11" t="str">
        <f>IFERROR(__xludf.DUMMYFUNCTION("""COMPUTED_VALUE"""),"King")</f>
        <v>King</v>
      </c>
      <c r="C97" s="24" t="str">
        <f>IFERROR(__xludf.DUMMYFUNCTION("""COMPUTED_VALUE"""),"Lindsey")</f>
        <v>Lindsey</v>
      </c>
      <c r="D97" s="24"/>
      <c r="E97" s="24" t="str">
        <f>IFERROR(__xludf.DUMMYFUNCTION("""COMPUTED_VALUE"""),"Visual Ensemble")</f>
        <v>Visual Ensemble</v>
      </c>
      <c r="F97" s="24">
        <f>IFERROR(__xludf.DUMMYFUNCTION("""COMPUTED_VALUE"""),20.0)</f>
        <v>20</v>
      </c>
      <c r="G97" s="24" t="str">
        <f>IFERROR(__xludf.DUMMYFUNCTION("""COMPUTED_VALUE"""),"hs")</f>
        <v>hs</v>
      </c>
      <c r="H97" s="24" t="str">
        <f>IFERROR(__xludf.DUMMYFUNCTION("""COMPUTED_VALUE"""),"Ballet/other dance classes and gymnastics ")</f>
        <v>Ballet/other dance classes and gymnastics </v>
      </c>
      <c r="I97" s="12" t="str">
        <f>IFERROR(__xludf.DUMMYFUNCTION("""COMPUTED_VALUE"""),"Lindsey King")</f>
        <v>Lindsey King</v>
      </c>
      <c r="J97" s="12" t="str">
        <f>IFERROR(__xludf.DUMMYFUNCTION("""COMPUTED_VALUE"""),"lindseyking04@icloud.com")</f>
        <v>lindseyking04@icloud.com</v>
      </c>
      <c r="K97" s="12"/>
    </row>
    <row r="98">
      <c r="A98" s="24" t="str">
        <f>IFERROR(__xludf.DUMMYFUNCTION("""COMPUTED_VALUE"""),"KJ8235")</f>
        <v>KJ8235</v>
      </c>
      <c r="B98" s="11" t="str">
        <f>IFERROR(__xludf.DUMMYFUNCTION("""COMPUTED_VALUE"""),"Juarez")</f>
        <v>Juarez</v>
      </c>
      <c r="C98" s="24" t="str">
        <f>IFERROR(__xludf.DUMMYFUNCTION("""COMPUTED_VALUE"""),"Kevin")</f>
        <v>Kevin</v>
      </c>
      <c r="D98" s="24" t="str">
        <f>IFERROR(__xludf.DUMMYFUNCTION("""COMPUTED_VALUE"""),"He/Him")</f>
        <v>He/Him</v>
      </c>
      <c r="E98" s="24" t="str">
        <f>IFERROR(__xludf.DUMMYFUNCTION("""COMPUTED_VALUE"""),"Tenor")</f>
        <v>Tenor</v>
      </c>
      <c r="F98" s="24">
        <f>IFERROR(__xludf.DUMMYFUNCTION("""COMPUTED_VALUE"""),20.0)</f>
        <v>20</v>
      </c>
      <c r="G98" s="24" t="str">
        <f>IFERROR(__xludf.DUMMYFUNCTION("""COMPUTED_VALUE"""),"pio")</f>
        <v>pio</v>
      </c>
      <c r="H98" s="24" t="str">
        <f>IFERROR(__xludf.DUMMYFUNCTION("""COMPUTED_VALUE"""),"3 outdoor seasons on quads in high school, 1 indoor season scholastic open, 1 indoor season at Atlas (PIO) starting 2nd year in UF drumline. ")</f>
        <v>3 outdoor seasons on quads in high school, 1 indoor season scholastic open, 1 indoor season at Atlas (PIO) starting 2nd year in UF drumline. </v>
      </c>
      <c r="I98" s="12" t="str">
        <f>IFERROR(__xludf.DUMMYFUNCTION("""COMPUTED_VALUE"""),"Kevin Juarez")</f>
        <v>Kevin Juarez</v>
      </c>
      <c r="J98" s="12" t="str">
        <f>IFERROR(__xludf.DUMMYFUNCTION("""COMPUTED_VALUE"""),"kevinijuarez@yahoo.com")</f>
        <v>kevinijuarez@yahoo.com</v>
      </c>
      <c r="K98" s="12"/>
    </row>
    <row r="99">
      <c r="A99" s="24" t="str">
        <f>IFERROR(__xludf.DUMMYFUNCTION("""COMPUTED_VALUE"""),"NM8240")</f>
        <v>NM8240</v>
      </c>
      <c r="B99" s="11" t="str">
        <f>IFERROR(__xludf.DUMMYFUNCTION("""COMPUTED_VALUE"""),"Mattson")</f>
        <v>Mattson</v>
      </c>
      <c r="C99" s="24" t="str">
        <f>IFERROR(__xludf.DUMMYFUNCTION("""COMPUTED_VALUE"""),"Neil")</f>
        <v>Neil</v>
      </c>
      <c r="D99" s="24" t="str">
        <f>IFERROR(__xludf.DUMMYFUNCTION("""COMPUTED_VALUE"""),"He/They")</f>
        <v>He/They</v>
      </c>
      <c r="E99" s="24" t="str">
        <f>IFERROR(__xludf.DUMMYFUNCTION("""COMPUTED_VALUE"""),"Cymbals")</f>
        <v>Cymbals</v>
      </c>
      <c r="F99" s="24">
        <f>IFERROR(__xludf.DUMMYFUNCTION("""COMPUTED_VALUE"""),22.0)</f>
        <v>22</v>
      </c>
      <c r="G99" s="24" t="str">
        <f>IFERROR(__xludf.DUMMYFUNCTION("""COMPUTED_VALUE"""),"i1")</f>
        <v>i1</v>
      </c>
      <c r="H99" s="24" t="str">
        <f>IFERROR(__xludf.DUMMYFUNCTION("""COMPUTED_VALUE"""),"INFINITY2 (2018 Cymbals) INFINITY (2020 Cymbals)")</f>
        <v>INFINITY2 (2018 Cymbals) INFINITY (2020 Cymbals)</v>
      </c>
      <c r="I99" s="12" t="str">
        <f>IFERROR(__xludf.DUMMYFUNCTION("""COMPUTED_VALUE"""),"Neil Mattson")</f>
        <v>Neil Mattson</v>
      </c>
      <c r="J99" s="12" t="str">
        <f>IFERROR(__xludf.DUMMYFUNCTION("""COMPUTED_VALUE"""),"mattson.neil123@gmail.com")</f>
        <v>mattson.neil123@gmail.com</v>
      </c>
      <c r="K99" s="12"/>
    </row>
    <row r="100">
      <c r="A100" s="25" t="str">
        <f>IFERROR(__xludf.DUMMYFUNCTION("""COMPUTED_VALUE"""),"AT8242")</f>
        <v>AT8242</v>
      </c>
      <c r="B100" s="25" t="str">
        <f>IFERROR(__xludf.DUMMYFUNCTION("""COMPUTED_VALUE"""),"Tinghitella")</f>
        <v>Tinghitella</v>
      </c>
      <c r="C100" s="25" t="str">
        <f>IFERROR(__xludf.DUMMYFUNCTION("""COMPUTED_VALUE"""),"Anthony")</f>
        <v>Anthony</v>
      </c>
      <c r="D100" s="25" t="str">
        <f>IFERROR(__xludf.DUMMYFUNCTION("""COMPUTED_VALUE"""),"he/him")</f>
        <v>he/him</v>
      </c>
      <c r="E100" s="25" t="str">
        <f>IFERROR(__xludf.DUMMYFUNCTION("""COMPUTED_VALUE"""),"Tenor")</f>
        <v>Tenor</v>
      </c>
      <c r="F100" s="26">
        <f>IFERROR(__xludf.DUMMYFUNCTION("""COMPUTED_VALUE"""),19.0)</f>
        <v>19</v>
      </c>
      <c r="G100" s="25" t="str">
        <f>IFERROR(__xludf.DUMMYFUNCTION("""COMPUTED_VALUE"""),"hs")</f>
        <v>hs</v>
      </c>
      <c r="H100" s="25" t="str">
        <f>IFERROR(__xludf.DUMMYFUNCTION("""COMPUTED_VALUE"""),"Pembroke Pines Charter High School Indoor Percussion ‘20-‘23
Pembroke Pines Charter High School Marching Band ‘22-‘23")</f>
        <v>Pembroke Pines Charter High School Indoor Percussion ‘20-‘23
Pembroke Pines Charter High School Marching Band ‘22-‘23</v>
      </c>
      <c r="I100" s="12" t="str">
        <f>IFERROR(__xludf.DUMMYFUNCTION("""COMPUTED_VALUE"""),"Anthony Tinghitella")</f>
        <v>Anthony Tinghitella</v>
      </c>
      <c r="J100" s="25" t="str">
        <f>IFERROR(__xludf.DUMMYFUNCTION("""COMPUTED_VALUE"""),"ninjatubaguy@gmail.com")</f>
        <v>ninjatubaguy@gmail.com</v>
      </c>
    </row>
    <row r="101">
      <c r="A101" s="25" t="str">
        <f>IFERROR(__xludf.DUMMYFUNCTION("""COMPUTED_VALUE"""),"CL8166")</f>
        <v>CL8166</v>
      </c>
      <c r="B101" s="25" t="str">
        <f>IFERROR(__xludf.DUMMYFUNCTION("""COMPUTED_VALUE"""),"Lowe")</f>
        <v>Lowe</v>
      </c>
      <c r="C101" s="25" t="str">
        <f>IFERROR(__xludf.DUMMYFUNCTION("""COMPUTED_VALUE"""),"Charles")</f>
        <v>Charles</v>
      </c>
      <c r="D101" s="25" t="str">
        <f>IFERROR(__xludf.DUMMYFUNCTION("""COMPUTED_VALUE"""),"He/Him")</f>
        <v>He/Him</v>
      </c>
      <c r="E101" s="25" t="str">
        <f>IFERROR(__xludf.DUMMYFUNCTION("""COMPUTED_VALUE"""),"Snare")</f>
        <v>Snare</v>
      </c>
      <c r="F101" s="26">
        <f>IFERROR(__xludf.DUMMYFUNCTION("""COMPUTED_VALUE"""),21.0)</f>
        <v>21</v>
      </c>
      <c r="G101" s="25" t="str">
        <f>IFERROR(__xludf.DUMMYFUNCTION("""COMPUTED_VALUE"""),"hs")</f>
        <v>hs</v>
      </c>
      <c r="H101" s="25" t="str">
        <f>IFERROR(__xludf.DUMMYFUNCTION("""COMPUTED_VALUE"""),"North Fort Myers High School Marching Band
2016/17: Rack/Auxiliary
‘17/‘18: Snare
‘18/‘19: Snare
‘19/‘20: Snare (Drumline captain)
NFMHS Indoor Percussion
2016/17: Rack/Auxiliary
‘17/‘18: Snare
‘18/‘19: Snare
‘19/‘20: Snare (Drumline captain)
Drumline T"&amp;"echnician for the North Fort Myers Marching Band/Indoor Percussion Ensemble 2021 &amp; 2023 seasons")</f>
        <v>North Fort Myers High School Marching Band
2016/17: Rack/Auxiliary
‘17/‘18: Snare
‘18/‘19: Snare
‘19/‘20: Snare (Drumline captain)
NFMHS Indoor Percussion
2016/17: Rack/Auxiliary
‘17/‘18: Snare
‘18/‘19: Snare
‘19/‘20: Snare (Drumline captain)
Drumline Technician for the North Fort Myers Marching Band/Indoor Percussion Ensemble 2021 &amp; 2023 seasons</v>
      </c>
      <c r="I101" s="12" t="str">
        <f>IFERROR(__xludf.DUMMYFUNCTION("""COMPUTED_VALUE"""),"Charles Lowe")</f>
        <v>Charles Lowe</v>
      </c>
      <c r="J101" s="25" t="str">
        <f>IFERROR(__xludf.DUMMYFUNCTION("""COMPUTED_VALUE"""),"cwl062902@gmail.com")</f>
        <v>cwl062902@gmail.com</v>
      </c>
    </row>
    <row r="102">
      <c r="A102" s="25" t="str">
        <f>IFERROR(__xludf.DUMMYFUNCTION("""COMPUTED_VALUE"""),"LP8209")</f>
        <v>LP8209</v>
      </c>
      <c r="B102" s="25" t="str">
        <f>IFERROR(__xludf.DUMMYFUNCTION("""COMPUTED_VALUE"""),"Pabon")</f>
        <v>Pabon</v>
      </c>
      <c r="C102" s="25" t="str">
        <f>IFERROR(__xludf.DUMMYFUNCTION("""COMPUTED_VALUE"""),"Leah")</f>
        <v>Leah</v>
      </c>
      <c r="D102" s="25" t="str">
        <f>IFERROR(__xludf.DUMMYFUNCTION("""COMPUTED_VALUE"""),"She/her")</f>
        <v>She/her</v>
      </c>
      <c r="E102" s="25" t="str">
        <f>IFERROR(__xludf.DUMMYFUNCTION("""COMPUTED_VALUE"""),"Snare")</f>
        <v>Snare</v>
      </c>
      <c r="F102" s="26">
        <f>IFERROR(__xludf.DUMMYFUNCTION("""COMPUTED_VALUE"""),17.0)</f>
        <v>17</v>
      </c>
      <c r="G102" s="25" t="str">
        <f>IFERROR(__xludf.DUMMYFUNCTION("""COMPUTED_VALUE"""),"hs")</f>
        <v>hs</v>
      </c>
      <c r="H102" s="25" t="str">
        <f>IFERROR(__xludf.DUMMYFUNCTION("""COMPUTED_VALUE"""),"Newsome percussion (3 years)")</f>
        <v>Newsome percussion (3 years)</v>
      </c>
      <c r="I102" s="12" t="str">
        <f>IFERROR(__xludf.DUMMYFUNCTION("""COMPUTED_VALUE"""),"Leah Pabon")</f>
        <v>Leah Pabon</v>
      </c>
      <c r="J102" s="25" t="str">
        <f>IFERROR(__xludf.DUMMYFUNCTION("""COMPUTED_VALUE"""),"Leahpabs8@gmail.com")</f>
        <v>Leahpabs8@gmail.com</v>
      </c>
    </row>
    <row r="103">
      <c r="A103" s="25" t="str">
        <f>IFERROR(__xludf.DUMMYFUNCTION("""COMPUTED_VALUE"""),"RB8244")</f>
        <v>RB8244</v>
      </c>
      <c r="B103" s="25" t="str">
        <f>IFERROR(__xludf.DUMMYFUNCTION("""COMPUTED_VALUE"""),"Buller")</f>
        <v>Buller</v>
      </c>
      <c r="C103" s="25" t="str">
        <f>IFERROR(__xludf.DUMMYFUNCTION("""COMPUTED_VALUE"""),"Rylan")</f>
        <v>Rylan</v>
      </c>
      <c r="D103" s="25"/>
      <c r="E103" s="25" t="str">
        <f>IFERROR(__xludf.DUMMYFUNCTION("""COMPUTED_VALUE"""),"Snare")</f>
        <v>Snare</v>
      </c>
      <c r="F103" s="26">
        <f>IFERROR(__xludf.DUMMYFUNCTION("""COMPUTED_VALUE"""),19.0)</f>
        <v>19</v>
      </c>
      <c r="G103" s="25" t="str">
        <f>IFERROR(__xludf.DUMMYFUNCTION("""COMPUTED_VALUE"""),"hs")</f>
        <v>hs</v>
      </c>
      <c r="H103" s="25" t="str">
        <f>IFERROR(__xludf.DUMMYFUNCTION("""COMPUTED_VALUE"""),"4 Years on Snare in Highschool")</f>
        <v>4 Years on Snare in Highschool</v>
      </c>
      <c r="I103" s="12" t="str">
        <f>IFERROR(__xludf.DUMMYFUNCTION("""COMPUTED_VALUE"""),"Rylan Buller")</f>
        <v>Rylan Buller</v>
      </c>
      <c r="J103" s="25" t="str">
        <f>IFERROR(__xludf.DUMMYFUNCTION("""COMPUTED_VALUE"""),"rylanbuller@gmail.com")</f>
        <v>rylanbuller@gmail.com</v>
      </c>
    </row>
    <row r="104">
      <c r="A104" s="23" t="str">
        <f>IFERROR(__xludf.DUMMYFUNCTION("""COMPUTED_VALUE"""),"gm8234")</f>
        <v>gm8234</v>
      </c>
      <c r="B104" s="22" t="str">
        <f>IFERROR(__xludf.DUMMYFUNCTION("""COMPUTED_VALUE"""),"mack")</f>
        <v>mack</v>
      </c>
      <c r="C104" s="23" t="str">
        <f>IFERROR(__xludf.DUMMYFUNCTION("""COMPUTED_VALUE"""),"garrison")</f>
        <v>garrison</v>
      </c>
      <c r="D104" s="23" t="str">
        <f>IFERROR(__xludf.DUMMYFUNCTION("""COMPUTED_VALUE"""),"him")</f>
        <v>him</v>
      </c>
      <c r="E104" s="23" t="str">
        <f>IFERROR(__xludf.DUMMYFUNCTION("""COMPUTED_VALUE"""),"Tenor")</f>
        <v>Tenor</v>
      </c>
      <c r="F104" s="23">
        <f>IFERROR(__xludf.DUMMYFUNCTION("""COMPUTED_VALUE"""),19.0)</f>
        <v>19</v>
      </c>
      <c r="G104" s="23" t="str">
        <f>IFERROR(__xludf.DUMMYFUNCTION("""COMPUTED_VALUE"""),"i1")</f>
        <v>i1</v>
      </c>
      <c r="H104" s="27" t="str">
        <f>IFERROR(__xludf.DUMMYFUNCTION("""COMPUTED_VALUE"""),"Blue stars 22 infinity 23")</f>
        <v>Blue stars 22 infinity 23</v>
      </c>
      <c r="I104" s="12" t="str">
        <f>IFERROR(__xludf.DUMMYFUNCTION("""COMPUTED_VALUE"""),"garrison mack")</f>
        <v>garrison mack</v>
      </c>
      <c r="J104" s="12" t="str">
        <f>IFERROR(__xludf.DUMMYFUNCTION("""COMPUTED_VALUE"""),"garrisonmack13@gmail.com")</f>
        <v>garrisonmack13@gmail.com</v>
      </c>
      <c r="K104" s="12"/>
    </row>
    <row r="105">
      <c r="A105" s="24" t="str">
        <f>IFERROR(__xludf.DUMMYFUNCTION("""COMPUTED_VALUE"""),"EC8136")</f>
        <v>EC8136</v>
      </c>
      <c r="B105" s="22" t="str">
        <f>IFERROR(__xludf.DUMMYFUNCTION("""COMPUTED_VALUE"""),"Colon")</f>
        <v>Colon</v>
      </c>
      <c r="C105" s="23" t="str">
        <f>IFERROR(__xludf.DUMMYFUNCTION("""COMPUTED_VALUE"""),"Ely")</f>
        <v>Ely</v>
      </c>
      <c r="D105" s="23" t="str">
        <f>IFERROR(__xludf.DUMMYFUNCTION("""COMPUTED_VALUE"""),"He/Him")</f>
        <v>He/Him</v>
      </c>
      <c r="E105" s="23" t="str">
        <f>IFERROR(__xludf.DUMMYFUNCTION("""COMPUTED_VALUE"""),"Bass")</f>
        <v>Bass</v>
      </c>
      <c r="F105" s="23">
        <f>IFERROR(__xludf.DUMMYFUNCTION("""COMPUTED_VALUE"""),19.0)</f>
        <v>19</v>
      </c>
      <c r="G105" s="23" t="str">
        <f>IFERROR(__xludf.DUMMYFUNCTION("""COMPUTED_VALUE"""),"pio")</f>
        <v>pio</v>
      </c>
      <c r="H105" s="23" t="str">
        <f>IFERROR(__xludf.DUMMYFUNCTION("""COMPUTED_VALUE"""),"4 years of high school marching band, one season of indoor percussion with my high school, 2 years of indoor winds with my high school, one season on the bassline for conflux PIO, on the snareline for this upcoming season with the Herd of Thunder marching"&amp;" band")</f>
        <v>4 years of high school marching band, one season of indoor percussion with my high school, 2 years of indoor winds with my high school, one season on the bassline for conflux PIO, on the snareline for this upcoming season with the Herd of Thunder marching band</v>
      </c>
      <c r="I105" s="12" t="str">
        <f>IFERROR(__xludf.DUMMYFUNCTION("""COMPUTED_VALUE"""),"Ely Colon")</f>
        <v>Ely Colon</v>
      </c>
      <c r="J105" s="12" t="str">
        <f>IFERROR(__xludf.DUMMYFUNCTION("""COMPUTED_VALUE"""),"elydcolon@gmail.com")</f>
        <v>elydcolon@gmail.com</v>
      </c>
      <c r="K105" s="12"/>
    </row>
    <row r="106">
      <c r="A106" s="23" t="str">
        <f>IFERROR(__xludf.DUMMYFUNCTION("""COMPUTED_VALUE"""),"AS8239")</f>
        <v>AS8239</v>
      </c>
      <c r="B106" s="22" t="str">
        <f>IFERROR(__xludf.DUMMYFUNCTION("""COMPUTED_VALUE"""),"Southard")</f>
        <v>Southard</v>
      </c>
      <c r="C106" s="23" t="str">
        <f>IFERROR(__xludf.DUMMYFUNCTION("""COMPUTED_VALUE"""),"Andrew")</f>
        <v>Andrew</v>
      </c>
      <c r="D106" s="23" t="str">
        <f>IFERROR(__xludf.DUMMYFUNCTION("""COMPUTED_VALUE"""),"he/him")</f>
        <v>he/him</v>
      </c>
      <c r="E106" s="23" t="str">
        <f>IFERROR(__xludf.DUMMYFUNCTION("""COMPUTED_VALUE"""),"Snare")</f>
        <v>Snare</v>
      </c>
      <c r="F106" s="23">
        <f>IFERROR(__xludf.DUMMYFUNCTION("""COMPUTED_VALUE"""),22.0)</f>
        <v>22</v>
      </c>
      <c r="G106" s="23" t="str">
        <f>IFERROR(__xludf.DUMMYFUNCTION("""COMPUTED_VALUE"""),"i2")</f>
        <v>i2</v>
      </c>
      <c r="H106" s="23" t="str">
        <f>IFERROR(__xludf.DUMMYFUNCTION("""COMPUTED_VALUE"""),"Timber Creek High School Marching Band: 2016-2019
Timber Creek Indoor Percussion: 2017
Infinity 3: 2018-2021
Infinity 2: 2023
Spirit of Atlanta: 2023 ")</f>
        <v>Timber Creek High School Marching Band: 2016-2019
Timber Creek Indoor Percussion: 2017
Infinity 3: 2018-2021
Infinity 2: 2023
Spirit of Atlanta: 2023 </v>
      </c>
      <c r="I106" s="12" t="str">
        <f>IFERROR(__xludf.DUMMYFUNCTION("""COMPUTED_VALUE"""),"Andrew Southard")</f>
        <v>Andrew Southard</v>
      </c>
      <c r="J106" s="12" t="str">
        <f>IFERROR(__xludf.DUMMYFUNCTION("""COMPUTED_VALUE"""),"andrewjsouthard@gmail.com")</f>
        <v>andrewjsouthard@gmail.com</v>
      </c>
      <c r="K106" s="12"/>
    </row>
    <row r="107">
      <c r="A107" s="23" t="str">
        <f>IFERROR(__xludf.DUMMYFUNCTION("""COMPUTED_VALUE"""),"PI8190")</f>
        <v>PI8190</v>
      </c>
      <c r="B107" s="22" t="str">
        <f>IFERROR(__xludf.DUMMYFUNCTION("""COMPUTED_VALUE"""),"Isaac")</f>
        <v>Isaac</v>
      </c>
      <c r="C107" s="23" t="str">
        <f>IFERROR(__xludf.DUMMYFUNCTION("""COMPUTED_VALUE"""),"Panipal")</f>
        <v>Panipal</v>
      </c>
      <c r="D107" s="23"/>
      <c r="E107" s="23" t="str">
        <f>IFERROR(__xludf.DUMMYFUNCTION("""COMPUTED_VALUE"""),"Snare")</f>
        <v>Snare</v>
      </c>
      <c r="F107" s="23">
        <f>IFERROR(__xludf.DUMMYFUNCTION("""COMPUTED_VALUE"""),19.0)</f>
        <v>19</v>
      </c>
      <c r="G107" s="23" t="str">
        <f>IFERROR(__xludf.DUMMYFUNCTION("""COMPUTED_VALUE"""),"pia")</f>
        <v>pia</v>
      </c>
      <c r="H107" s="24" t="str">
        <f>IFERROR(__xludf.DUMMYFUNCTION("""COMPUTED_VALUE"""),"HS Marching Band, 2 years on snare, 1 on Tenor. Wind Ensemble and Symphony Orchestra for 4 years at HS. ILMEA (Illinois state concert ensemble circuit) Percussion. 
WGI at Crystal Lake Thunder PIA, on Vibraphone 2023.")</f>
        <v>HS Marching Band, 2 years on snare, 1 on Tenor. Wind Ensemble and Symphony Orchestra for 4 years at HS. ILMEA (Illinois state concert ensemble circuit) Percussion. 
WGI at Crystal Lake Thunder PIA, on Vibraphone 2023.</v>
      </c>
      <c r="I107" s="12" t="str">
        <f>IFERROR(__xludf.DUMMYFUNCTION("""COMPUTED_VALUE"""),"Panipal Isaac")</f>
        <v>Panipal Isaac</v>
      </c>
      <c r="J107" s="12" t="str">
        <f>IFERROR(__xludf.DUMMYFUNCTION("""COMPUTED_VALUE"""),"panipalisaac@gmail.com")</f>
        <v>panipalisaac@gmail.com</v>
      </c>
      <c r="K107" s="12"/>
    </row>
    <row r="108">
      <c r="A108" s="24" t="str">
        <f>IFERROR(__xludf.DUMMYFUNCTION("""COMPUTED_VALUE"""),"MU8137")</f>
        <v>MU8137</v>
      </c>
      <c r="B108" s="22" t="str">
        <f>IFERROR(__xludf.DUMMYFUNCTION("""COMPUTED_VALUE"""),"Uller")</f>
        <v>Uller</v>
      </c>
      <c r="C108" s="23" t="str">
        <f>IFERROR(__xludf.DUMMYFUNCTION("""COMPUTED_VALUE"""),"Morgan")</f>
        <v>Morgan</v>
      </c>
      <c r="D108" s="23" t="str">
        <f>IFERROR(__xludf.DUMMYFUNCTION("""COMPUTED_VALUE"""),"she/her")</f>
        <v>she/her</v>
      </c>
      <c r="E108" s="23" t="str">
        <f>IFERROR(__xludf.DUMMYFUNCTION("""COMPUTED_VALUE"""),"Snare")</f>
        <v>Snare</v>
      </c>
      <c r="F108" s="23">
        <f>IFERROR(__xludf.DUMMYFUNCTION("""COMPUTED_VALUE"""),20.0)</f>
        <v>20</v>
      </c>
      <c r="G108" s="23" t="str">
        <f>IFERROR(__xludf.DUMMYFUNCTION("""COMPUTED_VALUE"""),"dci")</f>
        <v>dci</v>
      </c>
      <c r="H108" s="23" t="str">
        <f>IFERROR(__xludf.DUMMYFUNCTION("""COMPUTED_VALUE"""),"Plymouth Canton Educational Park marching band 2018-2020 on snare drum, Plymouth Canton winter percussion 2019-2021 on snare drum, Legends DBC 2020 on snare drum (season cancelled due to covid) Colt Cadets DBC 2021 on snare drum, Motor City percussion 202"&amp;"2 on snare drum")</f>
        <v>Plymouth Canton Educational Park marching band 2018-2020 on snare drum, Plymouth Canton winter percussion 2019-2021 on snare drum, Legends DBC 2020 on snare drum (season cancelled due to covid) Colt Cadets DBC 2021 on snare drum, Motor City percussion 2022 on snare drum</v>
      </c>
      <c r="I108" s="12" t="str">
        <f>IFERROR(__xludf.DUMMYFUNCTION("""COMPUTED_VALUE"""),"Morgan Uller")</f>
        <v>Morgan Uller</v>
      </c>
      <c r="J108" s="12" t="str">
        <f>IFERROR(__xludf.DUMMYFUNCTION("""COMPUTED_VALUE"""),"morganullerr@gmail.com")</f>
        <v>morganullerr@gmail.com</v>
      </c>
      <c r="K108" s="12"/>
    </row>
    <row r="109">
      <c r="A109" s="23" t="str">
        <f>IFERROR(__xludf.DUMMYFUNCTION("""COMPUTED_VALUE"""),"RL8248")</f>
        <v>RL8248</v>
      </c>
      <c r="B109" s="11" t="str">
        <f>IFERROR(__xludf.DUMMYFUNCTION("""COMPUTED_VALUE"""),"Livingston")</f>
        <v>Livingston</v>
      </c>
      <c r="C109" s="23" t="str">
        <f>IFERROR(__xludf.DUMMYFUNCTION("""COMPUTED_VALUE"""),"Ryley")</f>
        <v>Ryley</v>
      </c>
      <c r="D109" s="23" t="str">
        <f>IFERROR(__xludf.DUMMYFUNCTION("""COMPUTED_VALUE"""),"They/Them")</f>
        <v>They/Them</v>
      </c>
      <c r="E109" s="23" t="str">
        <f>IFERROR(__xludf.DUMMYFUNCTION("""COMPUTED_VALUE"""),"Cymbals")</f>
        <v>Cymbals</v>
      </c>
      <c r="F109" s="24">
        <f>IFERROR(__xludf.DUMMYFUNCTION("""COMPUTED_VALUE"""),19.0)</f>
        <v>19</v>
      </c>
      <c r="G109" s="24" t="str">
        <f>IFERROR(__xludf.DUMMYFUNCTION("""COMPUTED_VALUE"""),"i3")</f>
        <v>i3</v>
      </c>
      <c r="H109" s="24" t="str">
        <f>IFERROR(__xludf.DUMMYFUNCTION("""COMPUTED_VALUE"""),"Infinity 3 2021
Windermere high school 2019-2020
Horizon high school 2021-2022")</f>
        <v>Infinity 3 2021
Windermere high school 2019-2020
Horizon high school 2021-2022</v>
      </c>
      <c r="I109" s="12" t="str">
        <f>IFERROR(__xludf.DUMMYFUNCTION("""COMPUTED_VALUE"""),"Ryley Livingston")</f>
        <v>Ryley Livingston</v>
      </c>
      <c r="J109" s="12" t="str">
        <f>IFERROR(__xludf.DUMMYFUNCTION("""COMPUTED_VALUE"""),"ryrylivingston@gmail.com")</f>
        <v>ryrylivingston@gmail.com</v>
      </c>
      <c r="K109" s="12"/>
    </row>
    <row r="110">
      <c r="A110" s="24" t="str">
        <f>IFERROR(__xludf.DUMMYFUNCTION("""COMPUTED_VALUE"""),"BM8252")</f>
        <v>BM8252</v>
      </c>
      <c r="B110" s="11" t="str">
        <f>IFERROR(__xludf.DUMMYFUNCTION("""COMPUTED_VALUE"""),"Moorehouse")</f>
        <v>Moorehouse</v>
      </c>
      <c r="C110" s="24" t="str">
        <f>IFERROR(__xludf.DUMMYFUNCTION("""COMPUTED_VALUE"""),"Brady")</f>
        <v>Brady</v>
      </c>
      <c r="D110" s="24" t="str">
        <f>IFERROR(__xludf.DUMMYFUNCTION("""COMPUTED_VALUE"""),"he/him")</f>
        <v>he/him</v>
      </c>
      <c r="E110" s="24" t="str">
        <f>IFERROR(__xludf.DUMMYFUNCTION("""COMPUTED_VALUE"""),"Snare")</f>
        <v>Snare</v>
      </c>
      <c r="F110" s="24">
        <f>IFERROR(__xludf.DUMMYFUNCTION("""COMPUTED_VALUE"""),16.0)</f>
        <v>16</v>
      </c>
      <c r="G110" s="24" t="str">
        <f>IFERROR(__xludf.DUMMYFUNCTION("""COMPUTED_VALUE"""),"hs")</f>
        <v>hs</v>
      </c>
      <c r="H110" s="24" t="str">
        <f>IFERROR(__xludf.DUMMYFUNCTION("""COMPUTED_VALUE"""),"Tarpon Springs Outdoor Performance Ensemble 2022")</f>
        <v>Tarpon Springs Outdoor Performance Ensemble 2022</v>
      </c>
      <c r="I110" s="12" t="str">
        <f>IFERROR(__xludf.DUMMYFUNCTION("""COMPUTED_VALUE"""),"Brady Moorehouse")</f>
        <v>Brady Moorehouse</v>
      </c>
      <c r="J110" s="12" t="str">
        <f>IFERROR(__xludf.DUMMYFUNCTION("""COMPUTED_VALUE"""),"brady.moorehouse@icloud.com")</f>
        <v>brady.moorehouse@icloud.com</v>
      </c>
      <c r="K110" s="12"/>
    </row>
    <row r="111">
      <c r="A111" s="24" t="str">
        <f>IFERROR(__xludf.DUMMYFUNCTION("""COMPUTED_VALUE"""),"AR8254")</f>
        <v>AR8254</v>
      </c>
      <c r="B111" s="11" t="str">
        <f>IFERROR(__xludf.DUMMYFUNCTION("""COMPUTED_VALUE"""),"Reed ")</f>
        <v>Reed </v>
      </c>
      <c r="C111" s="24" t="str">
        <f>IFERROR(__xludf.DUMMYFUNCTION("""COMPUTED_VALUE"""),"Ainsley ")</f>
        <v>Ainsley </v>
      </c>
      <c r="D111" s="24" t="str">
        <f>IFERROR(__xludf.DUMMYFUNCTION("""COMPUTED_VALUE"""),"She/her")</f>
        <v>She/her</v>
      </c>
      <c r="E111" s="24" t="str">
        <f>IFERROR(__xludf.DUMMYFUNCTION("""COMPUTED_VALUE"""),"Visual Ensemble")</f>
        <v>Visual Ensemble</v>
      </c>
      <c r="F111" s="24">
        <f>IFERROR(__xludf.DUMMYFUNCTION("""COMPUTED_VALUE"""),19.0)</f>
        <v>19</v>
      </c>
      <c r="G111" s="24" t="str">
        <f>IFERROR(__xludf.DUMMYFUNCTION("""COMPUTED_VALUE"""),"hs")</f>
        <v>hs</v>
      </c>
      <c r="H111" s="24" t="str">
        <f>IFERROR(__xludf.DUMMYFUNCTION("""COMPUTED_VALUE"""),"Sunlake marching band 2019-2022 and sunlake indoor percussion ensemble 2020-2023")</f>
        <v>Sunlake marching band 2019-2022 and sunlake indoor percussion ensemble 2020-2023</v>
      </c>
      <c r="I111" s="12" t="str">
        <f>IFERROR(__xludf.DUMMYFUNCTION("""COMPUTED_VALUE"""),"Ainsley  Reed ")</f>
        <v>Ainsley  Reed </v>
      </c>
      <c r="J111" s="12" t="str">
        <f>IFERROR(__xludf.DUMMYFUNCTION("""COMPUTED_VALUE"""),"ainsleymreed04@gmail.com")</f>
        <v>ainsleymreed04@gmail.com</v>
      </c>
      <c r="K111" s="12"/>
    </row>
    <row r="112">
      <c r="A112" s="24" t="str">
        <f>IFERROR(__xludf.DUMMYFUNCTION("""COMPUTED_VALUE"""),"LG8097")</f>
        <v>LG8097</v>
      </c>
      <c r="B112" s="11" t="str">
        <f>IFERROR(__xludf.DUMMYFUNCTION("""COMPUTED_VALUE"""),"Gonzalez")</f>
        <v>Gonzalez</v>
      </c>
      <c r="C112" s="24" t="str">
        <f>IFERROR(__xludf.DUMMYFUNCTION("""COMPUTED_VALUE"""),"Luis")</f>
        <v>Luis</v>
      </c>
      <c r="D112" s="24" t="str">
        <f>IFERROR(__xludf.DUMMYFUNCTION("""COMPUTED_VALUE"""),"he/him")</f>
        <v>he/him</v>
      </c>
      <c r="E112" s="24" t="str">
        <f>IFERROR(__xludf.DUMMYFUNCTION("""COMPUTED_VALUE"""),"Snare")</f>
        <v>Snare</v>
      </c>
      <c r="F112" s="24">
        <f>IFERROR(__xludf.DUMMYFUNCTION("""COMPUTED_VALUE"""),17.0)</f>
        <v>17</v>
      </c>
      <c r="G112" s="24" t="str">
        <f>IFERROR(__xludf.DUMMYFUNCTION("""COMPUTED_VALUE"""),"hs")</f>
        <v>hs</v>
      </c>
      <c r="H112" s="24" t="str">
        <f>IFERROR(__xludf.DUMMYFUNCTION("""COMPUTED_VALUE"""),"University High School 2020-2024")</f>
        <v>University High School 2020-2024</v>
      </c>
      <c r="I112" s="12" t="str">
        <f>IFERROR(__xludf.DUMMYFUNCTION("""COMPUTED_VALUE"""),"Luis Gonzalez")</f>
        <v>Luis Gonzalez</v>
      </c>
      <c r="J112" s="12" t="str">
        <f>IFERROR(__xludf.DUMMYFUNCTION("""COMPUTED_VALUE"""),"luisenriquegonzaleziii@gmail.com")</f>
        <v>luisenriquegonzaleziii@gmail.com</v>
      </c>
      <c r="K112" s="12"/>
    </row>
    <row r="113">
      <c r="A113" s="24" t="str">
        <f>IFERROR(__xludf.DUMMYFUNCTION("""COMPUTED_VALUE"""),"AP8189")</f>
        <v>AP8189</v>
      </c>
      <c r="B113" s="11" t="str">
        <f>IFERROR(__xludf.DUMMYFUNCTION("""COMPUTED_VALUE"""),"Padilla")</f>
        <v>Padilla</v>
      </c>
      <c r="C113" s="24" t="str">
        <f>IFERROR(__xludf.DUMMYFUNCTION("""COMPUTED_VALUE"""),"Adam")</f>
        <v>Adam</v>
      </c>
      <c r="D113" s="24" t="str">
        <f>IFERROR(__xludf.DUMMYFUNCTION("""COMPUTED_VALUE"""),"He/Him")</f>
        <v>He/Him</v>
      </c>
      <c r="E113" s="24" t="str">
        <f>IFERROR(__xludf.DUMMYFUNCTION("""COMPUTED_VALUE"""),"Snare")</f>
        <v>Snare</v>
      </c>
      <c r="F113" s="24">
        <f>IFERROR(__xludf.DUMMYFUNCTION("""COMPUTED_VALUE"""),19.0)</f>
        <v>19</v>
      </c>
      <c r="G113" s="24" t="str">
        <f>IFERROR(__xludf.DUMMYFUNCTION("""COMPUTED_VALUE"""),"hs")</f>
        <v>hs</v>
      </c>
      <c r="H113" s="24" t="str">
        <f>IFERROR(__xludf.DUMMYFUNCTION("""COMPUTED_VALUE"""),"Windermere Highschool marching band
(2019-2022)
Windermere Highschool Indoor
(2021)
Tampa Bay Buccaneers Drumline
(2023)")</f>
        <v>Windermere Highschool marching band
(2019-2022)
Windermere Highschool Indoor
(2021)
Tampa Bay Buccaneers Drumline
(2023)</v>
      </c>
      <c r="I113" s="12" t="str">
        <f>IFERROR(__xludf.DUMMYFUNCTION("""COMPUTED_VALUE"""),"Adam Padilla")</f>
        <v>Adam Padilla</v>
      </c>
      <c r="J113" s="12" t="str">
        <f>IFERROR(__xludf.DUMMYFUNCTION("""COMPUTED_VALUE"""),"adampadilla08@gmail.com")</f>
        <v>adampadilla08@gmail.com</v>
      </c>
      <c r="K113" s="12"/>
    </row>
    <row r="114">
      <c r="A114" s="24" t="str">
        <f>IFERROR(__xludf.DUMMYFUNCTION("""COMPUTED_VALUE"""),"CB8263")</f>
        <v>CB8263</v>
      </c>
      <c r="B114" s="11" t="str">
        <f>IFERROR(__xludf.DUMMYFUNCTION("""COMPUTED_VALUE"""),"Brown")</f>
        <v>Brown</v>
      </c>
      <c r="C114" s="24" t="str">
        <f>IFERROR(__xludf.DUMMYFUNCTION("""COMPUTED_VALUE"""),"Caden")</f>
        <v>Caden</v>
      </c>
      <c r="D114" s="24"/>
      <c r="E114" s="24" t="str">
        <f>IFERROR(__xludf.DUMMYFUNCTION("""COMPUTED_VALUE"""),"Bass")</f>
        <v>Bass</v>
      </c>
      <c r="F114" s="24">
        <f>IFERROR(__xludf.DUMMYFUNCTION("""COMPUTED_VALUE"""),21.0)</f>
        <v>21</v>
      </c>
      <c r="G114" s="24" t="str">
        <f>IFERROR(__xludf.DUMMYFUNCTION("""COMPUTED_VALUE"""),"i2")</f>
        <v>i2</v>
      </c>
      <c r="H114" s="24" t="str">
        <f>IFERROR(__xludf.DUMMYFUNCTION("""COMPUTED_VALUE"""),"Heatwave 19' (Bass 1), I2 22 (Bass 4), I2 23 (Bass 3), Phantom Regiment 23 (Bass 5)")</f>
        <v>Heatwave 19' (Bass 1), I2 22 (Bass 4), I2 23 (Bass 3), Phantom Regiment 23 (Bass 5)</v>
      </c>
      <c r="I114" s="12" t="str">
        <f>IFERROR(__xludf.DUMMYFUNCTION("""COMPUTED_VALUE"""),"Caden Brown")</f>
        <v>Caden Brown</v>
      </c>
      <c r="J114" s="12" t="str">
        <f>IFERROR(__xludf.DUMMYFUNCTION("""COMPUTED_VALUE"""),"czbiscool@gmail.com")</f>
        <v>czbiscool@gmail.com</v>
      </c>
      <c r="K114" s="12"/>
    </row>
    <row r="115">
      <c r="A115" s="24" t="str">
        <f>IFERROR(__xludf.DUMMYFUNCTION("""COMPUTED_VALUE"""),"GR8077")</f>
        <v>GR8077</v>
      </c>
      <c r="B115" s="11" t="str">
        <f>IFERROR(__xludf.DUMMYFUNCTION("""COMPUTED_VALUE"""),"Ramsey")</f>
        <v>Ramsey</v>
      </c>
      <c r="C115" s="24" t="str">
        <f>IFERROR(__xludf.DUMMYFUNCTION("""COMPUTED_VALUE"""),"Grant")</f>
        <v>Grant</v>
      </c>
      <c r="D115" s="24" t="str">
        <f>IFERROR(__xludf.DUMMYFUNCTION("""COMPUTED_VALUE"""),"He him")</f>
        <v>He him</v>
      </c>
      <c r="E115" s="24" t="str">
        <f>IFERROR(__xludf.DUMMYFUNCTION("""COMPUTED_VALUE"""),"Tenor")</f>
        <v>Tenor</v>
      </c>
      <c r="F115" s="24">
        <f>IFERROR(__xludf.DUMMYFUNCTION("""COMPUTED_VALUE"""),19.0)</f>
        <v>19</v>
      </c>
      <c r="G115" s="24" t="str">
        <f>IFERROR(__xludf.DUMMYFUNCTION("""COMPUTED_VALUE"""),"hs")</f>
        <v>hs</v>
      </c>
      <c r="H115" s="24" t="str">
        <f>IFERROR(__xludf.DUMMYFUNCTION("""COMPUTED_VALUE"""),"Hagerty High School 2019-2023 (vibraphone and snare), UCF MK drumline (tenors)")</f>
        <v>Hagerty High School 2019-2023 (vibraphone and snare), UCF MK drumline (tenors)</v>
      </c>
      <c r="I115" s="12" t="str">
        <f>IFERROR(__xludf.DUMMYFUNCTION("""COMPUTED_VALUE"""),"Grant Ramsey")</f>
        <v>Grant Ramsey</v>
      </c>
      <c r="J115" s="12" t="str">
        <f>IFERROR(__xludf.DUMMYFUNCTION("""COMPUTED_VALUE"""),"grantrcfl@gmail.com")</f>
        <v>grantrcfl@gmail.com</v>
      </c>
      <c r="K115" s="12"/>
    </row>
    <row r="116">
      <c r="A116" s="24" t="str">
        <f>IFERROR(__xludf.DUMMYFUNCTION("""COMPUTED_VALUE"""),"EB8251")</f>
        <v>EB8251</v>
      </c>
      <c r="B116" s="11" t="str">
        <f>IFERROR(__xludf.DUMMYFUNCTION("""COMPUTED_VALUE"""),"Bouchard")</f>
        <v>Bouchard</v>
      </c>
      <c r="C116" s="24" t="str">
        <f>IFERROR(__xludf.DUMMYFUNCTION("""COMPUTED_VALUE"""),"Evan")</f>
        <v>Evan</v>
      </c>
      <c r="D116" s="24"/>
      <c r="E116" s="24" t="str">
        <f>IFERROR(__xludf.DUMMYFUNCTION("""COMPUTED_VALUE"""),"Snare")</f>
        <v>Snare</v>
      </c>
      <c r="F116" s="24">
        <f>IFERROR(__xludf.DUMMYFUNCTION("""COMPUTED_VALUE"""),19.0)</f>
        <v>19</v>
      </c>
      <c r="G116" s="24" t="str">
        <f>IFERROR(__xludf.DUMMYFUNCTION("""COMPUTED_VALUE"""),"hs")</f>
        <v>hs</v>
      </c>
      <c r="H116" s="24" t="str">
        <f>IFERROR(__xludf.DUMMYFUNCTION("""COMPUTED_VALUE"""),"4 years with North Fort Myers High School Marching Band and Indoor Percussion")</f>
        <v>4 years with North Fort Myers High School Marching Band and Indoor Percussion</v>
      </c>
      <c r="I116" s="12" t="str">
        <f>IFERROR(__xludf.DUMMYFUNCTION("""COMPUTED_VALUE"""),"Evan Bouchard")</f>
        <v>Evan Bouchard</v>
      </c>
      <c r="J116" s="12" t="str">
        <f>IFERROR(__xludf.DUMMYFUNCTION("""COMPUTED_VALUE"""),"Orange.emb100@gmail.com")</f>
        <v>Orange.emb100@gmail.com</v>
      </c>
      <c r="K116" s="12"/>
    </row>
    <row r="117">
      <c r="A117" s="24" t="str">
        <f>IFERROR(__xludf.DUMMYFUNCTION("""COMPUTED_VALUE"""),"AG8144")</f>
        <v>AG8144</v>
      </c>
      <c r="B117" s="11" t="str">
        <f>IFERROR(__xludf.DUMMYFUNCTION("""COMPUTED_VALUE"""),"Gonzalez")</f>
        <v>Gonzalez</v>
      </c>
      <c r="C117" s="24" t="str">
        <f>IFERROR(__xludf.DUMMYFUNCTION("""COMPUTED_VALUE"""),"Adrian")</f>
        <v>Adrian</v>
      </c>
      <c r="D117" s="24" t="str">
        <f>IFERROR(__xludf.DUMMYFUNCTION("""COMPUTED_VALUE"""),"he/him")</f>
        <v>he/him</v>
      </c>
      <c r="E117" s="24" t="str">
        <f>IFERROR(__xludf.DUMMYFUNCTION("""COMPUTED_VALUE"""),"Bass")</f>
        <v>Bass</v>
      </c>
      <c r="F117" s="24">
        <f>IFERROR(__xludf.DUMMYFUNCTION("""COMPUTED_VALUE"""),22.0)</f>
        <v>22</v>
      </c>
      <c r="G117" s="24" t="str">
        <f>IFERROR(__xludf.DUMMYFUNCTION("""COMPUTED_VALUE"""),"i1")</f>
        <v>i1</v>
      </c>
      <c r="H117" s="24" t="str">
        <f>IFERROR(__xludf.DUMMYFUNCTION("""COMPUTED_VALUE"""),"Colt Cadets 18, Shadow DBC 19, FIU percussion 19'20, Phantom Regiment 20'21'22, STRYKE 21'22, Infinity 23, Boston Crusaders 23")</f>
        <v>Colt Cadets 18, Shadow DBC 19, FIU percussion 19'20, Phantom Regiment 20'21'22, STRYKE 21'22, Infinity 23, Boston Crusaders 23</v>
      </c>
      <c r="I117" s="12" t="str">
        <f>IFERROR(__xludf.DUMMYFUNCTION("""COMPUTED_VALUE"""),"Adrian Gonzalez")</f>
        <v>Adrian Gonzalez</v>
      </c>
      <c r="J117" s="12" t="str">
        <f>IFERROR(__xludf.DUMMYFUNCTION("""COMPUTED_VALUE"""),"aag1225@icloud.com")</f>
        <v>aag1225@icloud.com</v>
      </c>
      <c r="K117" s="12"/>
    </row>
    <row r="118">
      <c r="A118" s="24" t="str">
        <f>IFERROR(__xludf.DUMMYFUNCTION("""COMPUTED_VALUE"""),"EG8246")</f>
        <v>EG8246</v>
      </c>
      <c r="B118" s="11" t="str">
        <f>IFERROR(__xludf.DUMMYFUNCTION("""COMPUTED_VALUE"""),"Gruse")</f>
        <v>Gruse</v>
      </c>
      <c r="C118" s="24" t="str">
        <f>IFERROR(__xludf.DUMMYFUNCTION("""COMPUTED_VALUE"""),"Eli")</f>
        <v>Eli</v>
      </c>
      <c r="D118" s="24" t="str">
        <f>IFERROR(__xludf.DUMMYFUNCTION("""COMPUTED_VALUE"""),"He/Him")</f>
        <v>He/Him</v>
      </c>
      <c r="E118" s="24" t="str">
        <f>IFERROR(__xludf.DUMMYFUNCTION("""COMPUTED_VALUE"""),"Bass")</f>
        <v>Bass</v>
      </c>
      <c r="F118" s="24">
        <f>IFERROR(__xludf.DUMMYFUNCTION("""COMPUTED_VALUE"""),20.0)</f>
        <v>20</v>
      </c>
      <c r="G118" s="24" t="str">
        <f>IFERROR(__xludf.DUMMYFUNCTION("""COMPUTED_VALUE"""),"i1")</f>
        <v>i1</v>
      </c>
      <c r="H118" s="24" t="str">
        <f>IFERROR(__xludf.DUMMYFUNCTION("""COMPUTED_VALUE"""),"I3 2021, Infinity World 2022-23, Phantom Regiment 2023")</f>
        <v>I3 2021, Infinity World 2022-23, Phantom Regiment 2023</v>
      </c>
      <c r="I118" s="12" t="str">
        <f>IFERROR(__xludf.DUMMYFUNCTION("""COMPUTED_VALUE"""),"Eli Gruse")</f>
        <v>Eli Gruse</v>
      </c>
      <c r="J118" s="12" t="str">
        <f>IFERROR(__xludf.DUMMYFUNCTION("""COMPUTED_VALUE"""),"eli.gruse@gmail.com")</f>
        <v>eli.gruse@gmail.com</v>
      </c>
      <c r="K118" s="12"/>
    </row>
    <row r="119">
      <c r="A119" s="24" t="str">
        <f>IFERROR(__xludf.DUMMYFUNCTION("""COMPUTED_VALUE"""),"JD8267")</f>
        <v>JD8267</v>
      </c>
      <c r="B119" s="11" t="str">
        <f>IFERROR(__xludf.DUMMYFUNCTION("""COMPUTED_VALUE"""),"Dibbs")</f>
        <v>Dibbs</v>
      </c>
      <c r="C119" s="24" t="str">
        <f>IFERROR(__xludf.DUMMYFUNCTION("""COMPUTED_VALUE"""),"J.D.")</f>
        <v>J.D.</v>
      </c>
      <c r="D119" s="24" t="str">
        <f>IFERROR(__xludf.DUMMYFUNCTION("""COMPUTED_VALUE"""),"he/him")</f>
        <v>he/him</v>
      </c>
      <c r="E119" s="24" t="str">
        <f>IFERROR(__xludf.DUMMYFUNCTION("""COMPUTED_VALUE"""),"Snare")</f>
        <v>Snare</v>
      </c>
      <c r="F119" s="24">
        <f>IFERROR(__xludf.DUMMYFUNCTION("""COMPUTED_VALUE"""),22.0)</f>
        <v>22</v>
      </c>
      <c r="G119" s="24" t="str">
        <f>IFERROR(__xludf.DUMMYFUNCTION("""COMPUTED_VALUE"""),"hs")</f>
        <v>hs</v>
      </c>
      <c r="H119" s="24" t="str">
        <f>IFERROR(__xludf.DUMMYFUNCTION("""COMPUTED_VALUE"""),"HB Plant High School Marching Band and Indoor 2016-2020
FSU Big 8 Drumline 2020-2023")</f>
        <v>HB Plant High School Marching Band and Indoor 2016-2020
FSU Big 8 Drumline 2020-2023</v>
      </c>
      <c r="I119" s="12" t="str">
        <f>IFERROR(__xludf.DUMMYFUNCTION("""COMPUTED_VALUE"""),"J.D. Dibbs")</f>
        <v>J.D. Dibbs</v>
      </c>
      <c r="J119" s="12" t="str">
        <f>IFERROR(__xludf.DUMMYFUNCTION("""COMPUTED_VALUE"""),"jdibbs1@gmail.com")</f>
        <v>jdibbs1@gmail.com</v>
      </c>
      <c r="K119" s="12"/>
    </row>
    <row r="120">
      <c r="A120" s="24" t="str">
        <f>IFERROR(__xludf.DUMMYFUNCTION("""COMPUTED_VALUE"""),"MY8259")</f>
        <v>MY8259</v>
      </c>
      <c r="B120" s="11" t="str">
        <f>IFERROR(__xludf.DUMMYFUNCTION("""COMPUTED_VALUE"""),"Yanez")</f>
        <v>Yanez</v>
      </c>
      <c r="C120" s="24" t="str">
        <f>IFERROR(__xludf.DUMMYFUNCTION("""COMPUTED_VALUE"""),"Miguel")</f>
        <v>Miguel</v>
      </c>
      <c r="D120" s="24" t="str">
        <f>IFERROR(__xludf.DUMMYFUNCTION("""COMPUTED_VALUE"""),"He/Him")</f>
        <v>He/Him</v>
      </c>
      <c r="E120" s="24" t="str">
        <f>IFERROR(__xludf.DUMMYFUNCTION("""COMPUTED_VALUE"""),"Snare")</f>
        <v>Snare</v>
      </c>
      <c r="F120" s="24">
        <f>IFERROR(__xludf.DUMMYFUNCTION("""COMPUTED_VALUE"""),18.0)</f>
        <v>18</v>
      </c>
      <c r="G120" s="24" t="str">
        <f>IFERROR(__xludf.DUMMYFUNCTION("""COMPUTED_VALUE"""),"hs")</f>
        <v>hs</v>
      </c>
      <c r="H120" s="24" t="str">
        <f>IFERROR(__xludf.DUMMYFUNCTION("""COMPUTED_VALUE"""),"School Marching Band (Parrish Community), Lakewood Ranch Indoor Percussion 22.")</f>
        <v>School Marching Band (Parrish Community), Lakewood Ranch Indoor Percussion 22.</v>
      </c>
      <c r="I120" s="12" t="str">
        <f>IFERROR(__xludf.DUMMYFUNCTION("""COMPUTED_VALUE"""),"Miguel Yanez")</f>
        <v>Miguel Yanez</v>
      </c>
      <c r="J120" s="12" t="str">
        <f>IFERROR(__xludf.DUMMYFUNCTION("""COMPUTED_VALUE"""),"cerpintempest69@gmail.com")</f>
        <v>cerpintempest69@gmail.com</v>
      </c>
      <c r="K120" s="12"/>
    </row>
    <row r="121">
      <c r="A121" s="24" t="str">
        <f>IFERROR(__xludf.DUMMYFUNCTION("""COMPUTED_VALUE"""),"MH8256")</f>
        <v>MH8256</v>
      </c>
      <c r="B121" s="11" t="str">
        <f>IFERROR(__xludf.DUMMYFUNCTION("""COMPUTED_VALUE"""),"Hodge")</f>
        <v>Hodge</v>
      </c>
      <c r="C121" s="24" t="str">
        <f>IFERROR(__xludf.DUMMYFUNCTION("""COMPUTED_VALUE"""),"Matthew")</f>
        <v>Matthew</v>
      </c>
      <c r="D121" s="24" t="str">
        <f>IFERROR(__xludf.DUMMYFUNCTION("""COMPUTED_VALUE"""),"He Him")</f>
        <v>He Him</v>
      </c>
      <c r="E121" s="24" t="str">
        <f>IFERROR(__xludf.DUMMYFUNCTION("""COMPUTED_VALUE"""),"Bass")</f>
        <v>Bass</v>
      </c>
      <c r="F121" s="24">
        <f>IFERROR(__xludf.DUMMYFUNCTION("""COMPUTED_VALUE"""),21.0)</f>
        <v>21</v>
      </c>
      <c r="G121" s="24" t="str">
        <f>IFERROR(__xludf.DUMMYFUNCTION("""COMPUTED_VALUE"""),"i2")</f>
        <v>i2</v>
      </c>
      <c r="H121" s="24" t="str">
        <f>IFERROR(__xludf.DUMMYFUNCTION("""COMPUTED_VALUE"""),"Lake Howell high school 2017-2021
infinity 3 2022
infinity 2 2022")</f>
        <v>Lake Howell high school 2017-2021
infinity 3 2022
infinity 2 2022</v>
      </c>
      <c r="I121" s="12" t="str">
        <f>IFERROR(__xludf.DUMMYFUNCTION("""COMPUTED_VALUE"""),"Matthew Hodge")</f>
        <v>Matthew Hodge</v>
      </c>
      <c r="J121" s="12" t="str">
        <f>IFERROR(__xludf.DUMMYFUNCTION("""COMPUTED_VALUE"""),"emailmatthew05@gmail.com")</f>
        <v>emailmatthew05@gmail.com</v>
      </c>
      <c r="K121" s="12"/>
    </row>
    <row r="122">
      <c r="A122" s="24" t="str">
        <f>IFERROR(__xludf.DUMMYFUNCTION("""COMPUTED_VALUE"""),"RC8066")</f>
        <v>RC8066</v>
      </c>
      <c r="B122" s="11" t="str">
        <f>IFERROR(__xludf.DUMMYFUNCTION("""COMPUTED_VALUE"""),"Chancey")</f>
        <v>Chancey</v>
      </c>
      <c r="C122" s="24" t="str">
        <f>IFERROR(__xludf.DUMMYFUNCTION("""COMPUTED_VALUE"""),"Rose")</f>
        <v>Rose</v>
      </c>
      <c r="D122" s="24" t="str">
        <f>IFERROR(__xludf.DUMMYFUNCTION("""COMPUTED_VALUE"""),"they/them")</f>
        <v>they/them</v>
      </c>
      <c r="E122" s="24" t="str">
        <f>IFERROR(__xludf.DUMMYFUNCTION("""COMPUTED_VALUE"""),"Snare")</f>
        <v>Snare</v>
      </c>
      <c r="F122" s="24">
        <f>IFERROR(__xludf.DUMMYFUNCTION("""COMPUTED_VALUE"""),22.0)</f>
        <v>22</v>
      </c>
      <c r="G122" s="24" t="str">
        <f>IFERROR(__xludf.DUMMYFUNCTION("""COMPUTED_VALUE"""),"hs")</f>
        <v>hs</v>
      </c>
      <c r="H122" s="24" t="str">
        <f>IFERROR(__xludf.DUMMYFUNCTION("""COMPUTED_VALUE"""),"Sunlake High school Percussion (2016-2020)
Bass Drum for 4 seasons, and Snare Drum for 4 seasons, as well as Center snare/Percussion captain the last two seasons! ")</f>
        <v>Sunlake High school Percussion (2016-2020)
Bass Drum for 4 seasons, and Snare Drum for 4 seasons, as well as Center snare/Percussion captain the last two seasons! </v>
      </c>
      <c r="I122" s="12" t="str">
        <f>IFERROR(__xludf.DUMMYFUNCTION("""COMPUTED_VALUE"""),"Rose Chancey")</f>
        <v>Rose Chancey</v>
      </c>
      <c r="J122" s="12" t="str">
        <f>IFERROR(__xludf.DUMMYFUNCTION("""COMPUTED_VALUE"""),"abby.chancey@gmail.com")</f>
        <v>abby.chancey@gmail.com</v>
      </c>
      <c r="K122" s="12"/>
    </row>
    <row r="123">
      <c r="A123" s="24" t="str">
        <f>IFERROR(__xludf.DUMMYFUNCTION("""COMPUTED_VALUE"""),"MA8274")</f>
        <v>MA8274</v>
      </c>
      <c r="B123" s="11" t="str">
        <f>IFERROR(__xludf.DUMMYFUNCTION("""COMPUTED_VALUE"""),"Almodovar")</f>
        <v>Almodovar</v>
      </c>
      <c r="C123" s="24" t="str">
        <f>IFERROR(__xludf.DUMMYFUNCTION("""COMPUTED_VALUE"""),"Matthew")</f>
        <v>Matthew</v>
      </c>
      <c r="D123" s="24" t="str">
        <f>IFERROR(__xludf.DUMMYFUNCTION("""COMPUTED_VALUE"""),"He/Him")</f>
        <v>He/Him</v>
      </c>
      <c r="E123" s="24" t="str">
        <f>IFERROR(__xludf.DUMMYFUNCTION("""COMPUTED_VALUE"""),"Snare")</f>
        <v>Snare</v>
      </c>
      <c r="F123" s="24">
        <f>IFERROR(__xludf.DUMMYFUNCTION("""COMPUTED_VALUE"""),17.0)</f>
        <v>17</v>
      </c>
      <c r="G123" s="24" t="str">
        <f>IFERROR(__xludf.DUMMYFUNCTION("""COMPUTED_VALUE"""),"hs")</f>
        <v>hs</v>
      </c>
      <c r="H123" s="24" t="str">
        <f>IFERROR(__xludf.DUMMYFUNCTION("""COMPUTED_VALUE"""),"Auburndale High School 2021, 2022, and 2023")</f>
        <v>Auburndale High School 2021, 2022, and 2023</v>
      </c>
      <c r="I123" s="12" t="str">
        <f>IFERROR(__xludf.DUMMYFUNCTION("""COMPUTED_VALUE"""),"Matthew Almodovar")</f>
        <v>Matthew Almodovar</v>
      </c>
      <c r="J123" s="12" t="str">
        <f>IFERROR(__xludf.DUMMYFUNCTION("""COMPUTED_VALUE"""),"matthew.str4y.almodovar@gmail.com")</f>
        <v>matthew.str4y.almodovar@gmail.com</v>
      </c>
      <c r="K123" s="12"/>
    </row>
    <row r="124">
      <c r="A124" s="24" t="str">
        <f>IFERROR(__xludf.DUMMYFUNCTION("""COMPUTED_VALUE"""),"MG8275")</f>
        <v>MG8275</v>
      </c>
      <c r="B124" s="11" t="str">
        <f>IFERROR(__xludf.DUMMYFUNCTION("""COMPUTED_VALUE"""),"Guzman")</f>
        <v>Guzman</v>
      </c>
      <c r="C124" s="24" t="str">
        <f>IFERROR(__xludf.DUMMYFUNCTION("""COMPUTED_VALUE"""),"Michael")</f>
        <v>Michael</v>
      </c>
      <c r="D124" s="24"/>
      <c r="E124" s="24" t="str">
        <f>IFERROR(__xludf.DUMMYFUNCTION("""COMPUTED_VALUE"""),"Tenor")</f>
        <v>Tenor</v>
      </c>
      <c r="F124" s="24">
        <f>IFERROR(__xludf.DUMMYFUNCTION("""COMPUTED_VALUE"""),17.0)</f>
        <v>17</v>
      </c>
      <c r="G124" s="24" t="str">
        <f>IFERROR(__xludf.DUMMYFUNCTION("""COMPUTED_VALUE"""),"hs")</f>
        <v>hs</v>
      </c>
      <c r="H124" s="24" t="str">
        <f>IFERROR(__xludf.DUMMYFUNCTION("""COMPUTED_VALUE"""),"3 seasons with Oviedo high school marching band ")</f>
        <v>3 seasons with Oviedo high school marching band </v>
      </c>
      <c r="I124" s="12" t="str">
        <f>IFERROR(__xludf.DUMMYFUNCTION("""COMPUTED_VALUE"""),"Michael Guzman")</f>
        <v>Michael Guzman</v>
      </c>
      <c r="J124" s="12" t="str">
        <f>IFERROR(__xludf.DUMMYFUNCTION("""COMPUTED_VALUE"""),"michaeljguzman06@icloud.com")</f>
        <v>michaeljguzman06@icloud.com</v>
      </c>
      <c r="K124" s="12"/>
    </row>
    <row r="125">
      <c r="A125" s="24" t="str">
        <f>IFERROR(__xludf.DUMMYFUNCTION("""COMPUTED_VALUE"""),"LR8272")</f>
        <v>LR8272</v>
      </c>
      <c r="B125" s="11" t="str">
        <f>IFERROR(__xludf.DUMMYFUNCTION("""COMPUTED_VALUE"""),"Rivera")</f>
        <v>Rivera</v>
      </c>
      <c r="C125" s="24" t="str">
        <f>IFERROR(__xludf.DUMMYFUNCTION("""COMPUTED_VALUE"""),"Lea")</f>
        <v>Lea</v>
      </c>
      <c r="D125" s="24" t="str">
        <f>IFERROR(__xludf.DUMMYFUNCTION("""COMPUTED_VALUE"""),"They/them")</f>
        <v>They/them</v>
      </c>
      <c r="E125" s="24" t="str">
        <f>IFERROR(__xludf.DUMMYFUNCTION("""COMPUTED_VALUE"""),"Cymbals")</f>
        <v>Cymbals</v>
      </c>
      <c r="F125" s="24">
        <f>IFERROR(__xludf.DUMMYFUNCTION("""COMPUTED_VALUE"""),20.0)</f>
        <v>20</v>
      </c>
      <c r="G125" s="24" t="str">
        <f>IFERROR(__xludf.DUMMYFUNCTION("""COMPUTED_VALUE"""),"i2")</f>
        <v>i2</v>
      </c>
      <c r="H125" s="24" t="str">
        <f>IFERROR(__xludf.DUMMYFUNCTION("""COMPUTED_VALUE"""),"Old Bridge High school, University of New Haven ‘21-22, Bushwackers ‘21, Jersey Surf ‘22, Infinity 2 ‘23")</f>
        <v>Old Bridge High school, University of New Haven ‘21-22, Bushwackers ‘21, Jersey Surf ‘22, Infinity 2 ‘23</v>
      </c>
      <c r="I125" s="12" t="str">
        <f>IFERROR(__xludf.DUMMYFUNCTION("""COMPUTED_VALUE"""),"Lea Rivera")</f>
        <v>Lea Rivera</v>
      </c>
      <c r="J125" s="12" t="str">
        <f>IFERROR(__xludf.DUMMYFUNCTION("""COMPUTED_VALUE"""),"riveraleandra2003@gmail.com")</f>
        <v>riveraleandra2003@gmail.com</v>
      </c>
      <c r="K125" s="12"/>
    </row>
    <row r="126">
      <c r="A126" s="24" t="str">
        <f>IFERROR(__xludf.DUMMYFUNCTION("""COMPUTED_VALUE"""),"AC8156")</f>
        <v>AC8156</v>
      </c>
      <c r="B126" s="11" t="str">
        <f>IFERROR(__xludf.DUMMYFUNCTION("""COMPUTED_VALUE"""),"Coveyou ")</f>
        <v>Coveyou </v>
      </c>
      <c r="C126" s="24" t="str">
        <f>IFERROR(__xludf.DUMMYFUNCTION("""COMPUTED_VALUE"""),"Aj")</f>
        <v>Aj</v>
      </c>
      <c r="D126" s="24" t="str">
        <f>IFERROR(__xludf.DUMMYFUNCTION("""COMPUTED_VALUE"""),"He him")</f>
        <v>He him</v>
      </c>
      <c r="E126" s="24" t="str">
        <f>IFERROR(__xludf.DUMMYFUNCTION("""COMPUTED_VALUE"""),"Cymbals")</f>
        <v>Cymbals</v>
      </c>
      <c r="F126" s="24">
        <f>IFERROR(__xludf.DUMMYFUNCTION("""COMPUTED_VALUE"""),16.0)</f>
        <v>16</v>
      </c>
      <c r="G126" s="24" t="str">
        <f>IFERROR(__xludf.DUMMYFUNCTION("""COMPUTED_VALUE"""),"hs")</f>
        <v>hs</v>
      </c>
      <c r="H126" s="24" t="str">
        <f>IFERROR(__xludf.DUMMYFUNCTION("""COMPUTED_VALUE"""),"Khs indoor Percussion ")</f>
        <v>Khs indoor Percussion </v>
      </c>
      <c r="I126" s="12" t="str">
        <f>IFERROR(__xludf.DUMMYFUNCTION("""COMPUTED_VALUE"""),"Aj Coveyou ")</f>
        <v>Aj Coveyou </v>
      </c>
      <c r="J126" s="12" t="str">
        <f>IFERROR(__xludf.DUMMYFUNCTION("""COMPUTED_VALUE"""),"AidynCoveyou@gmail.com")</f>
        <v>AidynCoveyou@gmail.com</v>
      </c>
      <c r="K126" s="12"/>
    </row>
    <row r="127">
      <c r="A127" s="24" t="str">
        <f>IFERROR(__xludf.DUMMYFUNCTION("""COMPUTED_VALUE"""),"AW8276")</f>
        <v>AW8276</v>
      </c>
      <c r="B127" s="11" t="str">
        <f>IFERROR(__xludf.DUMMYFUNCTION("""COMPUTED_VALUE"""),"Wester")</f>
        <v>Wester</v>
      </c>
      <c r="C127" s="24" t="str">
        <f>IFERROR(__xludf.DUMMYFUNCTION("""COMPUTED_VALUE"""),"Aidan")</f>
        <v>Aidan</v>
      </c>
      <c r="D127" s="24"/>
      <c r="E127" s="24" t="str">
        <f>IFERROR(__xludf.DUMMYFUNCTION("""COMPUTED_VALUE"""),"Cymbals")</f>
        <v>Cymbals</v>
      </c>
      <c r="F127" s="24">
        <f>IFERROR(__xludf.DUMMYFUNCTION("""COMPUTED_VALUE"""),22.0)</f>
        <v>22</v>
      </c>
      <c r="G127" s="24" t="str">
        <f>IFERROR(__xludf.DUMMYFUNCTION("""COMPUTED_VALUE"""),"i3")</f>
        <v>i3</v>
      </c>
      <c r="H127" s="24" t="str">
        <f>IFERROR(__xludf.DUMMYFUNCTION("""COMPUTED_VALUE"""),"Infinity 3 2022, Big 8 2023")</f>
        <v>Infinity 3 2022, Big 8 2023</v>
      </c>
      <c r="I127" s="12" t="str">
        <f>IFERROR(__xludf.DUMMYFUNCTION("""COMPUTED_VALUE"""),"Aidan Wester")</f>
        <v>Aidan Wester</v>
      </c>
      <c r="J127" s="12" t="str">
        <f>IFERROR(__xludf.DUMMYFUNCTION("""COMPUTED_VALUE"""),"westeraidan@gmail.com")</f>
        <v>westeraidan@gmail.com</v>
      </c>
      <c r="K127" s="12"/>
    </row>
    <row r="128">
      <c r="A128" s="24" t="str">
        <f>IFERROR(__xludf.DUMMYFUNCTION("""COMPUTED_VALUE"""),"NF8245")</f>
        <v>NF8245</v>
      </c>
      <c r="B128" s="11" t="str">
        <f>IFERROR(__xludf.DUMMYFUNCTION("""COMPUTED_VALUE"""),"Fournier")</f>
        <v>Fournier</v>
      </c>
      <c r="C128" s="24" t="str">
        <f>IFERROR(__xludf.DUMMYFUNCTION("""COMPUTED_VALUE"""),"Nick")</f>
        <v>Nick</v>
      </c>
      <c r="D128" s="24" t="str">
        <f>IFERROR(__xludf.DUMMYFUNCTION("""COMPUTED_VALUE"""),"He/Him")</f>
        <v>He/Him</v>
      </c>
      <c r="E128" s="24" t="str">
        <f>IFERROR(__xludf.DUMMYFUNCTION("""COMPUTED_VALUE"""),"Snare")</f>
        <v>Snare</v>
      </c>
      <c r="F128" s="24">
        <f>IFERROR(__xludf.DUMMYFUNCTION("""COMPUTED_VALUE"""),18.0)</f>
        <v>18</v>
      </c>
      <c r="G128" s="24" t="str">
        <f>IFERROR(__xludf.DUMMYFUNCTION("""COMPUTED_VALUE"""),"hs")</f>
        <v>hs</v>
      </c>
      <c r="H128" s="24" t="str">
        <f>IFERROR(__xludf.DUMMYFUNCTION("""COMPUTED_VALUE"""),"Newsome High School Marching Band 2020-2024 Snare Line, Newsome High School Indoor Percussion 2021-2023 Snare Line")</f>
        <v>Newsome High School Marching Band 2020-2024 Snare Line, Newsome High School Indoor Percussion 2021-2023 Snare Line</v>
      </c>
      <c r="I128" s="12" t="str">
        <f>IFERROR(__xludf.DUMMYFUNCTION("""COMPUTED_VALUE"""),"Nick Fournier")</f>
        <v>Nick Fournier</v>
      </c>
      <c r="J128" s="12" t="str">
        <f>IFERROR(__xludf.DUMMYFUNCTION("""COMPUTED_VALUE"""),"nickfournier06@gmail.com")</f>
        <v>nickfournier06@gmail.com</v>
      </c>
      <c r="K128" s="12"/>
    </row>
    <row r="129">
      <c r="A129" s="24" t="str">
        <f>IFERROR(__xludf.DUMMYFUNCTION("""COMPUTED_VALUE"""),"TM8283")</f>
        <v>TM8283</v>
      </c>
      <c r="B129" s="11" t="str">
        <f>IFERROR(__xludf.DUMMYFUNCTION("""COMPUTED_VALUE"""),"Manrique")</f>
        <v>Manrique</v>
      </c>
      <c r="C129" s="24" t="str">
        <f>IFERROR(__xludf.DUMMYFUNCTION("""COMPUTED_VALUE"""),"Tzion")</f>
        <v>Tzion</v>
      </c>
      <c r="D129" s="24" t="str">
        <f>IFERROR(__xludf.DUMMYFUNCTION("""COMPUTED_VALUE"""),"He/Them")</f>
        <v>He/Them</v>
      </c>
      <c r="E129" s="24" t="str">
        <f>IFERROR(__xludf.DUMMYFUNCTION("""COMPUTED_VALUE"""),"Bass")</f>
        <v>Bass</v>
      </c>
      <c r="F129" s="24">
        <f>IFERROR(__xludf.DUMMYFUNCTION("""COMPUTED_VALUE"""),22.0)</f>
        <v>22</v>
      </c>
      <c r="G129" s="24" t="str">
        <f>IFERROR(__xludf.DUMMYFUNCTION("""COMPUTED_VALUE"""),"i2")</f>
        <v>i2</v>
      </c>
      <c r="H129" s="24" t="str">
        <f>IFERROR(__xludf.DUMMYFUNCTION("""COMPUTED_VALUE"""),"Heatwave DBC 15, 16, 18, 23; Unity Percussion 20; Jersey Surf DBC 22; Infinity 2 22, 23")</f>
        <v>Heatwave DBC 15, 16, 18, 23; Unity Percussion 20; Jersey Surf DBC 22; Infinity 2 22, 23</v>
      </c>
      <c r="I129" s="12" t="str">
        <f>IFERROR(__xludf.DUMMYFUNCTION("""COMPUTED_VALUE"""),"Tzion Manrique")</f>
        <v>Tzion Manrique</v>
      </c>
      <c r="J129" s="12" t="str">
        <f>IFERROR(__xludf.DUMMYFUNCTION("""COMPUTED_VALUE"""),"tzion.manrique@gmail.com")</f>
        <v>tzion.manrique@gmail.com</v>
      </c>
      <c r="K129" s="12"/>
    </row>
    <row r="130">
      <c r="A130" s="24" t="str">
        <f>IFERROR(__xludf.DUMMYFUNCTION("""COMPUTED_VALUE"""),"BL8175")</f>
        <v>BL8175</v>
      </c>
      <c r="B130" s="11" t="str">
        <f>IFERROR(__xludf.DUMMYFUNCTION("""COMPUTED_VALUE"""),"Laufer")</f>
        <v>Laufer</v>
      </c>
      <c r="C130" s="24" t="str">
        <f>IFERROR(__xludf.DUMMYFUNCTION("""COMPUTED_VALUE"""),"Ben")</f>
        <v>Ben</v>
      </c>
      <c r="D130" s="24" t="str">
        <f>IFERROR(__xludf.DUMMYFUNCTION("""COMPUTED_VALUE"""),"he/him")</f>
        <v>he/him</v>
      </c>
      <c r="E130" s="24" t="str">
        <f>IFERROR(__xludf.DUMMYFUNCTION("""COMPUTED_VALUE"""),"Tenor")</f>
        <v>Tenor</v>
      </c>
      <c r="F130" s="24">
        <f>IFERROR(__xludf.DUMMYFUNCTION("""COMPUTED_VALUE"""),21.0)</f>
        <v>21</v>
      </c>
      <c r="G130" s="24" t="str">
        <f>IFERROR(__xludf.DUMMYFUNCTION("""COMPUTED_VALUE"""),"i2")</f>
        <v>i2</v>
      </c>
      <c r="H130" s="24" t="str">
        <f>IFERROR(__xludf.DUMMYFUNCTION("""COMPUTED_VALUE"""),"North Fort Myers HS indoor percussion and marching band 16-20
Heatwave 2018
UF Drumline 20-22
Infinity 2 22-23
Spirit of Atlanta 23")</f>
        <v>North Fort Myers HS indoor percussion and marching band 16-20
Heatwave 2018
UF Drumline 20-22
Infinity 2 22-23
Spirit of Atlanta 23</v>
      </c>
      <c r="I130" s="12" t="str">
        <f>IFERROR(__xludf.DUMMYFUNCTION("""COMPUTED_VALUE"""),"Ben Laufer")</f>
        <v>Ben Laufer</v>
      </c>
      <c r="J130" s="12" t="str">
        <f>IFERROR(__xludf.DUMMYFUNCTION("""COMPUTED_VALUE"""),"benlauf02@gmail.com")</f>
        <v>benlauf02@gmail.com</v>
      </c>
      <c r="K130" s="12"/>
    </row>
    <row r="131">
      <c r="A131" s="24" t="str">
        <f>IFERROR(__xludf.DUMMYFUNCTION("""COMPUTED_VALUE"""),"jr8284")</f>
        <v>jr8284</v>
      </c>
      <c r="B131" s="11" t="str">
        <f>IFERROR(__xludf.DUMMYFUNCTION("""COMPUTED_VALUE"""),"roman")</f>
        <v>roman</v>
      </c>
      <c r="C131" s="24" t="str">
        <f>IFERROR(__xludf.DUMMYFUNCTION("""COMPUTED_VALUE"""),"jonathan")</f>
        <v>jonathan</v>
      </c>
      <c r="D131" s="24" t="str">
        <f>IFERROR(__xludf.DUMMYFUNCTION("""COMPUTED_VALUE"""),"he/they")</f>
        <v>he/they</v>
      </c>
      <c r="E131" s="24" t="str">
        <f>IFERROR(__xludf.DUMMYFUNCTION("""COMPUTED_VALUE"""),"Snare")</f>
        <v>Snare</v>
      </c>
      <c r="F131" s="24">
        <f>IFERROR(__xludf.DUMMYFUNCTION("""COMPUTED_VALUE"""),18.0)</f>
        <v>18</v>
      </c>
      <c r="G131" s="24" t="str">
        <f>IFERROR(__xludf.DUMMYFUNCTION("""COMPUTED_VALUE"""),"hs")</f>
        <v>hs</v>
      </c>
      <c r="H131" s="24" t="str">
        <f>IFERROR(__xludf.DUMMYFUNCTION("""COMPUTED_VALUE"""),"n/a")</f>
        <v>n/a</v>
      </c>
      <c r="I131" s="12" t="str">
        <f>IFERROR(__xludf.DUMMYFUNCTION("""COMPUTED_VALUE"""),"jonathan roman")</f>
        <v>jonathan roman</v>
      </c>
      <c r="J131" s="12" t="str">
        <f>IFERROR(__xludf.DUMMYFUNCTION("""COMPUTED_VALUE"""),"wlyskes@gmail.com")</f>
        <v>wlyskes@gmail.com</v>
      </c>
      <c r="K131" s="12"/>
    </row>
    <row r="132">
      <c r="A132" s="24" t="str">
        <f>IFERROR(__xludf.DUMMYFUNCTION("""COMPUTED_VALUE"""),"BH8285")</f>
        <v>BH8285</v>
      </c>
      <c r="B132" s="11" t="str">
        <f>IFERROR(__xludf.DUMMYFUNCTION("""COMPUTED_VALUE"""),"Hunt")</f>
        <v>Hunt</v>
      </c>
      <c r="C132" s="24" t="str">
        <f>IFERROR(__xludf.DUMMYFUNCTION("""COMPUTED_VALUE"""),"Brandon")</f>
        <v>Brandon</v>
      </c>
      <c r="D132" s="24" t="str">
        <f>IFERROR(__xludf.DUMMYFUNCTION("""COMPUTED_VALUE"""),"He/him")</f>
        <v>He/him</v>
      </c>
      <c r="E132" s="24" t="str">
        <f>IFERROR(__xludf.DUMMYFUNCTION("""COMPUTED_VALUE"""),"Snare")</f>
        <v>Snare</v>
      </c>
      <c r="F132" s="24">
        <f>IFERROR(__xludf.DUMMYFUNCTION("""COMPUTED_VALUE"""),22.0)</f>
        <v>22</v>
      </c>
      <c r="G132" s="24" t="str">
        <f>IFERROR(__xludf.DUMMYFUNCTION("""COMPUTED_VALUE"""),"pio")</f>
        <v>pio</v>
      </c>
      <c r="H132" s="24" t="str">
        <f>IFERROR(__xludf.DUMMYFUNCTION("""COMPUTED_VALUE"""),"Wiregrass Ranch High School 2016-2020 Atlas Percussion 2023")</f>
        <v>Wiregrass Ranch High School 2016-2020 Atlas Percussion 2023</v>
      </c>
      <c r="I132" s="12" t="str">
        <f>IFERROR(__xludf.DUMMYFUNCTION("""COMPUTED_VALUE"""),"Brandon Hunt")</f>
        <v>Brandon Hunt</v>
      </c>
      <c r="J132" s="12" t="str">
        <f>IFERROR(__xludf.DUMMYFUNCTION("""COMPUTED_VALUE"""),"brandonhunt113@gmail.com")</f>
        <v>brandonhunt113@gmail.com</v>
      </c>
      <c r="K132" s="12"/>
    </row>
    <row r="133">
      <c r="A133" s="24" t="str">
        <f>IFERROR(__xludf.DUMMYFUNCTION("""COMPUTED_VALUE"""),"JB8290")</f>
        <v>JB8290</v>
      </c>
      <c r="B133" s="11" t="str">
        <f>IFERROR(__xludf.DUMMYFUNCTION("""COMPUTED_VALUE"""),"Botello")</f>
        <v>Botello</v>
      </c>
      <c r="C133" s="24" t="str">
        <f>IFERROR(__xludf.DUMMYFUNCTION("""COMPUTED_VALUE"""),"Joshua")</f>
        <v>Joshua</v>
      </c>
      <c r="D133" s="24" t="str">
        <f>IFERROR(__xludf.DUMMYFUNCTION("""COMPUTED_VALUE"""),"He/Him")</f>
        <v>He/Him</v>
      </c>
      <c r="E133" s="24" t="str">
        <f>IFERROR(__xludf.DUMMYFUNCTION("""COMPUTED_VALUE"""),"Snare")</f>
        <v>Snare</v>
      </c>
      <c r="F133" s="24">
        <f>IFERROR(__xludf.DUMMYFUNCTION("""COMPUTED_VALUE"""),17.0)</f>
        <v>17</v>
      </c>
      <c r="G133" s="24" t="str">
        <f>IFERROR(__xludf.DUMMYFUNCTION("""COMPUTED_VALUE"""),"hs")</f>
        <v>hs</v>
      </c>
      <c r="H133" s="24" t="str">
        <f>IFERROR(__xludf.DUMMYFUNCTION("""COMPUTED_VALUE"""),"NPHS Percussion Ensemble, 2021-2022, 2022-23. NPHS Alliance Marching band, 2021,2022, 2023.")</f>
        <v>NPHS Percussion Ensemble, 2021-2022, 2022-23. NPHS Alliance Marching band, 2021,2022, 2023.</v>
      </c>
      <c r="I133" s="12" t="str">
        <f>IFERROR(__xludf.DUMMYFUNCTION("""COMPUTED_VALUE"""),"Joshua Botello")</f>
        <v>Joshua Botello</v>
      </c>
      <c r="J133" s="12" t="str">
        <f>IFERROR(__xludf.DUMMYFUNCTION("""COMPUTED_VALUE"""),"foofyjosh@icloud.com")</f>
        <v>foofyjosh@icloud.com</v>
      </c>
      <c r="K133" s="12"/>
    </row>
    <row r="134">
      <c r="A134" s="24" t="str">
        <f>IFERROR(__xludf.DUMMYFUNCTION("""COMPUTED_VALUE"""),"CP8291")</f>
        <v>CP8291</v>
      </c>
      <c r="B134" s="11" t="str">
        <f>IFERROR(__xludf.DUMMYFUNCTION("""COMPUTED_VALUE"""),"Pedersen")</f>
        <v>Pedersen</v>
      </c>
      <c r="C134" s="24" t="str">
        <f>IFERROR(__xludf.DUMMYFUNCTION("""COMPUTED_VALUE"""),"Chris")</f>
        <v>Chris</v>
      </c>
      <c r="D134" s="24"/>
      <c r="E134" s="24" t="str">
        <f>IFERROR(__xludf.DUMMYFUNCTION("""COMPUTED_VALUE"""),"Snare")</f>
        <v>Snare</v>
      </c>
      <c r="F134" s="24">
        <f>IFERROR(__xludf.DUMMYFUNCTION("""COMPUTED_VALUE"""),16.0)</f>
        <v>16</v>
      </c>
      <c r="G134" s="24" t="str">
        <f>IFERROR(__xludf.DUMMYFUNCTION("""COMPUTED_VALUE"""),"hs")</f>
        <v>hs</v>
      </c>
      <c r="H134" s="24" t="str">
        <f>IFERROR(__xludf.DUMMYFUNCTION("""COMPUTED_VALUE"""),"Marched snare freshman, sophomore, and junior year for high-school matching band. Made multupile honor bands in Louisiana")</f>
        <v>Marched snare freshman, sophomore, and junior year for high-school matching band. Made multupile honor bands in Louisiana</v>
      </c>
      <c r="I134" s="12" t="str">
        <f>IFERROR(__xludf.DUMMYFUNCTION("""COMPUTED_VALUE"""),"Chris Pedersen")</f>
        <v>Chris Pedersen</v>
      </c>
      <c r="J134" s="12" t="str">
        <f>IFERROR(__xludf.DUMMYFUNCTION("""COMPUTED_VALUE"""),"christopherpedersen04@gmail.com")</f>
        <v>christopherpedersen04@gmail.com</v>
      </c>
      <c r="K134" s="12"/>
    </row>
    <row r="135">
      <c r="A135" s="24" t="str">
        <f>IFERROR(__xludf.DUMMYFUNCTION("""COMPUTED_VALUE"""),"LG8293")</f>
        <v>LG8293</v>
      </c>
      <c r="B135" s="11" t="str">
        <f>IFERROR(__xludf.DUMMYFUNCTION("""COMPUTED_VALUE"""),"Graham")</f>
        <v>Graham</v>
      </c>
      <c r="C135" s="24" t="str">
        <f>IFERROR(__xludf.DUMMYFUNCTION("""COMPUTED_VALUE"""),"Logan")</f>
        <v>Logan</v>
      </c>
      <c r="D135" s="24" t="str">
        <f>IFERROR(__xludf.DUMMYFUNCTION("""COMPUTED_VALUE"""),"he/him")</f>
        <v>he/him</v>
      </c>
      <c r="E135" s="24" t="str">
        <f>IFERROR(__xludf.DUMMYFUNCTION("""COMPUTED_VALUE"""),"Snare")</f>
        <v>Snare</v>
      </c>
      <c r="F135" s="24">
        <f>IFERROR(__xludf.DUMMYFUNCTION("""COMPUTED_VALUE"""),22.0)</f>
        <v>22</v>
      </c>
      <c r="G135" s="24" t="str">
        <f>IFERROR(__xludf.DUMMYFUNCTION("""COMPUTED_VALUE"""),"i1")</f>
        <v>i1</v>
      </c>
      <c r="H135" s="24" t="str">
        <f>IFERROR(__xludf.DUMMYFUNCTION("""COMPUTED_VALUE"""),"infinity world 21-23 colts 21 boston crusaders 22-23")</f>
        <v>infinity world 21-23 colts 21 boston crusaders 22-23</v>
      </c>
      <c r="I135" s="12" t="str">
        <f>IFERROR(__xludf.DUMMYFUNCTION("""COMPUTED_VALUE"""),"Logan Graham")</f>
        <v>Logan Graham</v>
      </c>
      <c r="J135" s="12" t="str">
        <f>IFERROR(__xludf.DUMMYFUNCTION("""COMPUTED_VALUE"""),"logang33547@gmail.com")</f>
        <v>logang33547@gmail.com</v>
      </c>
      <c r="K135" s="12"/>
    </row>
    <row r="136">
      <c r="A136" s="24" t="str">
        <f>IFERROR(__xludf.DUMMYFUNCTION("""COMPUTED_VALUE"""),"AK8294")</f>
        <v>AK8294</v>
      </c>
      <c r="B136" s="11" t="str">
        <f>IFERROR(__xludf.DUMMYFUNCTION("""COMPUTED_VALUE"""),"Kent")</f>
        <v>Kent</v>
      </c>
      <c r="C136" s="24" t="str">
        <f>IFERROR(__xludf.DUMMYFUNCTION("""COMPUTED_VALUE"""),"Andrew")</f>
        <v>Andrew</v>
      </c>
      <c r="D136" s="24" t="str">
        <f>IFERROR(__xludf.DUMMYFUNCTION("""COMPUTED_VALUE"""),"He/him")</f>
        <v>He/him</v>
      </c>
      <c r="E136" s="24" t="str">
        <f>IFERROR(__xludf.DUMMYFUNCTION("""COMPUTED_VALUE"""),"Tenor")</f>
        <v>Tenor</v>
      </c>
      <c r="F136" s="24">
        <f>IFERROR(__xludf.DUMMYFUNCTION("""COMPUTED_VALUE"""),20.0)</f>
        <v>20</v>
      </c>
      <c r="G136" s="24" t="str">
        <f>IFERROR(__xludf.DUMMYFUNCTION("""COMPUTED_VALUE"""),"pio")</f>
        <v>pio</v>
      </c>
      <c r="H136" s="24" t="str">
        <f>IFERROR(__xludf.DUMMYFUNCTION("""COMPUTED_VALUE"""),"KSU Marching Owls ‘22–‘23
Q2 ‘23")</f>
        <v>KSU Marching Owls ‘22–‘23
Q2 ‘23</v>
      </c>
      <c r="I136" s="12" t="str">
        <f>IFERROR(__xludf.DUMMYFUNCTION("""COMPUTED_VALUE"""),"Andrew Kent")</f>
        <v>Andrew Kent</v>
      </c>
      <c r="J136" s="12" t="str">
        <f>IFERROR(__xludf.DUMMYFUNCTION("""COMPUTED_VALUE"""),"drewcobykent@gmail.com")</f>
        <v>drewcobykent@gmail.com</v>
      </c>
      <c r="K136" s="12"/>
    </row>
    <row r="137">
      <c r="A137" s="24" t="str">
        <f>IFERROR(__xludf.DUMMYFUNCTION("""COMPUTED_VALUE"""),"JQ8152")</f>
        <v>JQ8152</v>
      </c>
      <c r="B137" s="11" t="str">
        <f>IFERROR(__xludf.DUMMYFUNCTION("""COMPUTED_VALUE"""),"Quant")</f>
        <v>Quant</v>
      </c>
      <c r="C137" s="24" t="str">
        <f>IFERROR(__xludf.DUMMYFUNCTION("""COMPUTED_VALUE"""),"JT")</f>
        <v>JT</v>
      </c>
      <c r="D137" s="24"/>
      <c r="E137" s="24" t="str">
        <f>IFERROR(__xludf.DUMMYFUNCTION("""COMPUTED_VALUE"""),"Tenor")</f>
        <v>Tenor</v>
      </c>
      <c r="F137" s="24">
        <f>IFERROR(__xludf.DUMMYFUNCTION("""COMPUTED_VALUE"""),17.0)</f>
        <v>17</v>
      </c>
      <c r="G137" s="24" t="str">
        <f>IFERROR(__xludf.DUMMYFUNCTION("""COMPUTED_VALUE"""),"hs")</f>
        <v>hs</v>
      </c>
      <c r="H137" s="24" t="str">
        <f>IFERROR(__xludf.DUMMYFUNCTION("""COMPUTED_VALUE"""),"21 outdoor: tenor 22 indoor: tenor, 22 outdoor: tenor 23 indoor'snare, 23 outdoor: tenor")</f>
        <v>21 outdoor: tenor 22 indoor: tenor, 22 outdoor: tenor 23 indoor'snare, 23 outdoor: tenor</v>
      </c>
      <c r="I137" s="12" t="str">
        <f>IFERROR(__xludf.DUMMYFUNCTION("""COMPUTED_VALUE"""),"JT Quant")</f>
        <v>JT Quant</v>
      </c>
      <c r="J137" s="12" t="str">
        <f>IFERROR(__xludf.DUMMYFUNCTION("""COMPUTED_VALUE"""),"squant12@gmail.com")</f>
        <v>squant12@gmail.com</v>
      </c>
      <c r="K137" s="12"/>
    </row>
    <row r="138">
      <c r="A138" s="24" t="str">
        <f>IFERROR(__xludf.DUMMYFUNCTION("""COMPUTED_VALUE"""),"AO8296")</f>
        <v>AO8296</v>
      </c>
      <c r="B138" s="11" t="str">
        <f>IFERROR(__xludf.DUMMYFUNCTION("""COMPUTED_VALUE"""),"Ortiz")</f>
        <v>Ortiz</v>
      </c>
      <c r="C138" s="24" t="str">
        <f>IFERROR(__xludf.DUMMYFUNCTION("""COMPUTED_VALUE"""),"Alison")</f>
        <v>Alison</v>
      </c>
      <c r="D138" s="24" t="str">
        <f>IFERROR(__xludf.DUMMYFUNCTION("""COMPUTED_VALUE"""),"she/her")</f>
        <v>she/her</v>
      </c>
      <c r="E138" s="24" t="str">
        <f>IFERROR(__xludf.DUMMYFUNCTION("""COMPUTED_VALUE"""),"Visual Ensemble")</f>
        <v>Visual Ensemble</v>
      </c>
      <c r="F138" s="24">
        <f>IFERROR(__xludf.DUMMYFUNCTION("""COMPUTED_VALUE"""),22.0)</f>
        <v>22</v>
      </c>
      <c r="G138" s="24" t="str">
        <f>IFERROR(__xludf.DUMMYFUNCTION("""COMPUTED_VALUE"""),"hs")</f>
        <v>hs</v>
      </c>
      <c r="H138" s="24" t="str">
        <f>IFERROR(__xludf.DUMMYFUNCTION("""COMPUTED_VALUE"""),"I participated in 3/4 years of high school marching band due to covid my senior year.  ")</f>
        <v>I participated in 3/4 years of high school marching band due to covid my senior year.  </v>
      </c>
      <c r="I138" s="12" t="str">
        <f>IFERROR(__xludf.DUMMYFUNCTION("""COMPUTED_VALUE"""),"Alison Ortiz")</f>
        <v>Alison Ortiz</v>
      </c>
      <c r="J138" s="12" t="str">
        <f>IFERROR(__xludf.DUMMYFUNCTION("""COMPUTED_VALUE"""),"alison.ortiz80668@gmail.com")</f>
        <v>alison.ortiz80668@gmail.com</v>
      </c>
      <c r="K138" s="12"/>
    </row>
    <row r="139">
      <c r="A139" s="24" t="str">
        <f>IFERROR(__xludf.DUMMYFUNCTION("""COMPUTED_VALUE"""),"TP8300")</f>
        <v>TP8300</v>
      </c>
      <c r="B139" s="11" t="str">
        <f>IFERROR(__xludf.DUMMYFUNCTION("""COMPUTED_VALUE"""),"Palm")</f>
        <v>Palm</v>
      </c>
      <c r="C139" s="24" t="str">
        <f>IFERROR(__xludf.DUMMYFUNCTION("""COMPUTED_VALUE"""),"Tyler")</f>
        <v>Tyler</v>
      </c>
      <c r="D139" s="24" t="str">
        <f>IFERROR(__xludf.DUMMYFUNCTION("""COMPUTED_VALUE"""),"He Him")</f>
        <v>He Him</v>
      </c>
      <c r="E139" s="24" t="str">
        <f>IFERROR(__xludf.DUMMYFUNCTION("""COMPUTED_VALUE"""),"Bass")</f>
        <v>Bass</v>
      </c>
      <c r="F139" s="24">
        <f>IFERROR(__xludf.DUMMYFUNCTION("""COMPUTED_VALUE"""),21.0)</f>
        <v>21</v>
      </c>
      <c r="G139" s="24" t="str">
        <f>IFERROR(__xludf.DUMMYFUNCTION("""COMPUTED_VALUE"""),"dci")</f>
        <v>dci</v>
      </c>
      <c r="H139" s="24" t="str">
        <f>IFERROR(__xludf.DUMMYFUNCTION("""COMPUTED_VALUE"""),"White Sabers DBC 2019,2022 
Madison Scouts 2023
Corning Painted Post High School 18,19,20
CPPHS Indoor Percussion 19,20,21 (bass 5, tenors x2)")</f>
        <v>White Sabers DBC 2019,2022 
Madison Scouts 2023
Corning Painted Post High School 18,19,20
CPPHS Indoor Percussion 19,20,21 (bass 5, tenors x2)</v>
      </c>
      <c r="I139" s="12" t="str">
        <f>IFERROR(__xludf.DUMMYFUNCTION("""COMPUTED_VALUE"""),"Tyler Palm")</f>
        <v>Tyler Palm</v>
      </c>
      <c r="J139" s="12" t="str">
        <f>IFERROR(__xludf.DUMMYFUNCTION("""COMPUTED_VALUE"""),"tylerpalm86@gmail.com")</f>
        <v>tylerpalm86@gmail.com</v>
      </c>
      <c r="K139" s="12"/>
    </row>
    <row r="140">
      <c r="A140" s="24" t="str">
        <f>IFERROR(__xludf.DUMMYFUNCTION("""COMPUTED_VALUE"""),"KH8299")</f>
        <v>KH8299</v>
      </c>
      <c r="B140" s="11" t="str">
        <f>IFERROR(__xludf.DUMMYFUNCTION("""COMPUTED_VALUE"""),"Hazelton")</f>
        <v>Hazelton</v>
      </c>
      <c r="C140" s="24" t="str">
        <f>IFERROR(__xludf.DUMMYFUNCTION("""COMPUTED_VALUE"""),"Kylie ")</f>
        <v>Kylie </v>
      </c>
      <c r="D140" s="24" t="str">
        <f>IFERROR(__xludf.DUMMYFUNCTION("""COMPUTED_VALUE"""),"She/her")</f>
        <v>She/her</v>
      </c>
      <c r="E140" s="24" t="str">
        <f>IFERROR(__xludf.DUMMYFUNCTION("""COMPUTED_VALUE"""),"Bass")</f>
        <v>Bass</v>
      </c>
      <c r="F140" s="24">
        <f>IFERROR(__xludf.DUMMYFUNCTION("""COMPUTED_VALUE"""),19.0)</f>
        <v>19</v>
      </c>
      <c r="G140" s="24" t="str">
        <f>IFERROR(__xludf.DUMMYFUNCTION("""COMPUTED_VALUE"""),"hs")</f>
        <v>hs</v>
      </c>
      <c r="H140" s="24" t="str">
        <f>IFERROR(__xludf.DUMMYFUNCTION("""COMPUTED_VALUE"""),"High school indoor percussion for three years at Sunlake High School")</f>
        <v>High school indoor percussion for three years at Sunlake High School</v>
      </c>
      <c r="I140" s="12" t="str">
        <f>IFERROR(__xludf.DUMMYFUNCTION("""COMPUTED_VALUE"""),"Kylie  Hazelton")</f>
        <v>Kylie  Hazelton</v>
      </c>
      <c r="J140" s="12" t="str">
        <f>IFERROR(__xludf.DUMMYFUNCTION("""COMPUTED_VALUE"""),"khazel.inc@gmail.com")</f>
        <v>khazel.inc@gmail.com</v>
      </c>
      <c r="K140" s="12"/>
    </row>
    <row r="141">
      <c r="A141" s="24" t="str">
        <f>IFERROR(__xludf.DUMMYFUNCTION("""COMPUTED_VALUE"""),"NF8301")</f>
        <v>NF8301</v>
      </c>
      <c r="B141" s="11" t="str">
        <f>IFERROR(__xludf.DUMMYFUNCTION("""COMPUTED_VALUE"""),"Fret")</f>
        <v>Fret</v>
      </c>
      <c r="C141" s="24" t="str">
        <f>IFERROR(__xludf.DUMMYFUNCTION("""COMPUTED_VALUE"""),"Nate")</f>
        <v>Nate</v>
      </c>
      <c r="D141" s="24"/>
      <c r="E141" s="24" t="str">
        <f>IFERROR(__xludf.DUMMYFUNCTION("""COMPUTED_VALUE"""),"Tenor")</f>
        <v>Tenor</v>
      </c>
      <c r="F141" s="24">
        <f>IFERROR(__xludf.DUMMYFUNCTION("""COMPUTED_VALUE"""),18.0)</f>
        <v>18</v>
      </c>
      <c r="G141" s="24" t="str">
        <f>IFERROR(__xludf.DUMMYFUNCTION("""COMPUTED_VALUE"""),"hs")</f>
        <v>hs</v>
      </c>
      <c r="H141" s="24" t="str">
        <f>IFERROR(__xludf.DUMMYFUNCTION("""COMPUTED_VALUE"""),"High School performances, Solo &amp; Ensemble, All County, All State Honor Band ")</f>
        <v>High School performances, Solo &amp; Ensemble, All County, All State Honor Band </v>
      </c>
      <c r="I141" s="12" t="str">
        <f>IFERROR(__xludf.DUMMYFUNCTION("""COMPUTED_VALUE"""),"Nate Fret")</f>
        <v>Nate Fret</v>
      </c>
      <c r="J141" s="12" t="str">
        <f>IFERROR(__xludf.DUMMYFUNCTION("""COMPUTED_VALUE"""),"jfret0221@gmail.com")</f>
        <v>jfret0221@gmail.com</v>
      </c>
      <c r="K141" s="12"/>
    </row>
    <row r="142">
      <c r="A142" s="24" t="str">
        <f>IFERROR(__xludf.DUMMYFUNCTION("""COMPUTED_VALUE"""),"MS8297")</f>
        <v>MS8297</v>
      </c>
      <c r="B142" s="11" t="str">
        <f>IFERROR(__xludf.DUMMYFUNCTION("""COMPUTED_VALUE"""),"Schaum")</f>
        <v>Schaum</v>
      </c>
      <c r="C142" s="24" t="str">
        <f>IFERROR(__xludf.DUMMYFUNCTION("""COMPUTED_VALUE"""),"Michael")</f>
        <v>Michael</v>
      </c>
      <c r="D142" s="24" t="str">
        <f>IFERROR(__xludf.DUMMYFUNCTION("""COMPUTED_VALUE"""),"he/him")</f>
        <v>he/him</v>
      </c>
      <c r="E142" s="24" t="str">
        <f>IFERROR(__xludf.DUMMYFUNCTION("""COMPUTED_VALUE"""),"Snare")</f>
        <v>Snare</v>
      </c>
      <c r="F142" s="24">
        <f>IFERROR(__xludf.DUMMYFUNCTION("""COMPUTED_VALUE"""),16.0)</f>
        <v>16</v>
      </c>
      <c r="G142" s="24" t="str">
        <f>IFERROR(__xludf.DUMMYFUNCTION("""COMPUTED_VALUE"""),"hs")</f>
        <v>hs</v>
      </c>
      <c r="H142" s="24" t="str">
        <f>IFERROR(__xludf.DUMMYFUNCTION("""COMPUTED_VALUE"""),"Timber Creek HS 2022, and 2023.")</f>
        <v>Timber Creek HS 2022, and 2023.</v>
      </c>
      <c r="I142" s="12" t="str">
        <f>IFERROR(__xludf.DUMMYFUNCTION("""COMPUTED_VALUE"""),"Michael Schaum")</f>
        <v>Michael Schaum</v>
      </c>
      <c r="J142" s="12" t="str">
        <f>IFERROR(__xludf.DUMMYFUNCTION("""COMPUTED_VALUE"""),"michaelschaum69@gmail.com")</f>
        <v>michaelschaum69@gmail.com</v>
      </c>
      <c r="K142" s="12"/>
    </row>
    <row r="143">
      <c r="A143" s="24" t="str">
        <f>IFERROR(__xludf.DUMMYFUNCTION("""COMPUTED_VALUE"""),"KI8303")</f>
        <v>KI8303</v>
      </c>
      <c r="B143" s="11" t="str">
        <f>IFERROR(__xludf.DUMMYFUNCTION("""COMPUTED_VALUE"""),"Izurieta ")</f>
        <v>Izurieta </v>
      </c>
      <c r="C143" s="24" t="str">
        <f>IFERROR(__xludf.DUMMYFUNCTION("""COMPUTED_VALUE"""),"Kevin ")</f>
        <v>Kevin </v>
      </c>
      <c r="D143" s="24" t="str">
        <f>IFERROR(__xludf.DUMMYFUNCTION("""COMPUTED_VALUE"""),"He/Him")</f>
        <v>He/Him</v>
      </c>
      <c r="E143" s="24" t="str">
        <f>IFERROR(__xludf.DUMMYFUNCTION("""COMPUTED_VALUE"""),"Snare")</f>
        <v>Snare</v>
      </c>
      <c r="F143" s="24">
        <f>IFERROR(__xludf.DUMMYFUNCTION("""COMPUTED_VALUE"""),18.0)</f>
        <v>18</v>
      </c>
      <c r="G143" s="24" t="str">
        <f>IFERROR(__xludf.DUMMYFUNCTION("""COMPUTED_VALUE"""),"hs")</f>
        <v>hs</v>
      </c>
      <c r="H143" s="24" t="str">
        <f>IFERROR(__xludf.DUMMYFUNCTION("""COMPUTED_VALUE"""),"3 years of highschool drumline 
1 Year USF Drumline")</f>
        <v>3 years of highschool drumline 
1 Year USF Drumline</v>
      </c>
      <c r="I143" s="12" t="str">
        <f>IFERROR(__xludf.DUMMYFUNCTION("""COMPUTED_VALUE"""),"Kevin  Izurieta ")</f>
        <v>Kevin  Izurieta </v>
      </c>
      <c r="J143" s="12" t="str">
        <f>IFERROR(__xludf.DUMMYFUNCTION("""COMPUTED_VALUE"""),"kjizurieta@gmail.com")</f>
        <v>kjizurieta@gmail.com</v>
      </c>
      <c r="K143" s="12"/>
    </row>
    <row r="144">
      <c r="A144" s="24" t="str">
        <f>IFERROR(__xludf.DUMMYFUNCTION("""COMPUTED_VALUE"""),"ZA8306")</f>
        <v>ZA8306</v>
      </c>
      <c r="B144" s="11" t="str">
        <f>IFERROR(__xludf.DUMMYFUNCTION("""COMPUTED_VALUE"""),"Alabata")</f>
        <v>Alabata</v>
      </c>
      <c r="C144" s="24" t="str">
        <f>IFERROR(__xludf.DUMMYFUNCTION("""COMPUTED_VALUE"""),"Zach")</f>
        <v>Zach</v>
      </c>
      <c r="D144" s="24"/>
      <c r="E144" s="24" t="str">
        <f>IFERROR(__xludf.DUMMYFUNCTION("""COMPUTED_VALUE"""),"Bass")</f>
        <v>Bass</v>
      </c>
      <c r="F144" s="24">
        <f>IFERROR(__xludf.DUMMYFUNCTION("""COMPUTED_VALUE"""),22.0)</f>
        <v>22</v>
      </c>
      <c r="G144" s="24" t="str">
        <f>IFERROR(__xludf.DUMMYFUNCTION("""COMPUTED_VALUE"""),"dci")</f>
        <v>dci</v>
      </c>
      <c r="H144" s="24" t="str">
        <f>IFERROR(__xludf.DUMMYFUNCTION("""COMPUTED_VALUE"""),"Southwind 2018, Gator Marching Band (3 seasons), Chinese Instrumental Ensemble")</f>
        <v>Southwind 2018, Gator Marching Band (3 seasons), Chinese Instrumental Ensemble</v>
      </c>
      <c r="I144" s="12" t="str">
        <f>IFERROR(__xludf.DUMMYFUNCTION("""COMPUTED_VALUE"""),"Zach Alabata")</f>
        <v>Zach Alabata</v>
      </c>
      <c r="J144" s="12" t="str">
        <f>IFERROR(__xludf.DUMMYFUNCTION("""COMPUTED_VALUE"""),"zalabata@ufl.edu")</f>
        <v>zalabata@ufl.edu</v>
      </c>
      <c r="K144" s="12"/>
    </row>
    <row r="145">
      <c r="A145" s="24" t="str">
        <f>IFERROR(__xludf.DUMMYFUNCTION("""COMPUTED_VALUE"""),"JD8308")</f>
        <v>JD8308</v>
      </c>
      <c r="B145" s="11" t="str">
        <f>IFERROR(__xludf.DUMMYFUNCTION("""COMPUTED_VALUE"""),"Dyer")</f>
        <v>Dyer</v>
      </c>
      <c r="C145" s="24" t="str">
        <f>IFERROR(__xludf.DUMMYFUNCTION("""COMPUTED_VALUE"""),"Jake")</f>
        <v>Jake</v>
      </c>
      <c r="D145" s="24" t="str">
        <f>IFERROR(__xludf.DUMMYFUNCTION("""COMPUTED_VALUE"""),"He/Him")</f>
        <v>He/Him</v>
      </c>
      <c r="E145" s="24" t="str">
        <f>IFERROR(__xludf.DUMMYFUNCTION("""COMPUTED_VALUE"""),"Cymbals")</f>
        <v>Cymbals</v>
      </c>
      <c r="F145" s="24">
        <f>IFERROR(__xludf.DUMMYFUNCTION("""COMPUTED_VALUE"""),17.0)</f>
        <v>17</v>
      </c>
      <c r="G145" s="24" t="str">
        <f>IFERROR(__xludf.DUMMYFUNCTION("""COMPUTED_VALUE"""),"hs")</f>
        <v>hs</v>
      </c>
      <c r="H145" s="24" t="str">
        <f>IFERROR(__xludf.DUMMYFUNCTION("""COMPUTED_VALUE"""),"2021 - Present: Windermere High School Percussion (1 season each for Rack/Aux, Cymbals, Bass #5) including indoor (Cymbals) in 2022.")</f>
        <v>2021 - Present: Windermere High School Percussion (1 season each for Rack/Aux, Cymbals, Bass #5) including indoor (Cymbals) in 2022.</v>
      </c>
      <c r="I145" s="12" t="str">
        <f>IFERROR(__xludf.DUMMYFUNCTION("""COMPUTED_VALUE"""),"Jake Dyer")</f>
        <v>Jake Dyer</v>
      </c>
      <c r="J145" s="12" t="str">
        <f>IFERROR(__xludf.DUMMYFUNCTION("""COMPUTED_VALUE"""),"jakethomasdyer@gmail.com")</f>
        <v>jakethomasdyer@gmail.com</v>
      </c>
      <c r="K145" s="12"/>
    </row>
    <row r="146">
      <c r="A146" s="24" t="str">
        <f>IFERROR(__xludf.DUMMYFUNCTION("""COMPUTED_VALUE"""),"GW8220")</f>
        <v>GW8220</v>
      </c>
      <c r="B146" s="11" t="str">
        <f>IFERROR(__xludf.DUMMYFUNCTION("""COMPUTED_VALUE"""),"Wille")</f>
        <v>Wille</v>
      </c>
      <c r="C146" s="24" t="str">
        <f>IFERROR(__xludf.DUMMYFUNCTION("""COMPUTED_VALUE"""),"Gregory")</f>
        <v>Gregory</v>
      </c>
      <c r="D146" s="24" t="str">
        <f>IFERROR(__xludf.DUMMYFUNCTION("""COMPUTED_VALUE"""),"he/him")</f>
        <v>he/him</v>
      </c>
      <c r="E146" s="24" t="str">
        <f>IFERROR(__xludf.DUMMYFUNCTION("""COMPUTED_VALUE"""),"Snare")</f>
        <v>Snare</v>
      </c>
      <c r="F146" s="24">
        <f>IFERROR(__xludf.DUMMYFUNCTION("""COMPUTED_VALUE"""),19.0)</f>
        <v>19</v>
      </c>
      <c r="G146" s="24" t="str">
        <f>IFERROR(__xludf.DUMMYFUNCTION("""COMPUTED_VALUE"""),"hs")</f>
        <v>hs</v>
      </c>
      <c r="H146" s="24" t="str">
        <f>IFERROR(__xludf.DUMMYFUNCTION("""COMPUTED_VALUE"""),"One high school marching band season on marching bass, one high school season of indoor percussion on marching snare")</f>
        <v>One high school marching band season on marching bass, one high school season of indoor percussion on marching snare</v>
      </c>
      <c r="I146" s="12" t="str">
        <f>IFERROR(__xludf.DUMMYFUNCTION("""COMPUTED_VALUE"""),"Gregory Wille")</f>
        <v>Gregory Wille</v>
      </c>
      <c r="J146" s="12" t="str">
        <f>IFERROR(__xludf.DUMMYFUNCTION("""COMPUTED_VALUE"""),"gregorycwille18@gmail.com")</f>
        <v>gregorycwille18@gmail.com</v>
      </c>
      <c r="K146" s="12"/>
    </row>
    <row r="147">
      <c r="A147" s="24" t="str">
        <f>IFERROR(__xludf.DUMMYFUNCTION("""COMPUTED_VALUE"""),"JR8310")</f>
        <v>JR8310</v>
      </c>
      <c r="B147" s="11" t="str">
        <f>IFERROR(__xludf.DUMMYFUNCTION("""COMPUTED_VALUE"""),"Robles-Diaz")</f>
        <v>Robles-Diaz</v>
      </c>
      <c r="C147" s="24" t="str">
        <f>IFERROR(__xludf.DUMMYFUNCTION("""COMPUTED_VALUE"""),"Jorge")</f>
        <v>Jorge</v>
      </c>
      <c r="D147" s="24"/>
      <c r="E147" s="24" t="str">
        <f>IFERROR(__xludf.DUMMYFUNCTION("""COMPUTED_VALUE"""),"Snare")</f>
        <v>Snare</v>
      </c>
      <c r="F147" s="24">
        <f>IFERROR(__xludf.DUMMYFUNCTION("""COMPUTED_VALUE"""),19.0)</f>
        <v>19</v>
      </c>
      <c r="G147" s="24" t="str">
        <f>IFERROR(__xludf.DUMMYFUNCTION("""COMPUTED_VALUE"""),"pia")</f>
        <v>pia</v>
      </c>
      <c r="H147" s="24" t="str">
        <f>IFERROR(__xludf.DUMMYFUNCTION("""COMPUTED_VALUE"""),"Ridgeview High School '19-'22
Conflux Percussion '21-'23
USF HOT Snare '23")</f>
        <v>Ridgeview High School '19-'22
Conflux Percussion '21-'23
USF HOT Snare '23</v>
      </c>
      <c r="I147" s="12" t="str">
        <f>IFERROR(__xludf.DUMMYFUNCTION("""COMPUTED_VALUE"""),"Jorge Robles-Diaz")</f>
        <v>Jorge Robles-Diaz</v>
      </c>
      <c r="J147" s="12" t="str">
        <f>IFERROR(__xludf.DUMMYFUNCTION("""COMPUTED_VALUE"""),"jazielroblesdiaz@gmail.com")</f>
        <v>jazielroblesdiaz@gmail.com</v>
      </c>
      <c r="K147" s="12"/>
    </row>
    <row r="148">
      <c r="A148" s="24" t="str">
        <f>IFERROR(__xludf.DUMMYFUNCTION("""COMPUTED_VALUE"""),"ST8314")</f>
        <v>ST8314</v>
      </c>
      <c r="B148" s="11" t="str">
        <f>IFERROR(__xludf.DUMMYFUNCTION("""COMPUTED_VALUE"""),"Tyson")</f>
        <v>Tyson</v>
      </c>
      <c r="C148" s="24" t="str">
        <f>IFERROR(__xludf.DUMMYFUNCTION("""COMPUTED_VALUE"""),"Salem")</f>
        <v>Salem</v>
      </c>
      <c r="D148" s="24" t="str">
        <f>IFERROR(__xludf.DUMMYFUNCTION("""COMPUTED_VALUE"""),"He/Him")</f>
        <v>He/Him</v>
      </c>
      <c r="E148" s="24" t="str">
        <f>IFERROR(__xludf.DUMMYFUNCTION("""COMPUTED_VALUE"""),"Snare")</f>
        <v>Snare</v>
      </c>
      <c r="F148" s="24">
        <f>IFERROR(__xludf.DUMMYFUNCTION("""COMPUTED_VALUE"""),20.0)</f>
        <v>20</v>
      </c>
      <c r="G148" s="24" t="str">
        <f>IFERROR(__xludf.DUMMYFUNCTION("""COMPUTED_VALUE"""),"hs")</f>
        <v>hs</v>
      </c>
      <c r="H148" s="24" t="str">
        <f>IFERROR(__xludf.DUMMYFUNCTION("""COMPUTED_VALUE"""),"Sunlake Highschool Percussion 2017-2021")</f>
        <v>Sunlake Highschool Percussion 2017-2021</v>
      </c>
      <c r="I148" s="12" t="str">
        <f>IFERROR(__xludf.DUMMYFUNCTION("""COMPUTED_VALUE"""),"Salem Tyson")</f>
        <v>Salem Tyson</v>
      </c>
      <c r="J148" s="12" t="str">
        <f>IFERROR(__xludf.DUMMYFUNCTION("""COMPUTED_VALUE"""),"Salemgrace037@gmail.com")</f>
        <v>Salemgrace037@gmail.com</v>
      </c>
      <c r="K148" s="12"/>
    </row>
    <row r="149">
      <c r="A149" s="24" t="str">
        <f>IFERROR(__xludf.DUMMYFUNCTION("""COMPUTED_VALUE"""),"JE8312")</f>
        <v>JE8312</v>
      </c>
      <c r="B149" s="11" t="str">
        <f>IFERROR(__xludf.DUMMYFUNCTION("""COMPUTED_VALUE"""),"Evans ")</f>
        <v>Evans </v>
      </c>
      <c r="C149" s="24" t="str">
        <f>IFERROR(__xludf.DUMMYFUNCTION("""COMPUTED_VALUE"""),"Justin ")</f>
        <v>Justin </v>
      </c>
      <c r="D149" s="24" t="str">
        <f>IFERROR(__xludf.DUMMYFUNCTION("""COMPUTED_VALUE"""),"he/him")</f>
        <v>he/him</v>
      </c>
      <c r="E149" s="24" t="str">
        <f>IFERROR(__xludf.DUMMYFUNCTION("""COMPUTED_VALUE"""),"Snare")</f>
        <v>Snare</v>
      </c>
      <c r="F149" s="24">
        <f>IFERROR(__xludf.DUMMYFUNCTION("""COMPUTED_VALUE"""),19.0)</f>
        <v>19</v>
      </c>
      <c r="G149" s="24" t="str">
        <f>IFERROR(__xludf.DUMMYFUNCTION("""COMPUTED_VALUE"""),"dca")</f>
        <v>dca</v>
      </c>
      <c r="H149" s="24" t="str">
        <f>IFERROR(__xludf.DUMMYFUNCTION("""COMPUTED_VALUE"""),"Colt Cadets DBC 2023 Palm Bay High School Indoor 20, 22")</f>
        <v>Colt Cadets DBC 2023 Palm Bay High School Indoor 20, 22</v>
      </c>
      <c r="I149" s="12" t="str">
        <f>IFERROR(__xludf.DUMMYFUNCTION("""COMPUTED_VALUE"""),"Justin  Evans ")</f>
        <v>Justin  Evans </v>
      </c>
      <c r="J149" s="12" t="str">
        <f>IFERROR(__xludf.DUMMYFUNCTION("""COMPUTED_VALUE"""),"hurricanes954321@gmail.com")</f>
        <v>hurricanes954321@gmail.com</v>
      </c>
      <c r="K149" s="12"/>
    </row>
    <row r="150">
      <c r="A150" s="24" t="str">
        <f>IFERROR(__xludf.DUMMYFUNCTION("""COMPUTED_VALUE"""),"EH8307")</f>
        <v>EH8307</v>
      </c>
      <c r="B150" s="11" t="str">
        <f>IFERROR(__xludf.DUMMYFUNCTION("""COMPUTED_VALUE"""),"Hill")</f>
        <v>Hill</v>
      </c>
      <c r="C150" s="24" t="str">
        <f>IFERROR(__xludf.DUMMYFUNCTION("""COMPUTED_VALUE"""),"Ethan")</f>
        <v>Ethan</v>
      </c>
      <c r="D150" s="24" t="str">
        <f>IFERROR(__xludf.DUMMYFUNCTION("""COMPUTED_VALUE"""),"he/him")</f>
        <v>he/him</v>
      </c>
      <c r="E150" s="24" t="str">
        <f>IFERROR(__xludf.DUMMYFUNCTION("""COMPUTED_VALUE"""),"Tenor")</f>
        <v>Tenor</v>
      </c>
      <c r="F150" s="24">
        <f>IFERROR(__xludf.DUMMYFUNCTION("""COMPUTED_VALUE"""),22.0)</f>
        <v>22</v>
      </c>
      <c r="G150" s="24" t="str">
        <f>IFERROR(__xludf.DUMMYFUNCTION("""COMPUTED_VALUE"""),"piw")</f>
        <v>piw</v>
      </c>
      <c r="H150" s="24" t="str">
        <f>IFERROR(__xludf.DUMMYFUNCTION("""COMPUTED_VALUE"""),"Guardians '19, Music City '21, Matrix '22, Phantom Regiment '22 '23, VIP '23")</f>
        <v>Guardians '19, Music City '21, Matrix '22, Phantom Regiment '22 '23, VIP '23</v>
      </c>
      <c r="I150" s="12" t="str">
        <f>IFERROR(__xludf.DUMMYFUNCTION("""COMPUTED_VALUE"""),"Ethan Hill")</f>
        <v>Ethan Hill</v>
      </c>
      <c r="J150" s="12" t="str">
        <f>IFERROR(__xludf.DUMMYFUNCTION("""COMPUTED_VALUE"""),"ethanhill011535@gmail.com")</f>
        <v>ethanhill011535@gmail.com</v>
      </c>
      <c r="K150" s="12"/>
    </row>
    <row r="151">
      <c r="A151" s="24" t="str">
        <f>IFERROR(__xludf.DUMMYFUNCTION("""COMPUTED_VALUE"""),"VB8313")</f>
        <v>VB8313</v>
      </c>
      <c r="B151" s="11" t="str">
        <f>IFERROR(__xludf.DUMMYFUNCTION("""COMPUTED_VALUE"""),"Betancur")</f>
        <v>Betancur</v>
      </c>
      <c r="C151" s="24" t="str">
        <f>IFERROR(__xludf.DUMMYFUNCTION("""COMPUTED_VALUE"""),"Valentina")</f>
        <v>Valentina</v>
      </c>
      <c r="D151" s="24" t="str">
        <f>IFERROR(__xludf.DUMMYFUNCTION("""COMPUTED_VALUE"""),"she/her")</f>
        <v>she/her</v>
      </c>
      <c r="E151" s="24" t="str">
        <f>IFERROR(__xludf.DUMMYFUNCTION("""COMPUTED_VALUE"""),"Visual Ensemble")</f>
        <v>Visual Ensemble</v>
      </c>
      <c r="F151" s="24">
        <f>IFERROR(__xludf.DUMMYFUNCTION("""COMPUTED_VALUE"""),20.0)</f>
        <v>20</v>
      </c>
      <c r="G151" s="24" t="str">
        <f>IFERROR(__xludf.DUMMYFUNCTION("""COMPUTED_VALUE"""),"dci")</f>
        <v>dci</v>
      </c>
      <c r="H151" s="24" t="str">
        <f>IFERROR(__xludf.DUMMYFUNCTION("""COMPUTED_VALUE"""),"University HS Colorguard and Winterguard 2017-2021, Phantom Regiment 2022, Blue Devils 2023")</f>
        <v>University HS Colorguard and Winterguard 2017-2021, Phantom Regiment 2022, Blue Devils 2023</v>
      </c>
      <c r="I151" s="12" t="str">
        <f>IFERROR(__xludf.DUMMYFUNCTION("""COMPUTED_VALUE"""),"Valentina Betancur")</f>
        <v>Valentina Betancur</v>
      </c>
      <c r="J151" s="12" t="str">
        <f>IFERROR(__xludf.DUMMYFUNCTION("""COMPUTED_VALUE"""),"vale65733@gmail.com")</f>
        <v>vale65733@gmail.com</v>
      </c>
      <c r="K151" s="12"/>
    </row>
    <row r="152">
      <c r="A152" s="24" t="str">
        <f>IFERROR(__xludf.DUMMYFUNCTION("""COMPUTED_VALUE"""),"MZ8269")</f>
        <v>MZ8269</v>
      </c>
      <c r="B152" s="11" t="str">
        <f>IFERROR(__xludf.DUMMYFUNCTION("""COMPUTED_VALUE"""),"Zuzek")</f>
        <v>Zuzek</v>
      </c>
      <c r="C152" s="24" t="str">
        <f>IFERROR(__xludf.DUMMYFUNCTION("""COMPUTED_VALUE"""),"Mattro")</f>
        <v>Mattro</v>
      </c>
      <c r="D152" s="24" t="str">
        <f>IFERROR(__xludf.DUMMYFUNCTION("""COMPUTED_VALUE"""),"He/him")</f>
        <v>He/him</v>
      </c>
      <c r="E152" s="24" t="str">
        <f>IFERROR(__xludf.DUMMYFUNCTION("""COMPUTED_VALUE"""),"Bass")</f>
        <v>Bass</v>
      </c>
      <c r="F152" s="24">
        <f>IFERROR(__xludf.DUMMYFUNCTION("""COMPUTED_VALUE"""),21.0)</f>
        <v>21</v>
      </c>
      <c r="G152" s="24" t="str">
        <f>IFERROR(__xludf.DUMMYFUNCTION("""COMPUTED_VALUE"""),"dci")</f>
        <v>dci</v>
      </c>
      <c r="H152" s="24" t="str">
        <f>IFERROR(__xludf.DUMMYFUNCTION("""COMPUTED_VALUE"""),"RF 20, 21, 22, 23, Crossmen 21, Cadets 22, Boston 23")</f>
        <v>RF 20, 21, 22, 23, Crossmen 21, Cadets 22, Boston 23</v>
      </c>
      <c r="I152" s="12" t="str">
        <f>IFERROR(__xludf.DUMMYFUNCTION("""COMPUTED_VALUE"""),"Mattro Zuzek")</f>
        <v>Mattro Zuzek</v>
      </c>
      <c r="J152" s="12" t="str">
        <f>IFERROR(__xludf.DUMMYFUNCTION("""COMPUTED_VALUE"""),"zuzekmatteo@gmail.com")</f>
        <v>zuzekmatteo@gmail.com</v>
      </c>
      <c r="K152" s="12"/>
    </row>
    <row r="153">
      <c r="A153" s="24" t="str">
        <f>IFERROR(__xludf.DUMMYFUNCTION("""COMPUTED_VALUE"""),"JV8321")</f>
        <v>JV8321</v>
      </c>
      <c r="B153" s="11" t="str">
        <f>IFERROR(__xludf.DUMMYFUNCTION("""COMPUTED_VALUE"""),"Vartanian")</f>
        <v>Vartanian</v>
      </c>
      <c r="C153" s="24" t="str">
        <f>IFERROR(__xludf.DUMMYFUNCTION("""COMPUTED_VALUE"""),"Jazi")</f>
        <v>Jazi</v>
      </c>
      <c r="D153" s="24" t="str">
        <f>IFERROR(__xludf.DUMMYFUNCTION("""COMPUTED_VALUE"""),"He/him")</f>
        <v>He/him</v>
      </c>
      <c r="E153" s="24" t="str">
        <f>IFERROR(__xludf.DUMMYFUNCTION("""COMPUTED_VALUE"""),"Snare")</f>
        <v>Snare</v>
      </c>
      <c r="F153" s="24">
        <f>IFERROR(__xludf.DUMMYFUNCTION("""COMPUTED_VALUE"""),19.0)</f>
        <v>19</v>
      </c>
      <c r="G153" s="24" t="str">
        <f>IFERROR(__xludf.DUMMYFUNCTION("""COMPUTED_VALUE"""),"hs")</f>
        <v>hs</v>
      </c>
      <c r="H153" s="24" t="str">
        <f>IFERROR(__xludf.DUMMYFUNCTION("""COMPUTED_VALUE"""),"Sunlake HS 2018-2022")</f>
        <v>Sunlake HS 2018-2022</v>
      </c>
      <c r="I153" s="12" t="str">
        <f>IFERROR(__xludf.DUMMYFUNCTION("""COMPUTED_VALUE"""),"Jazi Vartanian")</f>
        <v>Jazi Vartanian</v>
      </c>
      <c r="J153" s="12" t="str">
        <f>IFERROR(__xludf.DUMMYFUNCTION("""COMPUTED_VALUE"""),"jaziv2004@gmail.com")</f>
        <v>jaziv2004@gmail.com</v>
      </c>
      <c r="K153" s="12"/>
    </row>
    <row r="154">
      <c r="A154" s="24" t="str">
        <f>IFERROR(__xludf.DUMMYFUNCTION("""COMPUTED_VALUE"""),"SZ8323")</f>
        <v>SZ8323</v>
      </c>
      <c r="B154" s="11" t="str">
        <f>IFERROR(__xludf.DUMMYFUNCTION("""COMPUTED_VALUE"""),"Zarobsky")</f>
        <v>Zarobsky</v>
      </c>
      <c r="C154" s="24" t="str">
        <f>IFERROR(__xludf.DUMMYFUNCTION("""COMPUTED_VALUE"""),"Sean")</f>
        <v>Sean</v>
      </c>
      <c r="D154" s="24" t="str">
        <f>IFERROR(__xludf.DUMMYFUNCTION("""COMPUTED_VALUE"""),"he/him")</f>
        <v>he/him</v>
      </c>
      <c r="E154" s="24" t="str">
        <f>IFERROR(__xludf.DUMMYFUNCTION("""COMPUTED_VALUE"""),"Snare")</f>
        <v>Snare</v>
      </c>
      <c r="F154" s="24">
        <f>IFERROR(__xludf.DUMMYFUNCTION("""COMPUTED_VALUE"""),20.0)</f>
        <v>20</v>
      </c>
      <c r="G154" s="24" t="str">
        <f>IFERROR(__xludf.DUMMYFUNCTION("""COMPUTED_VALUE"""),"pio")</f>
        <v>pio</v>
      </c>
      <c r="H154" s="24" t="str">
        <f>IFERROR(__xludf.DUMMYFUNCTION("""COMPUTED_VALUE"""),"- Pi Percussion 2020 and 2022 on snare
- 2021 virtual WGI Finalist snare drum solo
- 4 years of Joliet West High School marching band on snare and symphonic band in percussion")</f>
        <v>- Pi Percussion 2020 and 2022 on snare
- 2021 virtual WGI Finalist snare drum solo
- 4 years of Joliet West High School marching band on snare and symphonic band in percussion</v>
      </c>
      <c r="I154" s="12" t="str">
        <f>IFERROR(__xludf.DUMMYFUNCTION("""COMPUTED_VALUE"""),"Sean Zarobsky")</f>
        <v>Sean Zarobsky</v>
      </c>
      <c r="J154" s="12" t="str">
        <f>IFERROR(__xludf.DUMMYFUNCTION("""COMPUTED_VALUE"""),"szarob@me.com")</f>
        <v>szarob@me.com</v>
      </c>
      <c r="K154" s="12"/>
    </row>
    <row r="155">
      <c r="A155" s="24" t="str">
        <f>IFERROR(__xludf.DUMMYFUNCTION("""COMPUTED_VALUE"""),"BB8325")</f>
        <v>BB8325</v>
      </c>
      <c r="B155" s="11" t="str">
        <f>IFERROR(__xludf.DUMMYFUNCTION("""COMPUTED_VALUE"""),"Baker")</f>
        <v>Baker</v>
      </c>
      <c r="C155" s="24" t="str">
        <f>IFERROR(__xludf.DUMMYFUNCTION("""COMPUTED_VALUE"""),"Brianna")</f>
        <v>Brianna</v>
      </c>
      <c r="D155" s="24" t="str">
        <f>IFERROR(__xludf.DUMMYFUNCTION("""COMPUTED_VALUE"""),"She,her")</f>
        <v>She,her</v>
      </c>
      <c r="E155" s="24" t="str">
        <f>IFERROR(__xludf.DUMMYFUNCTION("""COMPUTED_VALUE"""),"Visual Ensemble")</f>
        <v>Visual Ensemble</v>
      </c>
      <c r="F155" s="24">
        <f>IFERROR(__xludf.DUMMYFUNCTION("""COMPUTED_VALUE"""),21.0)</f>
        <v>21</v>
      </c>
      <c r="G155" s="24" t="str">
        <f>IFERROR(__xludf.DUMMYFUNCTION("""COMPUTED_VALUE"""),"i2")</f>
        <v>i2</v>
      </c>
      <c r="H155" s="24" t="str">
        <f>IFERROR(__xludf.DUMMYFUNCTION("""COMPUTED_VALUE"""),"Chiefland Middle High School Color guard 2015-2020
Unity Percussion 2018-2020
Infinity 2 2023")</f>
        <v>Chiefland Middle High School Color guard 2015-2020
Unity Percussion 2018-2020
Infinity 2 2023</v>
      </c>
      <c r="I155" s="12" t="str">
        <f>IFERROR(__xludf.DUMMYFUNCTION("""COMPUTED_VALUE"""),"Brianna Baker")</f>
        <v>Brianna Baker</v>
      </c>
      <c r="J155" s="12" t="str">
        <f>IFERROR(__xludf.DUMMYFUNCTION("""COMPUTED_VALUE"""),"walker060302@gmail.com")</f>
        <v>walker060302@gmail.com</v>
      </c>
      <c r="K155" s="12"/>
    </row>
    <row r="156">
      <c r="A156" s="24" t="str">
        <f>IFERROR(__xludf.DUMMYFUNCTION("""COMPUTED_VALUE"""),"DS8324")</f>
        <v>DS8324</v>
      </c>
      <c r="B156" s="11" t="str">
        <f>IFERROR(__xludf.DUMMYFUNCTION("""COMPUTED_VALUE"""),"Sons")</f>
        <v>Sons</v>
      </c>
      <c r="C156" s="24" t="str">
        <f>IFERROR(__xludf.DUMMYFUNCTION("""COMPUTED_VALUE"""),"Dylan")</f>
        <v>Dylan</v>
      </c>
      <c r="D156" s="24" t="str">
        <f>IFERROR(__xludf.DUMMYFUNCTION("""COMPUTED_VALUE"""),"He/Him")</f>
        <v>He/Him</v>
      </c>
      <c r="E156" s="24" t="str">
        <f>IFERROR(__xludf.DUMMYFUNCTION("""COMPUTED_VALUE"""),"Snare")</f>
        <v>Snare</v>
      </c>
      <c r="F156" s="24">
        <f>IFERROR(__xludf.DUMMYFUNCTION("""COMPUTED_VALUE"""),22.0)</f>
        <v>22</v>
      </c>
      <c r="G156" s="24" t="str">
        <f>IFERROR(__xludf.DUMMYFUNCTION("""COMPUTED_VALUE"""),"i2")</f>
        <v>i2</v>
      </c>
      <c r="H156" s="24" t="str">
        <f>IFERROR(__xludf.DUMMYFUNCTION("""COMPUTED_VALUE"""),"Lake Minneola High School 2016-2020 
Ancient City Ensemble 2019-2020
Infinity 2 Percussion 2022-2023")</f>
        <v>Lake Minneola High School 2016-2020 
Ancient City Ensemble 2019-2020
Infinity 2 Percussion 2022-2023</v>
      </c>
      <c r="I156" s="12" t="str">
        <f>IFERROR(__xludf.DUMMYFUNCTION("""COMPUTED_VALUE"""),"Dylan Sons")</f>
        <v>Dylan Sons</v>
      </c>
      <c r="J156" s="12" t="str">
        <f>IFERROR(__xludf.DUMMYFUNCTION("""COMPUTED_VALUE"""),"dylansons1128@gmail.com")</f>
        <v>dylansons1128@gmail.com</v>
      </c>
      <c r="K156" s="12"/>
    </row>
    <row r="157">
      <c r="A157" s="24" t="str">
        <f>IFERROR(__xludf.DUMMYFUNCTION("""COMPUTED_VALUE"""),"JP8327")</f>
        <v>JP8327</v>
      </c>
      <c r="B157" s="11" t="str">
        <f>IFERROR(__xludf.DUMMYFUNCTION("""COMPUTED_VALUE"""),"Palacios ")</f>
        <v>Palacios </v>
      </c>
      <c r="C157" s="24" t="str">
        <f>IFERROR(__xludf.DUMMYFUNCTION("""COMPUTED_VALUE"""),"José ")</f>
        <v>José </v>
      </c>
      <c r="D157" s="24" t="str">
        <f>IFERROR(__xludf.DUMMYFUNCTION("""COMPUTED_VALUE"""),"He/him")</f>
        <v>He/him</v>
      </c>
      <c r="E157" s="24" t="str">
        <f>IFERROR(__xludf.DUMMYFUNCTION("""COMPUTED_VALUE"""),"Tenor")</f>
        <v>Tenor</v>
      </c>
      <c r="F157" s="24">
        <f>IFERROR(__xludf.DUMMYFUNCTION("""COMPUTED_VALUE"""),18.0)</f>
        <v>18</v>
      </c>
      <c r="G157" s="24" t="str">
        <f>IFERROR(__xludf.DUMMYFUNCTION("""COMPUTED_VALUE"""),"hs")</f>
        <v>hs</v>
      </c>
      <c r="H157" s="24" t="str">
        <f>IFERROR(__xludf.DUMMYFUNCTION("""COMPUTED_VALUE"""),"Marched at cypress creek hs 21’ 22’ 23’")</f>
        <v>Marched at cypress creek hs 21’ 22’ 23’</v>
      </c>
      <c r="I157" s="12" t="str">
        <f>IFERROR(__xludf.DUMMYFUNCTION("""COMPUTED_VALUE"""),"José  Palacios ")</f>
        <v>José  Palacios </v>
      </c>
      <c r="J157" s="12" t="str">
        <f>IFERROR(__xludf.DUMMYFUNCTION("""COMPUTED_VALUE"""),"josealejandropalacios18@gmail.com")</f>
        <v>josealejandropalacios18@gmail.com</v>
      </c>
      <c r="K157" s="12"/>
    </row>
    <row r="158">
      <c r="A158" s="24" t="str">
        <f>IFERROR(__xludf.DUMMYFUNCTION("""COMPUTED_VALUE"""),"RH8330")</f>
        <v>RH8330</v>
      </c>
      <c r="B158" s="11" t="str">
        <f>IFERROR(__xludf.DUMMYFUNCTION("""COMPUTED_VALUE"""),"Hallack")</f>
        <v>Hallack</v>
      </c>
      <c r="C158" s="24" t="str">
        <f>IFERROR(__xludf.DUMMYFUNCTION("""COMPUTED_VALUE"""),"Richie")</f>
        <v>Richie</v>
      </c>
      <c r="D158" s="24"/>
      <c r="E158" s="24" t="str">
        <f>IFERROR(__xludf.DUMMYFUNCTION("""COMPUTED_VALUE"""),"Cymbals")</f>
        <v>Cymbals</v>
      </c>
      <c r="F158" s="24">
        <f>IFERROR(__xludf.DUMMYFUNCTION("""COMPUTED_VALUE"""),22.0)</f>
        <v>22</v>
      </c>
      <c r="G158" s="24" t="str">
        <f>IFERROR(__xludf.DUMMYFUNCTION("""COMPUTED_VALUE"""),"i3")</f>
        <v>i3</v>
      </c>
      <c r="H158" s="24" t="str">
        <f>IFERROR(__xludf.DUMMYFUNCTION("""COMPUTED_VALUE"""),"Infinity 3 22-23")</f>
        <v>Infinity 3 22-23</v>
      </c>
      <c r="I158" s="12" t="str">
        <f>IFERROR(__xludf.DUMMYFUNCTION("""COMPUTED_VALUE"""),"Richie Hallack")</f>
        <v>Richie Hallack</v>
      </c>
      <c r="J158" s="12" t="str">
        <f>IFERROR(__xludf.DUMMYFUNCTION("""COMPUTED_VALUE"""),"richiehallack@gmail.com")</f>
        <v>richiehallack@gmail.com</v>
      </c>
      <c r="K158" s="12"/>
    </row>
    <row r="159">
      <c r="A159" s="24" t="str">
        <f>IFERROR(__xludf.DUMMYFUNCTION("""COMPUTED_VALUE"""),"JA8216")</f>
        <v>JA8216</v>
      </c>
      <c r="B159" s="11" t="str">
        <f>IFERROR(__xludf.DUMMYFUNCTION("""COMPUTED_VALUE"""),"Ayala")</f>
        <v>Ayala</v>
      </c>
      <c r="C159" s="24" t="str">
        <f>IFERROR(__xludf.DUMMYFUNCTION("""COMPUTED_VALUE"""),"Jen")</f>
        <v>Jen</v>
      </c>
      <c r="D159" s="24" t="str">
        <f>IFERROR(__xludf.DUMMYFUNCTION("""COMPUTED_VALUE"""),"She/Her")</f>
        <v>She/Her</v>
      </c>
      <c r="E159" s="24" t="str">
        <f>IFERROR(__xludf.DUMMYFUNCTION("""COMPUTED_VALUE"""),"Bass")</f>
        <v>Bass</v>
      </c>
      <c r="F159" s="24">
        <f>IFERROR(__xludf.DUMMYFUNCTION("""COMPUTED_VALUE"""),19.0)</f>
        <v>19</v>
      </c>
      <c r="G159" s="24" t="str">
        <f>IFERROR(__xludf.DUMMYFUNCTION("""COMPUTED_VALUE"""),"dci")</f>
        <v>dci</v>
      </c>
      <c r="H159" s="24" t="str">
        <f>IFERROR(__xludf.DUMMYFUNCTION("""COMPUTED_VALUE"""),"I marched 2 years on Bass 1 at my High School and the 22 and 23 season with Heatwave Drum and Bugle Corps as Bass 1 as well.")</f>
        <v>I marched 2 years on Bass 1 at my High School and the 22 and 23 season with Heatwave Drum and Bugle Corps as Bass 1 as well.</v>
      </c>
      <c r="I159" s="12" t="str">
        <f>IFERROR(__xludf.DUMMYFUNCTION("""COMPUTED_VALUE"""),"Jen Ayala")</f>
        <v>Jen Ayala</v>
      </c>
      <c r="J159" s="12" t="str">
        <f>IFERROR(__xludf.DUMMYFUNCTION("""COMPUTED_VALUE"""),"jenniferayala2005@gmail.com")</f>
        <v>jenniferayala2005@gmail.com</v>
      </c>
      <c r="K159" s="12"/>
    </row>
    <row r="160">
      <c r="A160" s="25" t="str">
        <f>IFERROR(__xludf.DUMMYFUNCTION("""COMPUTED_VALUE"""),"EC8331")</f>
        <v>EC8331</v>
      </c>
      <c r="B160" s="28" t="str">
        <f>IFERROR(__xludf.DUMMYFUNCTION("""COMPUTED_VALUE"""),"Centeno")</f>
        <v>Centeno</v>
      </c>
      <c r="C160" s="25" t="str">
        <f>IFERROR(__xludf.DUMMYFUNCTION("""COMPUTED_VALUE"""),"Elisha")</f>
        <v>Elisha</v>
      </c>
      <c r="D160" s="25"/>
      <c r="E160" s="25" t="str">
        <f>IFERROR(__xludf.DUMMYFUNCTION("""COMPUTED_VALUE"""),"Snare")</f>
        <v>Snare</v>
      </c>
      <c r="F160" s="25">
        <f>IFERROR(__xludf.DUMMYFUNCTION("""COMPUTED_VALUE"""),18.0)</f>
        <v>18</v>
      </c>
      <c r="G160" s="25" t="str">
        <f>IFERROR(__xludf.DUMMYFUNCTION("""COMPUTED_VALUE"""),"hs")</f>
        <v>hs</v>
      </c>
      <c r="H160" s="25" t="str">
        <f>IFERROR(__xludf.DUMMYFUNCTION("""COMPUTED_VALUE"""),"3 years of snare in high school ")</f>
        <v>3 years of snare in high school </v>
      </c>
      <c r="I160" s="28" t="str">
        <f>IFERROR(__xludf.DUMMYFUNCTION("""COMPUTED_VALUE"""),"Elisha Centeno")</f>
        <v>Elisha Centeno</v>
      </c>
      <c r="J160" s="28" t="str">
        <f>IFERROR(__xludf.DUMMYFUNCTION("""COMPUTED_VALUE"""),"elisha072005@icloud.com")</f>
        <v>elisha072005@icloud.com</v>
      </c>
      <c r="K160" s="28"/>
    </row>
    <row r="161">
      <c r="A161" s="28" t="str">
        <f>IFERROR(__xludf.DUMMYFUNCTION("""COMPUTED_VALUE"""),"DP8315")</f>
        <v>DP8315</v>
      </c>
      <c r="B161" s="28" t="str">
        <f>IFERROR(__xludf.DUMMYFUNCTION("""COMPUTED_VALUE"""),"Pumo")</f>
        <v>Pumo</v>
      </c>
      <c r="C161" s="28" t="str">
        <f>IFERROR(__xludf.DUMMYFUNCTION("""COMPUTED_VALUE"""),"Damian")</f>
        <v>Damian</v>
      </c>
      <c r="D161" s="28"/>
      <c r="E161" s="28" t="str">
        <f>IFERROR(__xludf.DUMMYFUNCTION("""COMPUTED_VALUE"""),"Tenor")</f>
        <v>Tenor</v>
      </c>
      <c r="F161" s="28">
        <f>IFERROR(__xludf.DUMMYFUNCTION("""COMPUTED_VALUE"""),17.0)</f>
        <v>17</v>
      </c>
      <c r="G161" s="28" t="str">
        <f>IFERROR(__xludf.DUMMYFUNCTION("""COMPUTED_VALUE"""),"hs")</f>
        <v>hs</v>
      </c>
      <c r="H161" s="25" t="str">
        <f>IFERROR(__xludf.DUMMYFUNCTION("""COMPUTED_VALUE"""),"Tarpon Springs Outdoor Performance Ensemble (TSOPE) 2021-2023
Tarpon Springs Leadership Conservatory for the Arts (TSLCA) Percussion Ensemble, Wind Symphony")</f>
        <v>Tarpon Springs Outdoor Performance Ensemble (TSOPE) 2021-2023
Tarpon Springs Leadership Conservatory for the Arts (TSLCA) Percussion Ensemble, Wind Symphony</v>
      </c>
      <c r="I161" s="28" t="str">
        <f>IFERROR(__xludf.DUMMYFUNCTION("""COMPUTED_VALUE"""),"Damian Pumo")</f>
        <v>Damian Pumo</v>
      </c>
      <c r="J161" s="28" t="str">
        <f>IFERROR(__xludf.DUMMYFUNCTION("""COMPUTED_VALUE"""),"dpumo52@gmail.com")</f>
        <v>dpumo52@gmail.com</v>
      </c>
      <c r="K161" s="28"/>
    </row>
    <row r="162">
      <c r="A162" s="28" t="str">
        <f>IFERROR(__xludf.DUMMYFUNCTION("""COMPUTED_VALUE"""),"TL8334")</f>
        <v>TL8334</v>
      </c>
      <c r="B162" s="28" t="str">
        <f>IFERROR(__xludf.DUMMYFUNCTION("""COMPUTED_VALUE"""),"Lopez")</f>
        <v>Lopez</v>
      </c>
      <c r="C162" s="28" t="str">
        <f>IFERROR(__xludf.DUMMYFUNCTION("""COMPUTED_VALUE"""),"Tim")</f>
        <v>Tim</v>
      </c>
      <c r="D162" s="28" t="str">
        <f>IFERROR(__xludf.DUMMYFUNCTION("""COMPUTED_VALUE"""),"He/him")</f>
        <v>He/him</v>
      </c>
      <c r="E162" s="28" t="str">
        <f>IFERROR(__xludf.DUMMYFUNCTION("""COMPUTED_VALUE"""),"Cymbals")</f>
        <v>Cymbals</v>
      </c>
      <c r="F162" s="28">
        <f>IFERROR(__xludf.DUMMYFUNCTION("""COMPUTED_VALUE"""),19.0)</f>
        <v>19</v>
      </c>
      <c r="G162" s="28" t="str">
        <f>IFERROR(__xludf.DUMMYFUNCTION("""COMPUTED_VALUE"""),"i1")</f>
        <v>i1</v>
      </c>
      <c r="H162" s="28" t="str">
        <f>IFERROR(__xludf.DUMMYFUNCTION("""COMPUTED_VALUE"""),"Infinity 2022 and Colts 2023")</f>
        <v>Infinity 2022 and Colts 2023</v>
      </c>
      <c r="I162" s="28" t="str">
        <f>IFERROR(__xludf.DUMMYFUNCTION("""COMPUTED_VALUE"""),"Tim Lopez")</f>
        <v>Tim Lopez</v>
      </c>
      <c r="J162" s="28" t="str">
        <f>IFERROR(__xludf.DUMMYFUNCTION("""COMPUTED_VALUE"""),"Timothyrlopez12@gmail.com")</f>
        <v>Timothyrlopez12@gmail.com</v>
      </c>
      <c r="K162" s="28"/>
    </row>
    <row r="163">
      <c r="A163" s="28" t="str">
        <f>IFERROR(__xludf.DUMMYFUNCTION("""COMPUTED_VALUE"""),"JC8335")</f>
        <v>JC8335</v>
      </c>
      <c r="B163" s="28" t="str">
        <f>IFERROR(__xludf.DUMMYFUNCTION("""COMPUTED_VALUE"""),"Colosimo")</f>
        <v>Colosimo</v>
      </c>
      <c r="C163" s="28" t="str">
        <f>IFERROR(__xludf.DUMMYFUNCTION("""COMPUTED_VALUE"""),"Jillian")</f>
        <v>Jillian</v>
      </c>
      <c r="D163" s="28" t="str">
        <f>IFERROR(__xludf.DUMMYFUNCTION("""COMPUTED_VALUE"""),"she/her")</f>
        <v>she/her</v>
      </c>
      <c r="E163" s="28" t="str">
        <f>IFERROR(__xludf.DUMMYFUNCTION("""COMPUTED_VALUE"""),"Snare")</f>
        <v>Snare</v>
      </c>
      <c r="F163" s="28">
        <f>IFERROR(__xludf.DUMMYFUNCTION("""COMPUTED_VALUE"""),20.0)</f>
        <v>20</v>
      </c>
      <c r="G163" s="28" t="str">
        <f>IFERROR(__xludf.DUMMYFUNCTION("""COMPUTED_VALUE"""),"hs")</f>
        <v>hs</v>
      </c>
      <c r="H163" s="28" t="str">
        <f>IFERROR(__xludf.DUMMYFUNCTION("""COMPUTED_VALUE"""),"- Marched snare with SLW Centennial High School 2017-2021 (center snare and percussion captain in 2020-21)
- Received 17 superiors at Solo and Ensemble between 2017-2021 on snare, tenor and mallet solos and percussion ensembles (including straight superio"&amp;"rs on Chopstakovich)
- Wrote music for a five movement indoor percussion ensemble in 2021 (was not performed because of Covid) 
- Marched snare with UF's Florida Drum Line 2022-present")</f>
        <v>- Marched snare with SLW Centennial High School 2017-2021 (center snare and percussion captain in 2020-21)
- Received 17 superiors at Solo and Ensemble between 2017-2021 on snare, tenor and mallet solos and percussion ensembles (including straight superiors on Chopstakovich)
- Wrote music for a five movement indoor percussion ensemble in 2021 (was not performed because of Covid) 
- Marched snare with UF's Florida Drum Line 2022-present</v>
      </c>
      <c r="I163" s="28" t="str">
        <f>IFERROR(__xludf.DUMMYFUNCTION("""COMPUTED_VALUE"""),"Jillian Colosimo")</f>
        <v>Jillian Colosimo</v>
      </c>
      <c r="J163" s="28" t="str">
        <f>IFERROR(__xludf.DUMMYFUNCTION("""COMPUTED_VALUE"""),"jillianmcolosimo@gmail.com")</f>
        <v>jillianmcolosimo@gmail.com</v>
      </c>
      <c r="K163" s="28"/>
    </row>
    <row r="164">
      <c r="A164" s="28" t="str">
        <f>IFERROR(__xludf.DUMMYFUNCTION("""COMPUTED_VALUE"""),"AP8338")</f>
        <v>AP8338</v>
      </c>
      <c r="B164" s="28" t="str">
        <f>IFERROR(__xludf.DUMMYFUNCTION("""COMPUTED_VALUE"""),"Pelfrey")</f>
        <v>Pelfrey</v>
      </c>
      <c r="C164" s="28" t="str">
        <f>IFERROR(__xludf.DUMMYFUNCTION("""COMPUTED_VALUE"""),"Autumn")</f>
        <v>Autumn</v>
      </c>
      <c r="D164" s="28" t="str">
        <f>IFERROR(__xludf.DUMMYFUNCTION("""COMPUTED_VALUE"""),"She/They")</f>
        <v>She/They</v>
      </c>
      <c r="E164" s="28" t="str">
        <f>IFERROR(__xludf.DUMMYFUNCTION("""COMPUTED_VALUE"""),"Visual Ensemble")</f>
        <v>Visual Ensemble</v>
      </c>
      <c r="F164" s="28">
        <f>IFERROR(__xludf.DUMMYFUNCTION("""COMPUTED_VALUE"""),18.0)</f>
        <v>18</v>
      </c>
      <c r="G164" s="28" t="str">
        <f>IFERROR(__xludf.DUMMYFUNCTION("""COMPUTED_VALUE"""),"hs")</f>
        <v>hs</v>
      </c>
      <c r="H164" s="25" t="str">
        <f>IFERROR(__xludf.DUMMYFUNCTION("""COMPUTED_VALUE"""),"High school varsity winter guard (3 years) indoor winds (1 year) marching band (4 years)")</f>
        <v>High school varsity winter guard (3 years) indoor winds (1 year) marching band (4 years)</v>
      </c>
      <c r="I164" s="28" t="str">
        <f>IFERROR(__xludf.DUMMYFUNCTION("""COMPUTED_VALUE"""),"Autumn Pelfrey")</f>
        <v>Autumn Pelfrey</v>
      </c>
      <c r="J164" s="28" t="str">
        <f>IFERROR(__xludf.DUMMYFUNCTION("""COMPUTED_VALUE"""),"autumnpelfrey.g@gmail.com")</f>
        <v>autumnpelfrey.g@gmail.com</v>
      </c>
      <c r="K164" s="28"/>
    </row>
    <row r="165">
      <c r="A165" s="25" t="str">
        <f>IFERROR(__xludf.DUMMYFUNCTION("""COMPUTED_VALUE"""),"KS8339")</f>
        <v>KS8339</v>
      </c>
      <c r="B165" s="25" t="str">
        <f>IFERROR(__xludf.DUMMYFUNCTION("""COMPUTED_VALUE"""),"Smith")</f>
        <v>Smith</v>
      </c>
      <c r="C165" s="25" t="str">
        <f>IFERROR(__xludf.DUMMYFUNCTION("""COMPUTED_VALUE"""),"Kenzie")</f>
        <v>Kenzie</v>
      </c>
      <c r="D165" s="25" t="str">
        <f>IFERROR(__xludf.DUMMYFUNCTION("""COMPUTED_VALUE"""),"she/her")</f>
        <v>she/her</v>
      </c>
      <c r="E165" s="25" t="str">
        <f>IFERROR(__xludf.DUMMYFUNCTION("""COMPUTED_VALUE"""),"Visual Ensemble")</f>
        <v>Visual Ensemble</v>
      </c>
      <c r="F165" s="25">
        <f>IFERROR(__xludf.DUMMYFUNCTION("""COMPUTED_VALUE"""),17.0)</f>
        <v>17</v>
      </c>
      <c r="G165" s="25" t="str">
        <f>IFERROR(__xludf.DUMMYFUNCTION("""COMPUTED_VALUE"""),"hs")</f>
        <v>hs</v>
      </c>
      <c r="H165" s="25" t="str">
        <f>IFERROR(__xludf.DUMMYFUNCTION("""COMPUTED_VALUE"""),"Competitive Dancer 2013-2019 (Jazz, Tap, Ballet, Lyrical)
Color Guard 2020- present (flag, rifle, saber)")</f>
        <v>Competitive Dancer 2013-2019 (Jazz, Tap, Ballet, Lyrical)
Color Guard 2020- present (flag, rifle, saber)</v>
      </c>
      <c r="I165" s="28" t="str">
        <f>IFERROR(__xludf.DUMMYFUNCTION("""COMPUTED_VALUE"""),"Kenzie Smith")</f>
        <v>Kenzie Smith</v>
      </c>
      <c r="J165" s="28" t="str">
        <f>IFERROR(__xludf.DUMMYFUNCTION("""COMPUTED_VALUE"""),"jwsmith04@yahoo.com")</f>
        <v>jwsmith04@yahoo.com</v>
      </c>
      <c r="K165" s="28"/>
    </row>
    <row r="166">
      <c r="A166" s="25" t="str">
        <f>IFERROR(__xludf.DUMMYFUNCTION("""COMPUTED_VALUE"""),"AS8340")</f>
        <v>AS8340</v>
      </c>
      <c r="B166" s="25" t="str">
        <f>IFERROR(__xludf.DUMMYFUNCTION("""COMPUTED_VALUE"""),"Simon")</f>
        <v>Simon</v>
      </c>
      <c r="C166" s="25" t="str">
        <f>IFERROR(__xludf.DUMMYFUNCTION("""COMPUTED_VALUE"""),"Alex")</f>
        <v>Alex</v>
      </c>
      <c r="D166" s="25" t="str">
        <f>IFERROR(__xludf.DUMMYFUNCTION("""COMPUTED_VALUE"""),"he/him")</f>
        <v>he/him</v>
      </c>
      <c r="E166" s="25" t="str">
        <f>IFERROR(__xludf.DUMMYFUNCTION("""COMPUTED_VALUE"""),"Snare")</f>
        <v>Snare</v>
      </c>
      <c r="F166" s="25">
        <f>IFERROR(__xludf.DUMMYFUNCTION("""COMPUTED_VALUE"""),22.0)</f>
        <v>22</v>
      </c>
      <c r="G166" s="25" t="str">
        <f>IFERROR(__xludf.DUMMYFUNCTION("""COMPUTED_VALUE"""),"piw")</f>
        <v>piw</v>
      </c>
      <c r="H166" s="25" t="str">
        <f>IFERROR(__xludf.DUMMYFUNCTION("""COMPUTED_VALUE"""),"Atlantic Community High School '18-'19
Atlantic Indoor Percussion '20
STRYKE Percussion 2 '20
Florida State Marching Chiefs '20-'23
Raiders Drum and Bugle Corps '22-'23")</f>
        <v>Atlantic Community High School '18-'19
Atlantic Indoor Percussion '20
STRYKE Percussion 2 '20
Florida State Marching Chiefs '20-'23
Raiders Drum and Bugle Corps '22-'23</v>
      </c>
      <c r="I166" s="28" t="str">
        <f>IFERROR(__xludf.DUMMYFUNCTION("""COMPUTED_VALUE"""),"Alex Simon")</f>
        <v>Alex Simon</v>
      </c>
      <c r="J166" s="28" t="str">
        <f>IFERROR(__xludf.DUMMYFUNCTION("""COMPUTED_VALUE"""),"asimon1232@gmail.com")</f>
        <v>asimon1232@gmail.com</v>
      </c>
      <c r="K166" s="28"/>
    </row>
    <row r="167">
      <c r="A167" s="25" t="str">
        <f>IFERROR(__xludf.DUMMYFUNCTION("""COMPUTED_VALUE"""),"JG8342")</f>
        <v>JG8342</v>
      </c>
      <c r="B167" s="25" t="str">
        <f>IFERROR(__xludf.DUMMYFUNCTION("""COMPUTED_VALUE"""),"Gallo")</f>
        <v>Gallo</v>
      </c>
      <c r="C167" s="25" t="str">
        <f>IFERROR(__xludf.DUMMYFUNCTION("""COMPUTED_VALUE"""),"Jack")</f>
        <v>Jack</v>
      </c>
      <c r="D167" s="25" t="str">
        <f>IFERROR(__xludf.DUMMYFUNCTION("""COMPUTED_VALUE"""),"He/Him")</f>
        <v>He/Him</v>
      </c>
      <c r="E167" s="25" t="str">
        <f>IFERROR(__xludf.DUMMYFUNCTION("""COMPUTED_VALUE"""),"Bass")</f>
        <v>Bass</v>
      </c>
      <c r="F167" s="25">
        <f>IFERROR(__xludf.DUMMYFUNCTION("""COMPUTED_VALUE"""),18.0)</f>
        <v>18</v>
      </c>
      <c r="G167" s="25" t="str">
        <f>IFERROR(__xludf.DUMMYFUNCTION("""COMPUTED_VALUE"""),"pia")</f>
        <v>pia</v>
      </c>
      <c r="H167" s="25" t="str">
        <f>IFERROR(__xludf.DUMMYFUNCTION("""COMPUTED_VALUE"""),"Rpt Percussion 2022 and 2023
Heatwave 2022
Colt Cadets 2023")</f>
        <v>Rpt Percussion 2022 and 2023
Heatwave 2022
Colt Cadets 2023</v>
      </c>
      <c r="I167" s="28" t="str">
        <f>IFERROR(__xludf.DUMMYFUNCTION("""COMPUTED_VALUE"""),"Jack Gallo")</f>
        <v>Jack Gallo</v>
      </c>
      <c r="J167" s="28" t="str">
        <f>IFERROR(__xludf.DUMMYFUNCTION("""COMPUTED_VALUE"""),"Jwagallo@icloud.com")</f>
        <v>Jwagallo@icloud.com</v>
      </c>
      <c r="K167" s="28"/>
    </row>
    <row r="168">
      <c r="A168" s="25" t="str">
        <f>IFERROR(__xludf.DUMMYFUNCTION("""COMPUTED_VALUE"""),"WL8316")</f>
        <v>WL8316</v>
      </c>
      <c r="B168" s="25" t="str">
        <f>IFERROR(__xludf.DUMMYFUNCTION("""COMPUTED_VALUE"""),"Lloyd")</f>
        <v>Lloyd</v>
      </c>
      <c r="C168" s="25" t="str">
        <f>IFERROR(__xludf.DUMMYFUNCTION("""COMPUTED_VALUE"""),"Will")</f>
        <v>Will</v>
      </c>
      <c r="D168" s="25" t="str">
        <f>IFERROR(__xludf.DUMMYFUNCTION("""COMPUTED_VALUE"""),"He/Him")</f>
        <v>He/Him</v>
      </c>
      <c r="E168" s="25" t="str">
        <f>IFERROR(__xludf.DUMMYFUNCTION("""COMPUTED_VALUE"""),"Tenor")</f>
        <v>Tenor</v>
      </c>
      <c r="F168" s="25">
        <f>IFERROR(__xludf.DUMMYFUNCTION("""COMPUTED_VALUE"""),22.0)</f>
        <v>22</v>
      </c>
      <c r="G168" s="25" t="str">
        <f>IFERROR(__xludf.DUMMYFUNCTION("""COMPUTED_VALUE"""),"i1")</f>
        <v>i1</v>
      </c>
      <c r="H168" s="25" t="str">
        <f>IFERROR(__xludf.DUMMYFUNCTION("""COMPUTED_VALUE"""),"DCI: Southwind ‘19, Spirit of Atlanta ‘20-‘21, Boston Crusaders ‘22-‘23
WGI: RPT ‘18, Infinity 3 ‘19, Infinity 2 ‘20, Infinity ‘21-‘23")</f>
        <v>DCI: Southwind ‘19, Spirit of Atlanta ‘20-‘21, Boston Crusaders ‘22-‘23
WGI: RPT ‘18, Infinity 3 ‘19, Infinity 2 ‘20, Infinity ‘21-‘23</v>
      </c>
      <c r="I168" s="28" t="str">
        <f>IFERROR(__xludf.DUMMYFUNCTION("""COMPUTED_VALUE"""),"Will Lloyd")</f>
        <v>Will Lloyd</v>
      </c>
      <c r="J168" s="28" t="str">
        <f>IFERROR(__xludf.DUMMYFUNCTION("""COMPUTED_VALUE"""),"willsvidz@gmail.com")</f>
        <v>willsvidz@gmail.com</v>
      </c>
      <c r="K168" s="28"/>
    </row>
    <row r="169">
      <c r="A169" s="25" t="str">
        <f>IFERROR(__xludf.DUMMYFUNCTION("""COMPUTED_VALUE"""),"KH8344")</f>
        <v>KH8344</v>
      </c>
      <c r="B169" s="25" t="str">
        <f>IFERROR(__xludf.DUMMYFUNCTION("""COMPUTED_VALUE"""),"Herrera")</f>
        <v>Herrera</v>
      </c>
      <c r="C169" s="25" t="str">
        <f>IFERROR(__xludf.DUMMYFUNCTION("""COMPUTED_VALUE"""),"Kenzie")</f>
        <v>Kenzie</v>
      </c>
      <c r="D169" s="25" t="str">
        <f>IFERROR(__xludf.DUMMYFUNCTION("""COMPUTED_VALUE"""),"He/him ")</f>
        <v>He/him </v>
      </c>
      <c r="E169" s="25" t="str">
        <f>IFERROR(__xludf.DUMMYFUNCTION("""COMPUTED_VALUE"""),"Bass")</f>
        <v>Bass</v>
      </c>
      <c r="F169" s="25">
        <f>IFERROR(__xludf.DUMMYFUNCTION("""COMPUTED_VALUE"""),15.0)</f>
        <v>15</v>
      </c>
      <c r="G169" s="25" t="str">
        <f>IFERROR(__xludf.DUMMYFUNCTION("""COMPUTED_VALUE"""),"hs")</f>
        <v>hs</v>
      </c>
      <c r="H169" s="25" t="str">
        <f>IFERROR(__xludf.DUMMYFUNCTION("""COMPUTED_VALUE"""),"High school ")</f>
        <v>High school </v>
      </c>
      <c r="I169" s="28" t="str">
        <f>IFERROR(__xludf.DUMMYFUNCTION("""COMPUTED_VALUE"""),"Kenzie Herrera")</f>
        <v>Kenzie Herrera</v>
      </c>
      <c r="J169" s="28" t="str">
        <f>IFERROR(__xludf.DUMMYFUNCTION("""COMPUTED_VALUE"""),"JosephAHerrera08@gmail.com")</f>
        <v>JosephAHerrera08@gmail.com</v>
      </c>
      <c r="K169" s="28"/>
    </row>
    <row r="170">
      <c r="A170" s="25" t="str">
        <f>IFERROR(__xludf.DUMMYFUNCTION("""COMPUTED_VALUE"""),"KF8345")</f>
        <v>KF8345</v>
      </c>
      <c r="B170" s="25" t="str">
        <f>IFERROR(__xludf.DUMMYFUNCTION("""COMPUTED_VALUE"""),"Frank")</f>
        <v>Frank</v>
      </c>
      <c r="C170" s="25" t="str">
        <f>IFERROR(__xludf.DUMMYFUNCTION("""COMPUTED_VALUE"""),"Kortney ")</f>
        <v>Kortney </v>
      </c>
      <c r="D170" s="25" t="str">
        <f>IFERROR(__xludf.DUMMYFUNCTION("""COMPUTED_VALUE"""),"She/her")</f>
        <v>She/her</v>
      </c>
      <c r="E170" s="25" t="str">
        <f>IFERROR(__xludf.DUMMYFUNCTION("""COMPUTED_VALUE"""),"Cymbals")</f>
        <v>Cymbals</v>
      </c>
      <c r="F170" s="25">
        <f>IFERROR(__xludf.DUMMYFUNCTION("""COMPUTED_VALUE"""),20.0)</f>
        <v>20</v>
      </c>
      <c r="G170" s="25" t="str">
        <f>IFERROR(__xludf.DUMMYFUNCTION("""COMPUTED_VALUE"""),"i3")</f>
        <v>i3</v>
      </c>
      <c r="H170" s="25" t="str">
        <f>IFERROR(__xludf.DUMMYFUNCTION("""COMPUTED_VALUE"""),"Bell high school 2017
Santa Fe high school 2018
Santa Fe high school 2019
Unity 2020
Santa Fe 2022
Infinity 3 2023")</f>
        <v>Bell high school 2017
Santa Fe high school 2018
Santa Fe high school 2019
Unity 2020
Santa Fe 2022
Infinity 3 2023</v>
      </c>
      <c r="I170" s="28" t="str">
        <f>IFERROR(__xludf.DUMMYFUNCTION("""COMPUTED_VALUE"""),"Kortney  Frank")</f>
        <v>Kortney  Frank</v>
      </c>
      <c r="J170" s="28" t="str">
        <f>IFERROR(__xludf.DUMMYFUNCTION("""COMPUTED_VALUE"""),"kortneyfrank55@gmail.com")</f>
        <v>kortneyfrank55@gmail.com</v>
      </c>
      <c r="K170" s="28"/>
    </row>
    <row r="171">
      <c r="A171" s="25" t="str">
        <f>IFERROR(__xludf.DUMMYFUNCTION("""COMPUTED_VALUE"""),"LH8282")</f>
        <v>LH8282</v>
      </c>
      <c r="B171" s="25" t="str">
        <f>IFERROR(__xludf.DUMMYFUNCTION("""COMPUTED_VALUE"""),"Heard")</f>
        <v>Heard</v>
      </c>
      <c r="C171" s="25" t="str">
        <f>IFERROR(__xludf.DUMMYFUNCTION("""COMPUTED_VALUE"""),"Lawson")</f>
        <v>Lawson</v>
      </c>
      <c r="D171" s="25"/>
      <c r="E171" s="25" t="str">
        <f>IFERROR(__xludf.DUMMYFUNCTION("""COMPUTED_VALUE"""),"Snare")</f>
        <v>Snare</v>
      </c>
      <c r="F171" s="25">
        <f>IFERROR(__xludf.DUMMYFUNCTION("""COMPUTED_VALUE"""),17.0)</f>
        <v>17</v>
      </c>
      <c r="G171" s="25" t="str">
        <f>IFERROR(__xludf.DUMMYFUNCTION("""COMPUTED_VALUE"""),"pia")</f>
        <v>pia</v>
      </c>
      <c r="H171" s="25" t="str">
        <f>IFERROR(__xludf.DUMMYFUNCTION("""COMPUTED_VALUE"""),"Rpt percussion, lake minneola high school")</f>
        <v>Rpt percussion, lake minneola high school</v>
      </c>
      <c r="I171" s="28" t="str">
        <f>IFERROR(__xludf.DUMMYFUNCTION("""COMPUTED_VALUE"""),"Lawson Heard")</f>
        <v>Lawson Heard</v>
      </c>
      <c r="J171" s="28" t="str">
        <f>IFERROR(__xludf.DUMMYFUNCTION("""COMPUTED_VALUE"""),"lawsonheard12@gmail.com")</f>
        <v>lawsonheard12@gmail.com</v>
      </c>
      <c r="K171" s="28"/>
    </row>
    <row r="172">
      <c r="A172" s="25" t="str">
        <f>IFERROR(__xludf.DUMMYFUNCTION("""COMPUTED_VALUE"""),"KM8224")</f>
        <v>KM8224</v>
      </c>
      <c r="B172" s="25" t="str">
        <f>IFERROR(__xludf.DUMMYFUNCTION("""COMPUTED_VALUE"""),"Murphy")</f>
        <v>Murphy</v>
      </c>
      <c r="C172" s="25" t="str">
        <f>IFERROR(__xludf.DUMMYFUNCTION("""COMPUTED_VALUE"""),"Kyle")</f>
        <v>Kyle</v>
      </c>
      <c r="D172" s="25"/>
      <c r="E172" s="25" t="str">
        <f>IFERROR(__xludf.DUMMYFUNCTION("""COMPUTED_VALUE"""),"Tenor")</f>
        <v>Tenor</v>
      </c>
      <c r="F172" s="25">
        <f>IFERROR(__xludf.DUMMYFUNCTION("""COMPUTED_VALUE"""),21.0)</f>
        <v>21</v>
      </c>
      <c r="G172" s="25" t="str">
        <f>IFERROR(__xludf.DUMMYFUNCTION("""COMPUTED_VALUE"""),"hs")</f>
        <v>hs</v>
      </c>
      <c r="H172" s="25" t="str">
        <f>IFERROR(__xludf.DUMMYFUNCTION("""COMPUTED_VALUE"""),"Durant High School 2016-2020
HB Plant Indoor Percussion 2018
University Of South Florida 2021-Current")</f>
        <v>Durant High School 2016-2020
HB Plant Indoor Percussion 2018
University Of South Florida 2021-Current</v>
      </c>
      <c r="I172" s="28" t="str">
        <f>IFERROR(__xludf.DUMMYFUNCTION("""COMPUTED_VALUE"""),"Kyle Murphy")</f>
        <v>Kyle Murphy</v>
      </c>
      <c r="J172" s="28" t="str">
        <f>IFERROR(__xludf.DUMMYFUNCTION("""COMPUTED_VALUE"""),"kylemurphy0527@gmail.com")</f>
        <v>kylemurphy0527@gmail.com</v>
      </c>
      <c r="K172" s="28"/>
    </row>
    <row r="173">
      <c r="A173" s="25" t="str">
        <f>IFERROR(__xludf.DUMMYFUNCTION("""COMPUTED_VALUE"""),"BD8337")</f>
        <v>BD8337</v>
      </c>
      <c r="B173" s="25" t="str">
        <f>IFERROR(__xludf.DUMMYFUNCTION("""COMPUTED_VALUE"""),"Davis")</f>
        <v>Davis</v>
      </c>
      <c r="C173" s="25" t="str">
        <f>IFERROR(__xludf.DUMMYFUNCTION("""COMPUTED_VALUE"""),"Brandon")</f>
        <v>Brandon</v>
      </c>
      <c r="D173" s="25" t="str">
        <f>IFERROR(__xludf.DUMMYFUNCTION("""COMPUTED_VALUE"""),"He/Him/His")</f>
        <v>He/Him/His</v>
      </c>
      <c r="E173" s="25" t="str">
        <f>IFERROR(__xludf.DUMMYFUNCTION("""COMPUTED_VALUE"""),"Cymbals")</f>
        <v>Cymbals</v>
      </c>
      <c r="F173" s="25">
        <f>IFERROR(__xludf.DUMMYFUNCTION("""COMPUTED_VALUE"""),22.0)</f>
        <v>22</v>
      </c>
      <c r="G173" s="25"/>
      <c r="H173" s="25" t="str">
        <f>IFERROR(__xludf.DUMMYFUNCTION("""COMPUTED_VALUE"""),"Gator Band 2020-2023 Cymbals
Gator Band 2024 Snare")</f>
        <v>Gator Band 2020-2023 Cymbals
Gator Band 2024 Snare</v>
      </c>
      <c r="I173" s="28" t="str">
        <f>IFERROR(__xludf.DUMMYFUNCTION("""COMPUTED_VALUE"""),"Brandon Davis")</f>
        <v>Brandon Davis</v>
      </c>
      <c r="J173" s="28" t="str">
        <f>IFERROR(__xludf.DUMMYFUNCTION("""COMPUTED_VALUE"""),"brandondavis@ufl.edu")</f>
        <v>brandondavis@ufl.edu</v>
      </c>
      <c r="K173" s="28"/>
    </row>
    <row r="174">
      <c r="A174" s="25" t="str">
        <f>IFERROR(__xludf.DUMMYFUNCTION("""COMPUTED_VALUE"""),"NB8055")</f>
        <v>NB8055</v>
      </c>
      <c r="B174" s="25" t="str">
        <f>IFERROR(__xludf.DUMMYFUNCTION("""COMPUTED_VALUE"""),"Bennett")</f>
        <v>Bennett</v>
      </c>
      <c r="C174" s="25" t="str">
        <f>IFERROR(__xludf.DUMMYFUNCTION("""COMPUTED_VALUE"""),"Noah")</f>
        <v>Noah</v>
      </c>
      <c r="D174" s="25" t="str">
        <f>IFERROR(__xludf.DUMMYFUNCTION("""COMPUTED_VALUE"""),"he/him")</f>
        <v>he/him</v>
      </c>
      <c r="E174" s="25" t="str">
        <f>IFERROR(__xludf.DUMMYFUNCTION("""COMPUTED_VALUE"""),"Tenor")</f>
        <v>Tenor</v>
      </c>
      <c r="F174" s="25">
        <f>IFERROR(__xludf.DUMMYFUNCTION("""COMPUTED_VALUE"""),20.0)</f>
        <v>20</v>
      </c>
      <c r="G174" s="25"/>
      <c r="H174" s="25" t="str">
        <f>IFERROR(__xludf.DUMMYFUNCTION("""COMPUTED_VALUE"""),"SIPE 2019-2021, Stryke Percussion 2 2022, Atlas Percussion 2023")</f>
        <v>SIPE 2019-2021, Stryke Percussion 2 2022, Atlas Percussion 2023</v>
      </c>
      <c r="I174" s="28" t="str">
        <f>IFERROR(__xludf.DUMMYFUNCTION("""COMPUTED_VALUE"""),"Noah Bennett")</f>
        <v>Noah Bennett</v>
      </c>
      <c r="J174" s="28" t="str">
        <f>IFERROR(__xludf.DUMMYFUNCTION("""COMPUTED_VALUE"""),"noahx04@gmail.com")</f>
        <v>noahx04@gmail.com</v>
      </c>
      <c r="K174" s="28"/>
    </row>
    <row r="175">
      <c r="A175" s="25" t="str">
        <f>IFERROR(__xludf.DUMMYFUNCTION("""COMPUTED_VALUE"""),"JV8292")</f>
        <v>JV8292</v>
      </c>
      <c r="B175" s="25" t="str">
        <f>IFERROR(__xludf.DUMMYFUNCTION("""COMPUTED_VALUE"""),"Van Patten")</f>
        <v>Van Patten</v>
      </c>
      <c r="C175" s="25" t="str">
        <f>IFERROR(__xludf.DUMMYFUNCTION("""COMPUTED_VALUE"""),"Josh")</f>
        <v>Josh</v>
      </c>
      <c r="D175" s="25" t="str">
        <f>IFERROR(__xludf.DUMMYFUNCTION("""COMPUTED_VALUE"""),"Him")</f>
        <v>Him</v>
      </c>
      <c r="E175" s="25" t="str">
        <f>IFERROR(__xludf.DUMMYFUNCTION("""COMPUTED_VALUE"""),"Snare")</f>
        <v>Snare</v>
      </c>
      <c r="F175" s="25">
        <f>IFERROR(__xludf.DUMMYFUNCTION("""COMPUTED_VALUE"""),18.0)</f>
        <v>18</v>
      </c>
      <c r="G175" s="25"/>
      <c r="H175" s="25" t="str">
        <f>IFERROR(__xludf.DUMMYFUNCTION("""COMPUTED_VALUE"""),"High school band competitions, 2022 new years rose parade")</f>
        <v>High school band competitions, 2022 new years rose parade</v>
      </c>
      <c r="I175" s="28" t="str">
        <f>IFERROR(__xludf.DUMMYFUNCTION("""COMPUTED_VALUE"""),"Josh Van Patten")</f>
        <v>Josh Van Patten</v>
      </c>
      <c r="J175" s="28" t="str">
        <f>IFERROR(__xludf.DUMMYFUNCTION("""COMPUTED_VALUE"""),"Dextur06@gmail.com")</f>
        <v>Dextur06@gmail.com</v>
      </c>
      <c r="K175" s="28"/>
    </row>
    <row r="176">
      <c r="A176" s="25" t="str">
        <f>IFERROR(__xludf.DUMMYFUNCTION("""COMPUTED_VALUE"""),"EB8180")</f>
        <v>EB8180</v>
      </c>
      <c r="B176" s="25" t="str">
        <f>IFERROR(__xludf.DUMMYFUNCTION("""COMPUTED_VALUE"""),"Burgos")</f>
        <v>Burgos</v>
      </c>
      <c r="C176" s="25" t="str">
        <f>IFERROR(__xludf.DUMMYFUNCTION("""COMPUTED_VALUE"""),"Emily")</f>
        <v>Emily</v>
      </c>
      <c r="D176" s="25" t="str">
        <f>IFERROR(__xludf.DUMMYFUNCTION("""COMPUTED_VALUE"""),"She/her")</f>
        <v>She/her</v>
      </c>
      <c r="E176" s="25" t="str">
        <f>IFERROR(__xludf.DUMMYFUNCTION("""COMPUTED_VALUE"""),"Visual Ensemble")</f>
        <v>Visual Ensemble</v>
      </c>
      <c r="F176" s="25">
        <f>IFERROR(__xludf.DUMMYFUNCTION("""COMPUTED_VALUE"""),20.0)</f>
        <v>20</v>
      </c>
      <c r="G176" s="25"/>
      <c r="H176" s="25" t="str">
        <f>IFERROR(__xludf.DUMMYFUNCTION("""COMPUTED_VALUE"""),"Cypress Creek High School Band 2013-2022")</f>
        <v>Cypress Creek High School Band 2013-2022</v>
      </c>
      <c r="I176" s="28" t="str">
        <f>IFERROR(__xludf.DUMMYFUNCTION("""COMPUTED_VALUE"""),"Emily Burgos")</f>
        <v>Emily Burgos</v>
      </c>
      <c r="J176" s="28" t="str">
        <f>IFERROR(__xludf.DUMMYFUNCTION("""COMPUTED_VALUE"""),"emmyburgos03@gmail.com")</f>
        <v>emmyburgos03@gmail.com</v>
      </c>
      <c r="K176" s="28"/>
    </row>
    <row r="177">
      <c r="A177" s="25"/>
      <c r="B177" s="25"/>
      <c r="C177" s="25"/>
      <c r="D177" s="25"/>
      <c r="E177" s="25"/>
      <c r="F177" s="25"/>
      <c r="G177" s="25"/>
      <c r="H177" s="25"/>
      <c r="I177" s="28" t="str">
        <f>IFERROR(__xludf.DUMMYFUNCTION("""COMPUTED_VALUE""")," ")</f>
        <v> </v>
      </c>
      <c r="J177" s="28"/>
      <c r="K177" s="28"/>
    </row>
    <row r="178">
      <c r="A178" s="25"/>
      <c r="B178" s="25"/>
      <c r="C178" s="25"/>
      <c r="D178" s="25"/>
      <c r="E178" s="25"/>
      <c r="F178" s="25"/>
      <c r="G178" s="25"/>
      <c r="H178" s="25"/>
      <c r="I178" s="28" t="str">
        <f>IFERROR(__xludf.DUMMYFUNCTION("""COMPUTED_VALUE""")," ")</f>
        <v> </v>
      </c>
      <c r="J178" s="28"/>
      <c r="K178" s="28"/>
    </row>
    <row r="179">
      <c r="A179" s="25"/>
      <c r="B179" s="25"/>
      <c r="C179" s="25"/>
      <c r="D179" s="25"/>
      <c r="E179" s="25"/>
      <c r="F179" s="25"/>
      <c r="G179" s="25"/>
      <c r="H179" s="25"/>
      <c r="I179" s="28" t="str">
        <f>IFERROR(__xludf.DUMMYFUNCTION("""COMPUTED_VALUE""")," ")</f>
        <v> </v>
      </c>
      <c r="J179" s="28"/>
      <c r="K179" s="28"/>
    </row>
    <row r="180">
      <c r="A180" s="25"/>
      <c r="B180" s="25"/>
      <c r="C180" s="25"/>
      <c r="D180" s="25"/>
      <c r="E180" s="25"/>
      <c r="F180" s="25"/>
      <c r="G180" s="25"/>
      <c r="H180" s="25"/>
      <c r="I180" s="28" t="str">
        <f>IFERROR(__xludf.DUMMYFUNCTION("""COMPUTED_VALUE""")," ")</f>
        <v> </v>
      </c>
      <c r="J180" s="28"/>
      <c r="K180" s="28"/>
    </row>
    <row r="181">
      <c r="A181" s="25"/>
      <c r="B181" s="25"/>
      <c r="C181" s="25"/>
      <c r="D181" s="25"/>
      <c r="E181" s="25"/>
      <c r="F181" s="25"/>
      <c r="G181" s="25"/>
      <c r="H181" s="25"/>
      <c r="I181" s="28" t="str">
        <f>IFERROR(__xludf.DUMMYFUNCTION("""COMPUTED_VALUE""")," ")</f>
        <v> </v>
      </c>
      <c r="J181" s="28"/>
      <c r="K181" s="28"/>
    </row>
    <row r="182">
      <c r="A182" s="25"/>
      <c r="B182" s="25"/>
      <c r="C182" s="25"/>
      <c r="D182" s="25"/>
      <c r="E182" s="25"/>
      <c r="F182" s="25"/>
      <c r="G182" s="25"/>
      <c r="H182" s="25"/>
      <c r="I182" s="28" t="str">
        <f>IFERROR(__xludf.DUMMYFUNCTION("""COMPUTED_VALUE""")," ")</f>
        <v> </v>
      </c>
      <c r="J182" s="28"/>
      <c r="K182" s="28"/>
    </row>
    <row r="183">
      <c r="A183" s="25"/>
      <c r="B183" s="25"/>
      <c r="C183" s="25"/>
      <c r="D183" s="25"/>
      <c r="E183" s="25"/>
      <c r="F183" s="25"/>
      <c r="G183" s="25"/>
      <c r="H183" s="25"/>
      <c r="I183" s="28" t="str">
        <f>IFERROR(__xludf.DUMMYFUNCTION("""COMPUTED_VALUE""")," ")</f>
        <v> </v>
      </c>
      <c r="J183" s="28"/>
      <c r="K183" s="28"/>
    </row>
    <row r="184">
      <c r="A184" s="25"/>
      <c r="B184" s="25"/>
      <c r="C184" s="25"/>
      <c r="D184" s="25"/>
      <c r="E184" s="25"/>
      <c r="F184" s="25"/>
      <c r="G184" s="25"/>
      <c r="H184" s="25"/>
      <c r="I184" s="28" t="str">
        <f>IFERROR(__xludf.DUMMYFUNCTION("""COMPUTED_VALUE""")," ")</f>
        <v> </v>
      </c>
      <c r="J184" s="28"/>
      <c r="K184" s="28"/>
    </row>
    <row r="185">
      <c r="A185" s="25"/>
      <c r="B185" s="25"/>
      <c r="C185" s="25"/>
      <c r="D185" s="25"/>
      <c r="E185" s="25"/>
      <c r="F185" s="25"/>
      <c r="G185" s="25"/>
      <c r="H185" s="25"/>
      <c r="I185" s="28" t="str">
        <f>IFERROR(__xludf.DUMMYFUNCTION("""COMPUTED_VALUE""")," ")</f>
        <v> </v>
      </c>
      <c r="J185" s="28"/>
      <c r="K185" s="28"/>
    </row>
    <row r="186">
      <c r="A186" s="25"/>
      <c r="B186" s="25"/>
      <c r="C186" s="25"/>
      <c r="D186" s="25"/>
      <c r="E186" s="25"/>
      <c r="F186" s="25"/>
      <c r="G186" s="25"/>
      <c r="H186" s="25"/>
      <c r="I186" s="28" t="str">
        <f>IFERROR(__xludf.DUMMYFUNCTION("""COMPUTED_VALUE""")," ")</f>
        <v> </v>
      </c>
      <c r="J186" s="28"/>
      <c r="K186" s="28"/>
    </row>
    <row r="187">
      <c r="A187" s="25"/>
      <c r="B187" s="25"/>
      <c r="C187" s="25"/>
      <c r="D187" s="25"/>
      <c r="E187" s="25"/>
      <c r="F187" s="25"/>
      <c r="G187" s="25"/>
      <c r="H187" s="25"/>
      <c r="I187" s="28" t="str">
        <f>IFERROR(__xludf.DUMMYFUNCTION("""COMPUTED_VALUE""")," ")</f>
        <v> </v>
      </c>
      <c r="J187" s="28"/>
      <c r="K187" s="28"/>
    </row>
    <row r="188">
      <c r="A188" s="25"/>
      <c r="B188" s="25"/>
      <c r="C188" s="25"/>
      <c r="D188" s="25"/>
      <c r="E188" s="25"/>
      <c r="F188" s="25"/>
      <c r="G188" s="25"/>
      <c r="H188" s="25"/>
      <c r="I188" s="28" t="str">
        <f>IFERROR(__xludf.DUMMYFUNCTION("""COMPUTED_VALUE""")," ")</f>
        <v> </v>
      </c>
      <c r="J188" s="28"/>
      <c r="K188" s="28"/>
    </row>
    <row r="189">
      <c r="A189" s="24"/>
      <c r="B189" s="11"/>
      <c r="C189" s="24"/>
      <c r="D189" s="24"/>
      <c r="E189" s="24"/>
      <c r="F189" s="24"/>
      <c r="G189" s="24"/>
      <c r="H189" s="24"/>
      <c r="I189" s="28" t="str">
        <f>IFERROR(__xludf.DUMMYFUNCTION("""COMPUTED_VALUE""")," ")</f>
        <v> </v>
      </c>
      <c r="J189" s="12"/>
      <c r="K189" s="12"/>
    </row>
    <row r="190">
      <c r="A190" s="24"/>
      <c r="B190" s="11" t="str">
        <f>IFERROR(__xludf.DUMMYFUNCTION("""COMPUTED_VALUE"""),"Input Walk-In Auditionees Below This Line")</f>
        <v>Input Walk-In Auditionees Below This Line</v>
      </c>
      <c r="C190" s="24"/>
      <c r="D190" s="24"/>
      <c r="E190" s="24"/>
      <c r="F190" s="24"/>
      <c r="G190" s="24"/>
      <c r="H190" s="24"/>
      <c r="I190" s="28"/>
      <c r="J190" s="12"/>
      <c r="K190" s="12"/>
    </row>
    <row r="191">
      <c r="A191" s="24" t="str">
        <f>IFERROR(__xludf.DUMMYFUNCTION("""COMPUTED_VALUE"""),"J0000")</f>
        <v>J0000</v>
      </c>
      <c r="B191" s="11" t="str">
        <f>IFERROR(__xludf.DUMMYFUNCTION("""COMPUTED_VALUE"""),"Campese")</f>
        <v>Campese</v>
      </c>
      <c r="C191" s="24" t="str">
        <f>IFERROR(__xludf.DUMMYFUNCTION("""COMPUTED_VALUE"""),"John")</f>
        <v>John</v>
      </c>
      <c r="D191" s="24" t="str">
        <f>IFERROR(__xludf.DUMMYFUNCTION("""COMPUTED_VALUE"""),"he/him")</f>
        <v>he/him</v>
      </c>
      <c r="E191" s="24" t="str">
        <f>IFERROR(__xludf.DUMMYFUNCTION("""COMPUTED_VALUE"""),"Visual Ensemble")</f>
        <v>Visual Ensemble</v>
      </c>
      <c r="F191" s="24">
        <f>IFERROR(__xludf.DUMMYFUNCTION("""COMPUTED_VALUE"""),101.0)</f>
        <v>101</v>
      </c>
      <c r="G191" s="24" t="str">
        <f>IFERROR(__xludf.DUMMYFUNCTION("""COMPUTED_VALUE"""),"i1")</f>
        <v>i1</v>
      </c>
      <c r="H191" s="24" t="str">
        <f>IFERROR(__xludf.DUMMYFUNCTION("""COMPUTED_VALUE"""),"Invented the cheese.")</f>
        <v>Invented the cheese.</v>
      </c>
      <c r="I191" s="29" t="str">
        <f>IFERROR(__xludf.DUMMYFUNCTION("""COMPUTED_VALUE"""),"John Campese")</f>
        <v>John Campese</v>
      </c>
      <c r="J191" s="12" t="str">
        <f>IFERROR(__xludf.DUMMYFUNCTION("""COMPUTED_VALUE"""),"turnitup@aol.com")</f>
        <v>turnitup@aol.com</v>
      </c>
      <c r="K191" s="12"/>
    </row>
    <row r="192">
      <c r="A192" s="24"/>
      <c r="B192" s="11" t="str">
        <f>IFERROR(__xludf.DUMMYFUNCTION("""COMPUTED_VALUE"""),"Alvarez")</f>
        <v>Alvarez</v>
      </c>
      <c r="C192" s="24" t="str">
        <f>IFERROR(__xludf.DUMMYFUNCTION("""COMPUTED_VALUE"""),"Steven")</f>
        <v>Steven</v>
      </c>
      <c r="D192" s="24"/>
      <c r="E192" s="24" t="str">
        <f>IFERROR(__xludf.DUMMYFUNCTION("""COMPUTED_VALUE"""),"Visual Ensemble")</f>
        <v>Visual Ensemble</v>
      </c>
      <c r="F192" s="24">
        <f>IFERROR(__xludf.DUMMYFUNCTION("""COMPUTED_VALUE"""),19.0)</f>
        <v>19</v>
      </c>
      <c r="G192" s="24" t="str">
        <f>IFERROR(__xludf.DUMMYFUNCTION("""COMPUTED_VALUE"""),"i1")</f>
        <v>i1</v>
      </c>
      <c r="H192" s="24"/>
      <c r="I192" s="29" t="str">
        <f>IFERROR(__xludf.DUMMYFUNCTION("""COMPUTED_VALUE"""),"Steven Alvarez")</f>
        <v>Steven Alvarez</v>
      </c>
      <c r="J192" s="12" t="str">
        <f>IFERROR(__xludf.DUMMYFUNCTION("""COMPUTED_VALUE"""),"steven20042010@hotmail.com")</f>
        <v>steven20042010@hotmail.com</v>
      </c>
      <c r="K192" s="12"/>
    </row>
    <row r="193">
      <c r="A193" s="24"/>
      <c r="B193" s="11" t="str">
        <f>IFERROR(__xludf.DUMMYFUNCTION("""COMPUTED_VALUE"""),"Blaylock")</f>
        <v>Blaylock</v>
      </c>
      <c r="C193" s="24" t="str">
        <f>IFERROR(__xludf.DUMMYFUNCTION("""COMPUTED_VALUE"""),"Madi")</f>
        <v>Madi</v>
      </c>
      <c r="D193" s="24" t="str">
        <f>IFERROR(__xludf.DUMMYFUNCTION("""COMPUTED_VALUE"""),"she/they")</f>
        <v>she/they</v>
      </c>
      <c r="E193" s="24" t="str">
        <f>IFERROR(__xludf.DUMMYFUNCTION("""COMPUTED_VALUE"""),"Visual Ensemble")</f>
        <v>Visual Ensemble</v>
      </c>
      <c r="F193" s="24">
        <f>IFERROR(__xludf.DUMMYFUNCTION("""COMPUTED_VALUE"""),18.0)</f>
        <v>18</v>
      </c>
      <c r="G193" s="24" t="str">
        <f>IFERROR(__xludf.DUMMYFUNCTION("""COMPUTED_VALUE"""),"hs")</f>
        <v>hs</v>
      </c>
      <c r="H193" s="24"/>
      <c r="I193" s="29" t="str">
        <f>IFERROR(__xludf.DUMMYFUNCTION("""COMPUTED_VALUE"""),"Madi Blaylock")</f>
        <v>Madi Blaylock</v>
      </c>
      <c r="J193" s="12" t="str">
        <f>IFERROR(__xludf.DUMMYFUNCTION("""COMPUTED_VALUE"""),"madiblaylock627@gmail.com")</f>
        <v>madiblaylock627@gmail.com</v>
      </c>
      <c r="K193" s="12"/>
    </row>
    <row r="194">
      <c r="A194" s="24"/>
      <c r="B194" s="11" t="str">
        <f>IFERROR(__xludf.DUMMYFUNCTION("""COMPUTED_VALUE"""),"Van Patten")</f>
        <v>Van Patten</v>
      </c>
      <c r="C194" s="24" t="str">
        <f>IFERROR(__xludf.DUMMYFUNCTION("""COMPUTED_VALUE"""),"Joshua")</f>
        <v>Joshua</v>
      </c>
      <c r="D194" s="24"/>
      <c r="E194" s="24" t="str">
        <f>IFERROR(__xludf.DUMMYFUNCTION("""COMPUTED_VALUE"""),"Snare")</f>
        <v>Snare</v>
      </c>
      <c r="F194" s="24"/>
      <c r="G194" s="24"/>
      <c r="H194" s="24"/>
      <c r="I194" s="29" t="str">
        <f>IFERROR(__xludf.DUMMYFUNCTION("""COMPUTED_VALUE"""),"Joshua Van Patten")</f>
        <v>Joshua Van Patten</v>
      </c>
      <c r="J194" s="12"/>
      <c r="K194" s="12"/>
    </row>
    <row r="195">
      <c r="A195" s="24"/>
      <c r="B195" s="11" t="str">
        <f>IFERROR(__xludf.DUMMYFUNCTION("""COMPUTED_VALUE"""),"Rix")</f>
        <v>Rix</v>
      </c>
      <c r="C195" s="24" t="str">
        <f>IFERROR(__xludf.DUMMYFUNCTION("""COMPUTED_VALUE"""),"Damian")</f>
        <v>Damian</v>
      </c>
      <c r="D195" s="24" t="str">
        <f>IFERROR(__xludf.DUMMYFUNCTION("""COMPUTED_VALUE"""),"he/him")</f>
        <v>he/him</v>
      </c>
      <c r="E195" s="24" t="str">
        <f>IFERROR(__xludf.DUMMYFUNCTION("""COMPUTED_VALUE"""),"Visual Ensemble")</f>
        <v>Visual Ensemble</v>
      </c>
      <c r="F195" s="24">
        <f>IFERROR(__xludf.DUMMYFUNCTION("""COMPUTED_VALUE"""),15.0)</f>
        <v>15</v>
      </c>
      <c r="G195" s="24" t="str">
        <f>IFERROR(__xludf.DUMMYFUNCTION("""COMPUTED_VALUE"""),"hs")</f>
        <v>hs</v>
      </c>
      <c r="H195" s="24"/>
      <c r="I195" s="29" t="str">
        <f>IFERROR(__xludf.DUMMYFUNCTION("""COMPUTED_VALUE"""),"Damian Rix")</f>
        <v>Damian Rix</v>
      </c>
      <c r="J195" s="12" t="str">
        <f>IFERROR(__xludf.DUMMYFUNCTION("""COMPUTED_VALUE"""),"tarynrix01@gmail.com")</f>
        <v>tarynrix01@gmail.com</v>
      </c>
      <c r="K195" s="12"/>
    </row>
    <row r="196">
      <c r="A196" s="24"/>
      <c r="B196" s="11" t="str">
        <f>IFERROR(__xludf.DUMMYFUNCTION("""COMPUTED_VALUE"""),"Ainsworth")</f>
        <v>Ainsworth</v>
      </c>
      <c r="C196" s="24" t="str">
        <f>IFERROR(__xludf.DUMMYFUNCTION("""COMPUTED_VALUE"""),"Alyson")</f>
        <v>Alyson</v>
      </c>
      <c r="D196" s="24"/>
      <c r="E196" s="24" t="str">
        <f>IFERROR(__xludf.DUMMYFUNCTION("""COMPUTED_VALUE"""),"Visual Ensemble")</f>
        <v>Visual Ensemble</v>
      </c>
      <c r="F196" s="24"/>
      <c r="G196" s="24"/>
      <c r="H196" s="24"/>
      <c r="I196" s="29" t="str">
        <f>IFERROR(__xludf.DUMMYFUNCTION("""COMPUTED_VALUE"""),"Alyson Ainsworth")</f>
        <v>Alyson Ainsworth</v>
      </c>
      <c r="J196" s="12" t="str">
        <f>IFERROR(__xludf.DUMMYFUNCTION("""COMPUTED_VALUE"""),"ainsworthalyson@gmail.com")</f>
        <v>ainsworthalyson@gmail.com</v>
      </c>
      <c r="K196" s="12"/>
    </row>
    <row r="197">
      <c r="A197" s="24"/>
      <c r="B197" s="11" t="str">
        <f>IFERROR(__xludf.DUMMYFUNCTION("""COMPUTED_VALUE"""),"Mago")</f>
        <v>Mago</v>
      </c>
      <c r="C197" s="24" t="str">
        <f>IFERROR(__xludf.DUMMYFUNCTION("""COMPUTED_VALUE"""),"Mauricio")</f>
        <v>Mauricio</v>
      </c>
      <c r="D197" s="24"/>
      <c r="E197" s="24"/>
      <c r="F197" s="24">
        <f>IFERROR(__xludf.DUMMYFUNCTION("""COMPUTED_VALUE"""),16.0)</f>
        <v>16</v>
      </c>
      <c r="G197" s="24"/>
      <c r="H197" s="24"/>
      <c r="I197" s="29" t="str">
        <f>IFERROR(__xludf.DUMMYFUNCTION("""COMPUTED_VALUE"""),"Mauricio Mago")</f>
        <v>Mauricio Mago</v>
      </c>
      <c r="J197" s="12" t="str">
        <f>IFERROR(__xludf.DUMMYFUNCTION("""COMPUTED_VALUE"""),"funnymanryan@gmail.com")</f>
        <v>funnymanryan@gmail.com</v>
      </c>
      <c r="K197" s="12"/>
    </row>
    <row r="198">
      <c r="A198" s="24"/>
      <c r="B198" s="11" t="str">
        <f>IFERROR(__xludf.DUMMYFUNCTION("""COMPUTED_VALUE"""),"Hernandez")</f>
        <v>Hernandez</v>
      </c>
      <c r="C198" s="24" t="str">
        <f>IFERROR(__xludf.DUMMYFUNCTION("""COMPUTED_VALUE"""),"Christopher")</f>
        <v>Christopher</v>
      </c>
      <c r="D198" s="24"/>
      <c r="E198" s="24"/>
      <c r="F198" s="24">
        <f>IFERROR(__xludf.DUMMYFUNCTION("""COMPUTED_VALUE"""),21.0)</f>
        <v>21</v>
      </c>
      <c r="G198" s="24"/>
      <c r="H198" s="24"/>
      <c r="I198" s="29" t="str">
        <f>IFERROR(__xludf.DUMMYFUNCTION("""COMPUTED_VALUE"""),"Christopher Hernandez")</f>
        <v>Christopher Hernandez</v>
      </c>
      <c r="J198" s="12" t="str">
        <f>IFERROR(__xludf.DUMMYFUNCTION("""COMPUTED_VALUE"""),"christopherdhernandezr@gmail.com")</f>
        <v>christopherdhernandezr@gmail.com</v>
      </c>
      <c r="K198" s="12"/>
    </row>
    <row r="199">
      <c r="A199" s="24"/>
      <c r="B199" s="11"/>
      <c r="C199" s="24"/>
      <c r="D199" s="24"/>
      <c r="E199" s="24"/>
      <c r="F199" s="24"/>
      <c r="G199" s="24"/>
      <c r="H199" s="24"/>
      <c r="I199" s="29" t="str">
        <f>IFERROR(__xludf.DUMMYFUNCTION("""COMPUTED_VALUE""")," ")</f>
        <v> </v>
      </c>
      <c r="J199" s="12"/>
      <c r="K199" s="12"/>
    </row>
    <row r="200">
      <c r="A200" s="30"/>
      <c r="B200" s="31" t="s">
        <v>29</v>
      </c>
      <c r="C200" s="30"/>
      <c r="D200" s="30"/>
      <c r="E200" s="30"/>
      <c r="F200" s="30"/>
      <c r="G200" s="30"/>
      <c r="H200" s="30"/>
      <c r="I200" s="12" t="str">
        <f>CONCATENATE(C200," ",B200)</f>
        <v> Insert above this line</v>
      </c>
      <c r="J200" s="12"/>
      <c r="K200" s="12"/>
    </row>
  </sheetData>
  <dataValidations>
    <dataValidation type="list" allowBlank="1" sqref="E191">
      <formula1>"Snare,Bass,Tenor,Cymbals,VE"</formula1>
    </dataValidation>
    <dataValidation type="list" allowBlank="1" sqref="K191:K200">
      <formula1>"CLINIC ONLY"</formula1>
    </dataValidation>
    <dataValidation type="list" allowBlank="1" sqref="G191:G199">
      <formula1>"i1,i2,i3,hs,dci,dca,piw,pio,pia,"</formula1>
    </dataValidation>
  </dataValidations>
  <hyperlinks>
    <hyperlink r:id="rId1" ref="J9"/>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ySplit="6.0" topLeftCell="C7" activePane="bottomRight" state="frozen"/>
      <selection activeCell="C1" sqref="C1" pane="topRight"/>
      <selection activeCell="A7" sqref="A7" pane="bottomLeft"/>
      <selection activeCell="C7" sqref="C7" pane="bottomRight"/>
    </sheetView>
  </sheetViews>
  <sheetFormatPr customHeight="1" defaultColWidth="12.63" defaultRowHeight="15.75"/>
  <cols>
    <col customWidth="1" min="1" max="1" width="2.0"/>
    <col customWidth="1" min="2" max="2" width="16.0"/>
    <col customWidth="1" min="3" max="4" width="7.88"/>
    <col customWidth="1" min="5" max="5" width="9.63"/>
    <col customWidth="1" min="6" max="6" width="7.75"/>
    <col customWidth="1" min="7" max="7" width="6.38"/>
    <col customWidth="1" min="8" max="8" width="8.63"/>
    <col customWidth="1" min="9" max="9" width="11.88"/>
    <col customWidth="1" min="10" max="10" width="10.38"/>
    <col customWidth="1" min="11" max="11" width="11.0"/>
    <col customWidth="1" min="12" max="12" width="10.38"/>
    <col customWidth="1" min="13" max="13" width="13.25"/>
    <col customWidth="1" min="14" max="14" width="2.75"/>
    <col customWidth="1" min="15" max="15" width="63.75"/>
  </cols>
  <sheetData>
    <row r="1" ht="6.75" customHeight="1">
      <c r="A1" s="32"/>
      <c r="B1" s="33"/>
      <c r="C1" s="33"/>
      <c r="D1" s="33"/>
      <c r="E1" s="33"/>
      <c r="F1" s="33"/>
      <c r="G1" s="33"/>
      <c r="H1" s="33"/>
      <c r="I1" s="34"/>
      <c r="J1" s="33"/>
      <c r="K1" s="35"/>
      <c r="L1" s="35"/>
      <c r="M1" s="35"/>
      <c r="N1" s="35"/>
      <c r="O1" s="35"/>
    </row>
    <row r="2" ht="6.75" customHeight="1">
      <c r="A2" s="36"/>
      <c r="B2" s="37" t="s">
        <v>30</v>
      </c>
      <c r="C2" s="38"/>
      <c r="D2" s="38"/>
      <c r="E2" s="38"/>
      <c r="F2" s="39"/>
      <c r="G2" s="39"/>
      <c r="H2" s="40"/>
      <c r="I2" s="41" t="s">
        <v>31</v>
      </c>
      <c r="M2" s="42" t="s">
        <v>32</v>
      </c>
      <c r="N2" s="43"/>
      <c r="O2" s="40"/>
    </row>
    <row r="3" ht="62.25" customHeight="1">
      <c r="A3" s="44"/>
      <c r="B3" s="45" t="s">
        <v>33</v>
      </c>
      <c r="C3" s="46"/>
      <c r="D3" s="46"/>
      <c r="E3" s="46"/>
      <c r="F3" s="47"/>
      <c r="G3" s="47"/>
      <c r="H3" s="40"/>
      <c r="M3" s="48"/>
      <c r="N3" s="43"/>
      <c r="O3" s="8"/>
    </row>
    <row r="4" ht="7.5" customHeight="1">
      <c r="A4" s="49"/>
      <c r="B4" s="50"/>
      <c r="C4" s="50"/>
      <c r="D4" s="50"/>
      <c r="E4" s="50"/>
      <c r="F4" s="50"/>
      <c r="G4" s="50"/>
      <c r="H4" s="51"/>
      <c r="I4" s="52"/>
      <c r="M4" s="53"/>
      <c r="N4" s="53"/>
      <c r="O4" s="53"/>
    </row>
    <row r="5" ht="8.25" customHeight="1">
      <c r="A5" s="36"/>
      <c r="B5" s="36"/>
      <c r="C5" s="38"/>
      <c r="D5" s="38"/>
      <c r="E5" s="38"/>
      <c r="F5" s="39"/>
      <c r="G5" s="39"/>
      <c r="H5" s="54"/>
      <c r="I5" s="55"/>
      <c r="J5" s="54"/>
      <c r="K5" s="54"/>
      <c r="L5" s="54"/>
      <c r="M5" s="56"/>
      <c r="N5" s="57"/>
      <c r="O5" s="58"/>
    </row>
    <row r="6" ht="21.0" customHeight="1">
      <c r="A6" s="59"/>
      <c r="B6" s="60" t="s">
        <v>34</v>
      </c>
      <c r="C6" s="60" t="s">
        <v>35</v>
      </c>
      <c r="D6" s="60" t="s">
        <v>36</v>
      </c>
      <c r="E6" s="60" t="s">
        <v>37</v>
      </c>
      <c r="F6" s="61" t="s">
        <v>38</v>
      </c>
      <c r="G6" s="62" t="s">
        <v>39</v>
      </c>
      <c r="H6" s="63" t="s">
        <v>40</v>
      </c>
      <c r="I6" s="64" t="s">
        <v>41</v>
      </c>
      <c r="J6" s="65" t="s">
        <v>42</v>
      </c>
      <c r="K6" s="65" t="s">
        <v>43</v>
      </c>
      <c r="L6" s="65" t="s">
        <v>44</v>
      </c>
      <c r="M6" s="66" t="s">
        <v>45</v>
      </c>
      <c r="N6" s="43"/>
      <c r="O6" s="67" t="s">
        <v>46</v>
      </c>
    </row>
    <row r="7" ht="21.0" customHeight="1">
      <c r="A7" s="68"/>
      <c r="B7" s="69" t="str">
        <f t="shared" ref="B7:B204" si="1">INDIRECT("AUDITIONEES"&amp;"!I"&amp;ROW()-5)</f>
        <v>Emilio Gonzalez</v>
      </c>
      <c r="C7" s="69" t="str">
        <f t="shared" ref="C7:C204" si="2">INDIRECT("AUDITIONEES"&amp;"!D"&amp;ROW()-5)</f>
        <v>He/Him</v>
      </c>
      <c r="D7" s="69" t="str">
        <f t="shared" ref="D7:D204" si="3">INDIRECT("AUDITIONEES"&amp;"!A"&amp;ROW()-5)</f>
        <v>EG8049</v>
      </c>
      <c r="E7" s="69" t="str">
        <f t="shared" ref="E7:E204" si="4">INDIRECT("AUDITIONEES"&amp;"!E"&amp;ROW()-5)</f>
        <v>Snare</v>
      </c>
      <c r="F7" s="70">
        <f t="shared" ref="F7:F204" si="5">INDIRECT("AUDITIONEES"&amp;"!F"&amp;ROW()-5)</f>
        <v>22</v>
      </c>
      <c r="G7" s="71" t="str">
        <f t="shared" ref="G7:G204" si="6">INDIRECT("AUDITIONEES"&amp;"!G"&amp;ROW()-5)</f>
        <v>i3</v>
      </c>
      <c r="H7" s="72" t="str">
        <f t="shared" ref="H7:H204" si="7">IFERROR(AVERAGEIF(I7:L7,"&lt;&gt;",I7:L7),"")</f>
        <v/>
      </c>
      <c r="I7" s="73"/>
      <c r="J7" s="74"/>
      <c r="K7" s="74"/>
      <c r="L7" s="74"/>
      <c r="M7" s="75"/>
      <c r="N7" s="76"/>
      <c r="O7" s="77"/>
    </row>
    <row r="8" ht="21.0" customHeight="1">
      <c r="A8" s="78"/>
      <c r="B8" s="79" t="str">
        <f t="shared" si="1"/>
        <v>Maité Cintrón Aguiló</v>
      </c>
      <c r="C8" s="79" t="str">
        <f t="shared" si="2"/>
        <v>SHE/HER</v>
      </c>
      <c r="D8" s="79" t="str">
        <f t="shared" si="3"/>
        <v>MC8052</v>
      </c>
      <c r="E8" s="79" t="str">
        <f t="shared" si="4"/>
        <v>Snare</v>
      </c>
      <c r="F8" s="80">
        <f t="shared" si="5"/>
        <v>22</v>
      </c>
      <c r="G8" s="81" t="str">
        <f t="shared" si="6"/>
        <v>i3</v>
      </c>
      <c r="H8" s="82" t="str">
        <f t="shared" si="7"/>
        <v/>
      </c>
      <c r="I8" s="83"/>
      <c r="J8" s="84"/>
      <c r="K8" s="84"/>
      <c r="L8" s="84"/>
      <c r="M8" s="85"/>
      <c r="N8" s="86"/>
      <c r="O8" s="77"/>
    </row>
    <row r="9" ht="21.0" customHeight="1">
      <c r="A9" s="78"/>
      <c r="B9" s="69" t="str">
        <f t="shared" si="1"/>
        <v>Dilanys Ortiz Rosario </v>
      </c>
      <c r="C9" s="69" t="str">
        <f t="shared" si="2"/>
        <v>She/they</v>
      </c>
      <c r="D9" s="69" t="str">
        <f t="shared" si="3"/>
        <v>DO8056</v>
      </c>
      <c r="E9" s="69" t="str">
        <f t="shared" si="4"/>
        <v>Bass</v>
      </c>
      <c r="F9" s="70">
        <f t="shared" si="5"/>
        <v>18</v>
      </c>
      <c r="G9" s="71" t="str">
        <f t="shared" si="6"/>
        <v>hs</v>
      </c>
      <c r="H9" s="72" t="str">
        <f t="shared" si="7"/>
        <v/>
      </c>
      <c r="I9" s="73"/>
      <c r="J9" s="74"/>
      <c r="K9" s="74"/>
      <c r="L9" s="74"/>
      <c r="M9" s="75"/>
      <c r="N9" s="86"/>
      <c r="O9" s="77"/>
    </row>
    <row r="10" ht="21.0" customHeight="1">
      <c r="A10" s="78"/>
      <c r="B10" s="79" t="str">
        <f t="shared" si="1"/>
        <v>Riley Gee</v>
      </c>
      <c r="C10" s="79" t="str">
        <f t="shared" si="2"/>
        <v>He/Him</v>
      </c>
      <c r="D10" s="79" t="str">
        <f t="shared" si="3"/>
        <v>RG8057</v>
      </c>
      <c r="E10" s="79" t="str">
        <f t="shared" si="4"/>
        <v>Snare</v>
      </c>
      <c r="F10" s="80">
        <f t="shared" si="5"/>
        <v>21</v>
      </c>
      <c r="G10" s="81" t="str">
        <f t="shared" si="6"/>
        <v>i1</v>
      </c>
      <c r="H10" s="82" t="str">
        <f t="shared" si="7"/>
        <v/>
      </c>
      <c r="I10" s="83"/>
      <c r="J10" s="84"/>
      <c r="K10" s="84"/>
      <c r="L10" s="84"/>
      <c r="M10" s="85"/>
      <c r="N10" s="86"/>
      <c r="O10" s="77"/>
    </row>
    <row r="11" ht="21.0" customHeight="1">
      <c r="A11" s="78"/>
      <c r="B11" s="69" t="str">
        <f t="shared" si="1"/>
        <v>Ashlyn Welch</v>
      </c>
      <c r="C11" s="69" t="str">
        <f t="shared" si="2"/>
        <v>She/her</v>
      </c>
      <c r="D11" s="69" t="str">
        <f t="shared" si="3"/>
        <v>AW8068</v>
      </c>
      <c r="E11" s="69" t="str">
        <f t="shared" si="4"/>
        <v>Visual Ensemble</v>
      </c>
      <c r="F11" s="70">
        <f t="shared" si="5"/>
        <v>21</v>
      </c>
      <c r="G11" s="71" t="str">
        <f t="shared" si="6"/>
        <v>i1</v>
      </c>
      <c r="H11" s="72" t="str">
        <f t="shared" si="7"/>
        <v/>
      </c>
      <c r="I11" s="73"/>
      <c r="J11" s="74"/>
      <c r="K11" s="74"/>
      <c r="L11" s="74"/>
      <c r="M11" s="75"/>
      <c r="N11" s="76"/>
      <c r="O11" s="77"/>
    </row>
    <row r="12" ht="21.0" customHeight="1">
      <c r="A12" s="78"/>
      <c r="B12" s="79" t="str">
        <f t="shared" si="1"/>
        <v>Jonathan Yu</v>
      </c>
      <c r="C12" s="79" t="str">
        <f t="shared" si="2"/>
        <v>He/Him</v>
      </c>
      <c r="D12" s="79" t="str">
        <f t="shared" si="3"/>
        <v>JY8069</v>
      </c>
      <c r="E12" s="79" t="str">
        <f t="shared" si="4"/>
        <v>Snare</v>
      </c>
      <c r="F12" s="80">
        <f t="shared" si="5"/>
        <v>21</v>
      </c>
      <c r="G12" s="81" t="str">
        <f t="shared" si="6"/>
        <v>i1</v>
      </c>
      <c r="H12" s="82" t="str">
        <f t="shared" si="7"/>
        <v/>
      </c>
      <c r="I12" s="83"/>
      <c r="J12" s="84"/>
      <c r="K12" s="84"/>
      <c r="L12" s="84"/>
      <c r="M12" s="85"/>
      <c r="N12" s="76"/>
      <c r="O12" s="77"/>
    </row>
    <row r="13" ht="21.0" customHeight="1">
      <c r="A13" s="78"/>
      <c r="B13" s="69" t="str">
        <f t="shared" si="1"/>
        <v>Dylan Hubbell</v>
      </c>
      <c r="C13" s="69" t="str">
        <f t="shared" si="2"/>
        <v>He/Him</v>
      </c>
      <c r="D13" s="69" t="str">
        <f t="shared" si="3"/>
        <v>DH8064</v>
      </c>
      <c r="E13" s="69" t="str">
        <f t="shared" si="4"/>
        <v>Snare</v>
      </c>
      <c r="F13" s="70">
        <f t="shared" si="5"/>
        <v>19</v>
      </c>
      <c r="G13" s="71" t="str">
        <f t="shared" si="6"/>
        <v>hs</v>
      </c>
      <c r="H13" s="72" t="str">
        <f t="shared" si="7"/>
        <v/>
      </c>
      <c r="I13" s="73"/>
      <c r="J13" s="74"/>
      <c r="K13" s="74"/>
      <c r="L13" s="74"/>
      <c r="M13" s="75"/>
      <c r="N13" s="76"/>
      <c r="O13" s="77"/>
    </row>
    <row r="14" ht="21.0" customHeight="1">
      <c r="A14" s="78"/>
      <c r="B14" s="79" t="str">
        <f t="shared" si="1"/>
        <v>Matthew Mikitka</v>
      </c>
      <c r="C14" s="79" t="str">
        <f t="shared" si="2"/>
        <v>He/Him/His</v>
      </c>
      <c r="D14" s="79" t="str">
        <f t="shared" si="3"/>
        <v>MM8075</v>
      </c>
      <c r="E14" s="79" t="str">
        <f t="shared" si="4"/>
        <v>Visual Ensemble</v>
      </c>
      <c r="F14" s="80">
        <f t="shared" si="5"/>
        <v>22</v>
      </c>
      <c r="G14" s="81" t="str">
        <f t="shared" si="6"/>
        <v>i2</v>
      </c>
      <c r="H14" s="82" t="str">
        <f t="shared" si="7"/>
        <v/>
      </c>
      <c r="I14" s="83"/>
      <c r="J14" s="84"/>
      <c r="K14" s="84"/>
      <c r="L14" s="84"/>
      <c r="M14" s="85"/>
      <c r="N14" s="76"/>
      <c r="O14" s="77"/>
    </row>
    <row r="15" ht="21.0" customHeight="1">
      <c r="A15" s="78"/>
      <c r="B15" s="69" t="str">
        <f t="shared" si="1"/>
        <v>Stevan Evans</v>
      </c>
      <c r="C15" s="69" t="str">
        <f t="shared" si="2"/>
        <v>he/him</v>
      </c>
      <c r="D15" s="69" t="str">
        <f t="shared" si="3"/>
        <v>SE8065</v>
      </c>
      <c r="E15" s="69" t="str">
        <f t="shared" si="4"/>
        <v>Snare</v>
      </c>
      <c r="F15" s="70">
        <f t="shared" si="5"/>
        <v>20</v>
      </c>
      <c r="G15" s="71" t="str">
        <f t="shared" si="6"/>
        <v>pia</v>
      </c>
      <c r="H15" s="72" t="str">
        <f t="shared" si="7"/>
        <v/>
      </c>
      <c r="I15" s="73"/>
      <c r="J15" s="74"/>
      <c r="K15" s="74"/>
      <c r="L15" s="74"/>
      <c r="M15" s="75"/>
      <c r="N15" s="76"/>
      <c r="O15" s="87"/>
    </row>
    <row r="16" ht="21.0" customHeight="1">
      <c r="A16" s="78"/>
      <c r="B16" s="79" t="str">
        <f t="shared" si="1"/>
        <v>Stanton Schuster</v>
      </c>
      <c r="C16" s="79" t="str">
        <f t="shared" si="2"/>
        <v>he/him, they/them</v>
      </c>
      <c r="D16" s="79" t="str">
        <f t="shared" si="3"/>
        <v>SS8062</v>
      </c>
      <c r="E16" s="79" t="str">
        <f t="shared" si="4"/>
        <v>Bass</v>
      </c>
      <c r="F16" s="80">
        <f t="shared" si="5"/>
        <v>17</v>
      </c>
      <c r="G16" s="81" t="str">
        <f t="shared" si="6"/>
        <v>hs</v>
      </c>
      <c r="H16" s="82" t="str">
        <f t="shared" si="7"/>
        <v/>
      </c>
      <c r="I16" s="83"/>
      <c r="J16" s="84"/>
      <c r="K16" s="84"/>
      <c r="L16" s="84"/>
      <c r="M16" s="85"/>
      <c r="N16" s="76"/>
      <c r="O16" s="77"/>
    </row>
    <row r="17" ht="21.0" customHeight="1">
      <c r="A17" s="78"/>
      <c r="B17" s="69" t="str">
        <f t="shared" si="1"/>
        <v>Sam Johnson</v>
      </c>
      <c r="C17" s="69" t="str">
        <f t="shared" si="2"/>
        <v>She/her</v>
      </c>
      <c r="D17" s="69" t="str">
        <f t="shared" si="3"/>
        <v>SJ8083</v>
      </c>
      <c r="E17" s="69" t="str">
        <f t="shared" si="4"/>
        <v>Tenor</v>
      </c>
      <c r="F17" s="70">
        <f t="shared" si="5"/>
        <v>19</v>
      </c>
      <c r="G17" s="71" t="str">
        <f t="shared" si="6"/>
        <v>dca</v>
      </c>
      <c r="H17" s="72">
        <f t="shared" si="7"/>
        <v>1.5</v>
      </c>
      <c r="I17" s="88">
        <v>1.0</v>
      </c>
      <c r="J17" s="74">
        <v>1.0</v>
      </c>
      <c r="K17" s="74">
        <v>2.0</v>
      </c>
      <c r="L17" s="74">
        <v>2.0</v>
      </c>
      <c r="M17" s="75"/>
      <c r="N17" s="76"/>
      <c r="O17" s="77"/>
    </row>
    <row r="18" ht="21.0" customHeight="1">
      <c r="A18" s="78"/>
      <c r="B18" s="79" t="str">
        <f t="shared" si="1"/>
        <v>Brenden Dozier</v>
      </c>
      <c r="C18" s="79" t="str">
        <f t="shared" si="2"/>
        <v>He/him</v>
      </c>
      <c r="D18" s="79" t="str">
        <f t="shared" si="3"/>
        <v>BD8080</v>
      </c>
      <c r="E18" s="79" t="str">
        <f t="shared" si="4"/>
        <v>Bass</v>
      </c>
      <c r="F18" s="80">
        <f t="shared" si="5"/>
        <v>21</v>
      </c>
      <c r="G18" s="81" t="str">
        <f t="shared" si="6"/>
        <v>i2</v>
      </c>
      <c r="H18" s="82" t="str">
        <f t="shared" si="7"/>
        <v/>
      </c>
      <c r="I18" s="83"/>
      <c r="J18" s="84"/>
      <c r="K18" s="84"/>
      <c r="L18" s="84"/>
      <c r="M18" s="85"/>
      <c r="N18" s="76"/>
      <c r="O18" s="77"/>
    </row>
    <row r="19" ht="21.0" customHeight="1">
      <c r="A19" s="78"/>
      <c r="B19" s="69" t="str">
        <f t="shared" si="1"/>
        <v>Carly Bronson</v>
      </c>
      <c r="C19" s="69" t="str">
        <f t="shared" si="2"/>
        <v>She/They</v>
      </c>
      <c r="D19" s="69" t="str">
        <f t="shared" si="3"/>
        <v>CB8093</v>
      </c>
      <c r="E19" s="69" t="str">
        <f t="shared" si="4"/>
        <v>Visual Ensemble</v>
      </c>
      <c r="F19" s="70">
        <f t="shared" si="5"/>
        <v>18</v>
      </c>
      <c r="G19" s="71" t="str">
        <f t="shared" si="6"/>
        <v>i1</v>
      </c>
      <c r="H19" s="72" t="str">
        <f t="shared" si="7"/>
        <v/>
      </c>
      <c r="I19" s="73"/>
      <c r="J19" s="74"/>
      <c r="K19" s="74"/>
      <c r="L19" s="74"/>
      <c r="M19" s="75"/>
      <c r="N19" s="76"/>
      <c r="O19" s="77"/>
    </row>
    <row r="20" ht="21.0" customHeight="1">
      <c r="A20" s="78"/>
      <c r="B20" s="79" t="str">
        <f t="shared" si="1"/>
        <v>Sydney  Ganser</v>
      </c>
      <c r="C20" s="79" t="str">
        <f t="shared" si="2"/>
        <v/>
      </c>
      <c r="D20" s="79" t="str">
        <f t="shared" si="3"/>
        <v>SG8076</v>
      </c>
      <c r="E20" s="79" t="str">
        <f t="shared" si="4"/>
        <v>Visual Ensemble</v>
      </c>
      <c r="F20" s="80">
        <f t="shared" si="5"/>
        <v>21</v>
      </c>
      <c r="G20" s="81" t="str">
        <f t="shared" si="6"/>
        <v>i1</v>
      </c>
      <c r="H20" s="82" t="str">
        <f t="shared" si="7"/>
        <v/>
      </c>
      <c r="I20" s="83"/>
      <c r="J20" s="84"/>
      <c r="K20" s="84"/>
      <c r="L20" s="84"/>
      <c r="M20" s="85"/>
      <c r="N20" s="76"/>
      <c r="O20" s="77"/>
    </row>
    <row r="21" ht="21.0" customHeight="1">
      <c r="A21" s="78"/>
      <c r="B21" s="69" t="str">
        <f t="shared" si="1"/>
        <v>Adrianna Marquez</v>
      </c>
      <c r="C21" s="69" t="str">
        <f t="shared" si="2"/>
        <v>She/her</v>
      </c>
      <c r="D21" s="69" t="str">
        <f t="shared" si="3"/>
        <v>AM8079</v>
      </c>
      <c r="E21" s="69" t="str">
        <f t="shared" si="4"/>
        <v>Bass</v>
      </c>
      <c r="F21" s="70">
        <f t="shared" si="5"/>
        <v>22</v>
      </c>
      <c r="G21" s="71" t="str">
        <f t="shared" si="6"/>
        <v>i1</v>
      </c>
      <c r="H21" s="72" t="str">
        <f t="shared" si="7"/>
        <v/>
      </c>
      <c r="I21" s="73"/>
      <c r="J21" s="74"/>
      <c r="K21" s="74"/>
      <c r="L21" s="74"/>
      <c r="M21" s="75"/>
      <c r="N21" s="76"/>
      <c r="O21" s="77"/>
    </row>
    <row r="22" ht="21.0" customHeight="1">
      <c r="A22" s="78"/>
      <c r="B22" s="79" t="str">
        <f t="shared" si="1"/>
        <v>Zachary Urmos</v>
      </c>
      <c r="C22" s="79" t="str">
        <f t="shared" si="2"/>
        <v>He him</v>
      </c>
      <c r="D22" s="79" t="str">
        <f t="shared" si="3"/>
        <v>ZU8095</v>
      </c>
      <c r="E22" s="79" t="str">
        <f t="shared" si="4"/>
        <v>Bass</v>
      </c>
      <c r="F22" s="80">
        <f t="shared" si="5"/>
        <v>19</v>
      </c>
      <c r="G22" s="81" t="str">
        <f t="shared" si="6"/>
        <v>pio</v>
      </c>
      <c r="H22" s="82" t="str">
        <f t="shared" si="7"/>
        <v/>
      </c>
      <c r="I22" s="83"/>
      <c r="J22" s="84"/>
      <c r="K22" s="84"/>
      <c r="L22" s="84"/>
      <c r="M22" s="85"/>
      <c r="N22" s="76"/>
      <c r="O22" s="77"/>
    </row>
    <row r="23" ht="21.0" customHeight="1">
      <c r="A23" s="78"/>
      <c r="B23" s="69" t="str">
        <f t="shared" si="1"/>
        <v>Peter Coffey</v>
      </c>
      <c r="C23" s="69" t="str">
        <f t="shared" si="2"/>
        <v/>
      </c>
      <c r="D23" s="69" t="str">
        <f t="shared" si="3"/>
        <v>PC8096</v>
      </c>
      <c r="E23" s="69" t="str">
        <f t="shared" si="4"/>
        <v>Snare</v>
      </c>
      <c r="F23" s="70">
        <f t="shared" si="5"/>
        <v>17</v>
      </c>
      <c r="G23" s="71" t="str">
        <f t="shared" si="6"/>
        <v>hs</v>
      </c>
      <c r="H23" s="72" t="str">
        <f t="shared" si="7"/>
        <v/>
      </c>
      <c r="I23" s="73"/>
      <c r="J23" s="74"/>
      <c r="K23" s="74"/>
      <c r="L23" s="74"/>
      <c r="M23" s="75"/>
      <c r="N23" s="76"/>
      <c r="O23" s="77"/>
    </row>
    <row r="24" ht="21.0" customHeight="1">
      <c r="A24" s="78"/>
      <c r="B24" s="79" t="str">
        <f t="shared" si="1"/>
        <v>Garrett Barnes</v>
      </c>
      <c r="C24" s="79" t="str">
        <f t="shared" si="2"/>
        <v>He/Him</v>
      </c>
      <c r="D24" s="79" t="str">
        <f t="shared" si="3"/>
        <v>GB8101</v>
      </c>
      <c r="E24" s="79" t="str">
        <f t="shared" si="4"/>
        <v>Tenor</v>
      </c>
      <c r="F24" s="80">
        <f t="shared" si="5"/>
        <v>18</v>
      </c>
      <c r="G24" s="81" t="str">
        <f t="shared" si="6"/>
        <v>hs</v>
      </c>
      <c r="H24" s="82">
        <f t="shared" si="7"/>
        <v>0.75</v>
      </c>
      <c r="I24" s="89">
        <v>0.0</v>
      </c>
      <c r="J24" s="84">
        <v>1.0</v>
      </c>
      <c r="K24" s="84">
        <v>1.0</v>
      </c>
      <c r="L24" s="84">
        <v>1.0</v>
      </c>
      <c r="M24" s="85"/>
      <c r="N24" s="76"/>
      <c r="O24" s="87"/>
    </row>
    <row r="25" ht="21.0" customHeight="1">
      <c r="A25" s="78"/>
      <c r="B25" s="69" t="str">
        <f t="shared" si="1"/>
        <v>Brad Gorske</v>
      </c>
      <c r="C25" s="69" t="str">
        <f t="shared" si="2"/>
        <v>He/Him</v>
      </c>
      <c r="D25" s="69" t="str">
        <f t="shared" si="3"/>
        <v>BG8104</v>
      </c>
      <c r="E25" s="69" t="str">
        <f t="shared" si="4"/>
        <v>Snare</v>
      </c>
      <c r="F25" s="70">
        <f t="shared" si="5"/>
        <v>22</v>
      </c>
      <c r="G25" s="71" t="str">
        <f t="shared" si="6"/>
        <v>i2</v>
      </c>
      <c r="H25" s="72" t="str">
        <f t="shared" si="7"/>
        <v/>
      </c>
      <c r="I25" s="73"/>
      <c r="J25" s="74"/>
      <c r="K25" s="74"/>
      <c r="L25" s="74"/>
      <c r="M25" s="75"/>
      <c r="N25" s="76"/>
      <c r="O25" s="77"/>
    </row>
    <row r="26" ht="21.0" customHeight="1">
      <c r="A26" s="78"/>
      <c r="B26" s="79" t="str">
        <f t="shared" si="1"/>
        <v>Hannah Slay</v>
      </c>
      <c r="C26" s="79" t="str">
        <f t="shared" si="2"/>
        <v>She/her</v>
      </c>
      <c r="D26" s="79" t="str">
        <f t="shared" si="3"/>
        <v>HS8105</v>
      </c>
      <c r="E26" s="79" t="str">
        <f t="shared" si="4"/>
        <v>Bass</v>
      </c>
      <c r="F26" s="80">
        <f t="shared" si="5"/>
        <v>19</v>
      </c>
      <c r="G26" s="81" t="str">
        <f t="shared" si="6"/>
        <v>hs</v>
      </c>
      <c r="H26" s="82" t="str">
        <f t="shared" si="7"/>
        <v/>
      </c>
      <c r="I26" s="83"/>
      <c r="J26" s="84"/>
      <c r="K26" s="84"/>
      <c r="L26" s="84"/>
      <c r="M26" s="85"/>
      <c r="N26" s="76"/>
      <c r="O26" s="87"/>
    </row>
    <row r="27" ht="21.0" customHeight="1">
      <c r="A27" s="78"/>
      <c r="B27" s="69" t="str">
        <f t="shared" si="1"/>
        <v>Christian Touchton</v>
      </c>
      <c r="C27" s="69" t="str">
        <f t="shared" si="2"/>
        <v/>
      </c>
      <c r="D27" s="69" t="str">
        <f t="shared" si="3"/>
        <v>CT8107</v>
      </c>
      <c r="E27" s="69" t="str">
        <f t="shared" si="4"/>
        <v>Snare</v>
      </c>
      <c r="F27" s="70">
        <f t="shared" si="5"/>
        <v>22</v>
      </c>
      <c r="G27" s="71" t="str">
        <f t="shared" si="6"/>
        <v>pia</v>
      </c>
      <c r="H27" s="72" t="str">
        <f t="shared" si="7"/>
        <v/>
      </c>
      <c r="I27" s="73"/>
      <c r="J27" s="74"/>
      <c r="K27" s="74"/>
      <c r="L27" s="74"/>
      <c r="M27" s="75"/>
      <c r="N27" s="76"/>
      <c r="O27" s="77"/>
    </row>
    <row r="28" ht="21.0" customHeight="1">
      <c r="A28" s="78"/>
      <c r="B28" s="79" t="str">
        <f t="shared" si="1"/>
        <v>Eric Perez</v>
      </c>
      <c r="C28" s="79" t="str">
        <f t="shared" si="2"/>
        <v>He/Him</v>
      </c>
      <c r="D28" s="79" t="str">
        <f t="shared" si="3"/>
        <v>EP8106</v>
      </c>
      <c r="E28" s="79" t="str">
        <f t="shared" si="4"/>
        <v>Bass</v>
      </c>
      <c r="F28" s="80">
        <f t="shared" si="5"/>
        <v>22</v>
      </c>
      <c r="G28" s="81" t="str">
        <f t="shared" si="6"/>
        <v>piw</v>
      </c>
      <c r="H28" s="82" t="str">
        <f t="shared" si="7"/>
        <v/>
      </c>
      <c r="I28" s="83"/>
      <c r="J28" s="84"/>
      <c r="K28" s="84"/>
      <c r="L28" s="84"/>
      <c r="M28" s="85"/>
      <c r="N28" s="76"/>
      <c r="O28" s="77"/>
    </row>
    <row r="29" ht="21.0" customHeight="1">
      <c r="A29" s="78"/>
      <c r="B29" s="69" t="str">
        <f t="shared" si="1"/>
        <v>Isaac Moss</v>
      </c>
      <c r="C29" s="69" t="str">
        <f t="shared" si="2"/>
        <v/>
      </c>
      <c r="D29" s="69" t="str">
        <f t="shared" si="3"/>
        <v>IM8108</v>
      </c>
      <c r="E29" s="69" t="str">
        <f t="shared" si="4"/>
        <v>Snare</v>
      </c>
      <c r="F29" s="70">
        <f t="shared" si="5"/>
        <v>16</v>
      </c>
      <c r="G29" s="71" t="str">
        <f t="shared" si="6"/>
        <v>hs</v>
      </c>
      <c r="H29" s="72" t="str">
        <f t="shared" si="7"/>
        <v/>
      </c>
      <c r="I29" s="73"/>
      <c r="J29" s="74"/>
      <c r="K29" s="74"/>
      <c r="L29" s="74"/>
      <c r="M29" s="75"/>
      <c r="N29" s="76"/>
      <c r="O29" s="77"/>
    </row>
    <row r="30" ht="21.0" customHeight="1">
      <c r="A30" s="78"/>
      <c r="B30" s="79" t="str">
        <f t="shared" si="1"/>
        <v>Katie McCarty</v>
      </c>
      <c r="C30" s="79" t="str">
        <f t="shared" si="2"/>
        <v>She/Her</v>
      </c>
      <c r="D30" s="79" t="str">
        <f t="shared" si="3"/>
        <v>KM8109</v>
      </c>
      <c r="E30" s="79" t="str">
        <f t="shared" si="4"/>
        <v>Snare</v>
      </c>
      <c r="F30" s="80">
        <f t="shared" si="5"/>
        <v>21</v>
      </c>
      <c r="G30" s="81" t="str">
        <f t="shared" si="6"/>
        <v>i2</v>
      </c>
      <c r="H30" s="82" t="str">
        <f t="shared" si="7"/>
        <v/>
      </c>
      <c r="I30" s="83"/>
      <c r="J30" s="84"/>
      <c r="K30" s="84"/>
      <c r="L30" s="84"/>
      <c r="M30" s="85"/>
      <c r="N30" s="76"/>
      <c r="O30" s="87"/>
    </row>
    <row r="31" ht="21.0" customHeight="1">
      <c r="A31" s="78"/>
      <c r="B31" s="69" t="str">
        <f t="shared" si="1"/>
        <v>Bryce Landry</v>
      </c>
      <c r="C31" s="69" t="str">
        <f t="shared" si="2"/>
        <v>He/Him</v>
      </c>
      <c r="D31" s="69" t="str">
        <f t="shared" si="3"/>
        <v>BL8110</v>
      </c>
      <c r="E31" s="69" t="str">
        <f t="shared" si="4"/>
        <v>Tenor</v>
      </c>
      <c r="F31" s="70">
        <f t="shared" si="5"/>
        <v>20</v>
      </c>
      <c r="G31" s="71" t="str">
        <f t="shared" si="6"/>
        <v>i3</v>
      </c>
      <c r="H31" s="72" t="str">
        <f t="shared" si="7"/>
        <v/>
      </c>
      <c r="I31" s="88"/>
      <c r="J31" s="74"/>
      <c r="K31" s="74"/>
      <c r="L31" s="74"/>
      <c r="M31" s="75"/>
      <c r="N31" s="76"/>
      <c r="O31" s="77"/>
    </row>
    <row r="32" ht="21.0" customHeight="1">
      <c r="A32" s="78"/>
      <c r="B32" s="79" t="str">
        <f t="shared" si="1"/>
        <v>Gal-Lee Maron</v>
      </c>
      <c r="C32" s="79" t="str">
        <f t="shared" si="2"/>
        <v>he/him</v>
      </c>
      <c r="D32" s="79" t="str">
        <f t="shared" si="3"/>
        <v>GM8113</v>
      </c>
      <c r="E32" s="79" t="str">
        <f t="shared" si="4"/>
        <v>Tenor</v>
      </c>
      <c r="F32" s="80">
        <f t="shared" si="5"/>
        <v>16</v>
      </c>
      <c r="G32" s="81" t="str">
        <f t="shared" si="6"/>
        <v>hs</v>
      </c>
      <c r="H32" s="82">
        <f t="shared" si="7"/>
        <v>1.5</v>
      </c>
      <c r="I32" s="89"/>
      <c r="J32" s="84">
        <v>1.0</v>
      </c>
      <c r="K32" s="84">
        <v>2.0</v>
      </c>
      <c r="L32" s="84"/>
      <c r="M32" s="85"/>
      <c r="N32" s="76"/>
      <c r="O32" s="77"/>
    </row>
    <row r="33" ht="21.0" customHeight="1">
      <c r="A33" s="78"/>
      <c r="B33" s="69" t="str">
        <f t="shared" si="1"/>
        <v>Chloe Webb</v>
      </c>
      <c r="C33" s="69" t="str">
        <f t="shared" si="2"/>
        <v>She/her</v>
      </c>
      <c r="D33" s="69" t="str">
        <f t="shared" si="3"/>
        <v>CW8091</v>
      </c>
      <c r="E33" s="69" t="str">
        <f t="shared" si="4"/>
        <v>Tenor</v>
      </c>
      <c r="F33" s="70">
        <f t="shared" si="5"/>
        <v>16</v>
      </c>
      <c r="G33" s="71" t="str">
        <f t="shared" si="6"/>
        <v>hs</v>
      </c>
      <c r="H33" s="72">
        <f t="shared" si="7"/>
        <v>1.25</v>
      </c>
      <c r="I33" s="88">
        <v>1.0</v>
      </c>
      <c r="J33" s="74">
        <v>2.0</v>
      </c>
      <c r="K33" s="74">
        <v>1.0</v>
      </c>
      <c r="L33" s="74">
        <v>1.0</v>
      </c>
      <c r="M33" s="75"/>
      <c r="N33" s="76"/>
      <c r="O33" s="77" t="s">
        <v>47</v>
      </c>
    </row>
    <row r="34" ht="21.0" customHeight="1">
      <c r="A34" s="78"/>
      <c r="B34" s="79" t="str">
        <f t="shared" si="1"/>
        <v>Jude Garcia</v>
      </c>
      <c r="C34" s="79" t="str">
        <f t="shared" si="2"/>
        <v>He Him</v>
      </c>
      <c r="D34" s="79" t="str">
        <f t="shared" si="3"/>
        <v>JG8115</v>
      </c>
      <c r="E34" s="79" t="str">
        <f t="shared" si="4"/>
        <v>Snare</v>
      </c>
      <c r="F34" s="80">
        <f t="shared" si="5"/>
        <v>18</v>
      </c>
      <c r="G34" s="81" t="str">
        <f t="shared" si="6"/>
        <v>hs</v>
      </c>
      <c r="H34" s="82" t="str">
        <f t="shared" si="7"/>
        <v/>
      </c>
      <c r="I34" s="83"/>
      <c r="J34" s="84"/>
      <c r="K34" s="84"/>
      <c r="L34" s="84"/>
      <c r="M34" s="85"/>
      <c r="N34" s="76"/>
      <c r="O34" s="87"/>
    </row>
    <row r="35" ht="21.0" customHeight="1">
      <c r="A35" s="78"/>
      <c r="B35" s="69" t="str">
        <f t="shared" si="1"/>
        <v>Vivek Sritharan</v>
      </c>
      <c r="C35" s="69" t="str">
        <f t="shared" si="2"/>
        <v>He/Him</v>
      </c>
      <c r="D35" s="69" t="str">
        <f t="shared" si="3"/>
        <v>VS8117</v>
      </c>
      <c r="E35" s="69" t="str">
        <f t="shared" si="4"/>
        <v>Snare</v>
      </c>
      <c r="F35" s="70">
        <f t="shared" si="5"/>
        <v>19</v>
      </c>
      <c r="G35" s="71" t="str">
        <f t="shared" si="6"/>
        <v>hs</v>
      </c>
      <c r="H35" s="72" t="str">
        <f t="shared" si="7"/>
        <v/>
      </c>
      <c r="I35" s="73"/>
      <c r="J35" s="74"/>
      <c r="K35" s="74"/>
      <c r="L35" s="74"/>
      <c r="M35" s="75"/>
      <c r="N35" s="76"/>
      <c r="O35" s="77"/>
    </row>
    <row r="36" ht="21.0" customHeight="1">
      <c r="A36" s="78"/>
      <c r="B36" s="79" t="str">
        <f t="shared" si="1"/>
        <v>Taylor Prentiss</v>
      </c>
      <c r="C36" s="79" t="str">
        <f t="shared" si="2"/>
        <v>He/They</v>
      </c>
      <c r="D36" s="79" t="str">
        <f t="shared" si="3"/>
        <v>TP8111</v>
      </c>
      <c r="E36" s="79" t="str">
        <f t="shared" si="4"/>
        <v>Cymbals</v>
      </c>
      <c r="F36" s="80">
        <f t="shared" si="5"/>
        <v>20</v>
      </c>
      <c r="G36" s="81" t="str">
        <f t="shared" si="6"/>
        <v>i3</v>
      </c>
      <c r="H36" s="82" t="str">
        <f t="shared" si="7"/>
        <v/>
      </c>
      <c r="I36" s="83"/>
      <c r="J36" s="84"/>
      <c r="K36" s="84"/>
      <c r="L36" s="84"/>
      <c r="M36" s="85"/>
      <c r="N36" s="76"/>
      <c r="O36" s="77"/>
    </row>
    <row r="37" ht="21.0" customHeight="1">
      <c r="A37" s="78"/>
      <c r="B37" s="69" t="str">
        <f t="shared" si="1"/>
        <v>Robert Ellis</v>
      </c>
      <c r="C37" s="69" t="str">
        <f t="shared" si="2"/>
        <v/>
      </c>
      <c r="D37" s="69" t="str">
        <f t="shared" si="3"/>
        <v>RE8121</v>
      </c>
      <c r="E37" s="69" t="str">
        <f t="shared" si="4"/>
        <v>Snare</v>
      </c>
      <c r="F37" s="70">
        <f t="shared" si="5"/>
        <v>18</v>
      </c>
      <c r="G37" s="71" t="str">
        <f t="shared" si="6"/>
        <v>dci</v>
      </c>
      <c r="H37" s="72" t="str">
        <f t="shared" si="7"/>
        <v/>
      </c>
      <c r="I37" s="73"/>
      <c r="J37" s="74"/>
      <c r="K37" s="74"/>
      <c r="L37" s="74"/>
      <c r="M37" s="75"/>
      <c r="N37" s="76"/>
      <c r="O37" s="87"/>
    </row>
    <row r="38" ht="21.0" customHeight="1">
      <c r="A38" s="78"/>
      <c r="B38" s="79" t="str">
        <f t="shared" si="1"/>
        <v>Damian Rix</v>
      </c>
      <c r="C38" s="79" t="str">
        <f t="shared" si="2"/>
        <v>he/it</v>
      </c>
      <c r="D38" s="79" t="str">
        <f t="shared" si="3"/>
        <v>DR8122</v>
      </c>
      <c r="E38" s="79" t="str">
        <f t="shared" si="4"/>
        <v>Cymbals</v>
      </c>
      <c r="F38" s="80">
        <f t="shared" si="5"/>
        <v>16</v>
      </c>
      <c r="G38" s="81" t="str">
        <f t="shared" si="6"/>
        <v>hs</v>
      </c>
      <c r="H38" s="82" t="str">
        <f t="shared" si="7"/>
        <v/>
      </c>
      <c r="I38" s="83"/>
      <c r="J38" s="84"/>
      <c r="K38" s="84"/>
      <c r="L38" s="84"/>
      <c r="M38" s="85"/>
      <c r="N38" s="76"/>
      <c r="O38" s="77"/>
    </row>
    <row r="39" ht="21.0" customHeight="1">
      <c r="A39" s="78"/>
      <c r="B39" s="69" t="str">
        <f t="shared" si="1"/>
        <v>Steph Manrique</v>
      </c>
      <c r="C39" s="69" t="str">
        <f t="shared" si="2"/>
        <v>she/her</v>
      </c>
      <c r="D39" s="69" t="str">
        <f t="shared" si="3"/>
        <v>SM8059</v>
      </c>
      <c r="E39" s="69" t="str">
        <f t="shared" si="4"/>
        <v>Visual Ensemble</v>
      </c>
      <c r="F39" s="70">
        <f t="shared" si="5"/>
        <v>19</v>
      </c>
      <c r="G39" s="71" t="str">
        <f t="shared" si="6"/>
        <v>i3</v>
      </c>
      <c r="H39" s="72" t="str">
        <f t="shared" si="7"/>
        <v/>
      </c>
      <c r="I39" s="73"/>
      <c r="J39" s="74"/>
      <c r="K39" s="74"/>
      <c r="L39" s="74"/>
      <c r="M39" s="75"/>
      <c r="N39" s="76"/>
      <c r="O39" s="87"/>
    </row>
    <row r="40" ht="21.0" customHeight="1">
      <c r="A40" s="78"/>
      <c r="B40" s="79" t="str">
        <f t="shared" si="1"/>
        <v>Ben Althoff</v>
      </c>
      <c r="C40" s="79" t="str">
        <f t="shared" si="2"/>
        <v/>
      </c>
      <c r="D40" s="79" t="str">
        <f t="shared" si="3"/>
        <v>BA8123</v>
      </c>
      <c r="E40" s="79" t="str">
        <f t="shared" si="4"/>
        <v>Snare</v>
      </c>
      <c r="F40" s="80">
        <f t="shared" si="5"/>
        <v>22</v>
      </c>
      <c r="G40" s="81" t="str">
        <f t="shared" si="6"/>
        <v>i1</v>
      </c>
      <c r="H40" s="82" t="str">
        <f t="shared" si="7"/>
        <v/>
      </c>
      <c r="I40" s="83"/>
      <c r="J40" s="84"/>
      <c r="K40" s="84"/>
      <c r="L40" s="84"/>
      <c r="M40" s="85"/>
      <c r="N40" s="76"/>
      <c r="O40" s="87"/>
    </row>
    <row r="41" ht="21.0" customHeight="1">
      <c r="A41" s="78"/>
      <c r="B41" s="69" t="str">
        <f t="shared" si="1"/>
        <v>Gavin Barker</v>
      </c>
      <c r="C41" s="69" t="str">
        <f t="shared" si="2"/>
        <v>He/Him</v>
      </c>
      <c r="D41" s="69" t="str">
        <f t="shared" si="3"/>
        <v>GB8124</v>
      </c>
      <c r="E41" s="69" t="str">
        <f t="shared" si="4"/>
        <v>Snare</v>
      </c>
      <c r="F41" s="70">
        <f t="shared" si="5"/>
        <v>21</v>
      </c>
      <c r="G41" s="71" t="str">
        <f t="shared" si="6"/>
        <v>i3</v>
      </c>
      <c r="H41" s="72" t="str">
        <f t="shared" si="7"/>
        <v/>
      </c>
      <c r="I41" s="73"/>
      <c r="J41" s="74"/>
      <c r="K41" s="74"/>
      <c r="L41" s="74"/>
      <c r="M41" s="75"/>
      <c r="N41" s="76"/>
      <c r="O41" s="87"/>
    </row>
    <row r="42" ht="21.0" customHeight="1">
      <c r="A42" s="78"/>
      <c r="B42" s="79" t="str">
        <f t="shared" si="1"/>
        <v>Aidan Moore</v>
      </c>
      <c r="C42" s="79" t="str">
        <f t="shared" si="2"/>
        <v/>
      </c>
      <c r="D42" s="79" t="str">
        <f t="shared" si="3"/>
        <v>AM8125</v>
      </c>
      <c r="E42" s="79" t="str">
        <f t="shared" si="4"/>
        <v>Snare</v>
      </c>
      <c r="F42" s="80">
        <f t="shared" si="5"/>
        <v>19</v>
      </c>
      <c r="G42" s="81" t="str">
        <f t="shared" si="6"/>
        <v>hs</v>
      </c>
      <c r="H42" s="82" t="str">
        <f t="shared" si="7"/>
        <v/>
      </c>
      <c r="I42" s="83"/>
      <c r="J42" s="84"/>
      <c r="K42" s="84"/>
      <c r="L42" s="84"/>
      <c r="M42" s="85"/>
      <c r="N42" s="76"/>
      <c r="O42" s="77"/>
    </row>
    <row r="43" ht="21.0" customHeight="1">
      <c r="A43" s="78"/>
      <c r="B43" s="69" t="str">
        <f t="shared" si="1"/>
        <v>Joel Rivera</v>
      </c>
      <c r="C43" s="69" t="str">
        <f t="shared" si="2"/>
        <v>He/Him</v>
      </c>
      <c r="D43" s="69" t="str">
        <f t="shared" si="3"/>
        <v>JR8128</v>
      </c>
      <c r="E43" s="69" t="str">
        <f t="shared" si="4"/>
        <v>Tenor</v>
      </c>
      <c r="F43" s="70">
        <f t="shared" si="5"/>
        <v>21</v>
      </c>
      <c r="G43" s="71" t="str">
        <f t="shared" si="6"/>
        <v>i2</v>
      </c>
      <c r="H43" s="72" t="str">
        <f t="shared" si="7"/>
        <v/>
      </c>
      <c r="I43" s="88"/>
      <c r="J43" s="74"/>
      <c r="K43" s="74"/>
      <c r="L43" s="74"/>
      <c r="M43" s="75"/>
      <c r="N43" s="76"/>
      <c r="O43" s="77"/>
    </row>
    <row r="44" ht="21.0" customHeight="1">
      <c r="A44" s="78"/>
      <c r="B44" s="79" t="str">
        <f t="shared" si="1"/>
        <v>Ian Centeno</v>
      </c>
      <c r="C44" s="79" t="str">
        <f t="shared" si="2"/>
        <v>He/Him</v>
      </c>
      <c r="D44" s="79" t="str">
        <f t="shared" si="3"/>
        <v>IC8131</v>
      </c>
      <c r="E44" s="79" t="str">
        <f t="shared" si="4"/>
        <v>Snare</v>
      </c>
      <c r="F44" s="80">
        <f t="shared" si="5"/>
        <v>18</v>
      </c>
      <c r="G44" s="81" t="str">
        <f t="shared" si="6"/>
        <v>hs</v>
      </c>
      <c r="H44" s="82" t="str">
        <f t="shared" si="7"/>
        <v/>
      </c>
      <c r="I44" s="83"/>
      <c r="J44" s="84"/>
      <c r="K44" s="84"/>
      <c r="L44" s="84"/>
      <c r="M44" s="85"/>
      <c r="N44" s="76"/>
      <c r="O44" s="77"/>
    </row>
    <row r="45" ht="21.0" customHeight="1">
      <c r="A45" s="78"/>
      <c r="B45" s="69" t="str">
        <f t="shared" si="1"/>
        <v>Ashley Gilbert</v>
      </c>
      <c r="C45" s="69" t="str">
        <f t="shared" si="2"/>
        <v/>
      </c>
      <c r="D45" s="69" t="str">
        <f t="shared" si="3"/>
        <v>AG8132</v>
      </c>
      <c r="E45" s="69" t="str">
        <f t="shared" si="4"/>
        <v>Cymbals</v>
      </c>
      <c r="F45" s="70">
        <f t="shared" si="5"/>
        <v>21</v>
      </c>
      <c r="G45" s="71" t="str">
        <f t="shared" si="6"/>
        <v>i2</v>
      </c>
      <c r="H45" s="72" t="str">
        <f t="shared" si="7"/>
        <v/>
      </c>
      <c r="I45" s="73"/>
      <c r="J45" s="74"/>
      <c r="K45" s="74"/>
      <c r="L45" s="74"/>
      <c r="M45" s="75"/>
      <c r="N45" s="76"/>
      <c r="O45" s="77"/>
    </row>
    <row r="46" ht="21.0" customHeight="1">
      <c r="A46" s="78"/>
      <c r="B46" s="79" t="str">
        <f t="shared" si="1"/>
        <v>Daliana Rosado</v>
      </c>
      <c r="C46" s="79" t="str">
        <f t="shared" si="2"/>
        <v>She/they</v>
      </c>
      <c r="D46" s="79" t="str">
        <f t="shared" si="3"/>
        <v>DR8133</v>
      </c>
      <c r="E46" s="79" t="str">
        <f t="shared" si="4"/>
        <v>Visual Ensemble</v>
      </c>
      <c r="F46" s="80">
        <f t="shared" si="5"/>
        <v>16</v>
      </c>
      <c r="G46" s="81" t="str">
        <f t="shared" si="6"/>
        <v>i3</v>
      </c>
      <c r="H46" s="82" t="str">
        <f t="shared" si="7"/>
        <v/>
      </c>
      <c r="I46" s="83"/>
      <c r="J46" s="84"/>
      <c r="K46" s="84"/>
      <c r="L46" s="84"/>
      <c r="M46" s="85"/>
      <c r="N46" s="76"/>
      <c r="O46" s="77"/>
    </row>
    <row r="47" ht="21.0" customHeight="1">
      <c r="A47" s="78"/>
      <c r="B47" s="69" t="str">
        <f t="shared" si="1"/>
        <v>Chase Heffner</v>
      </c>
      <c r="C47" s="69" t="str">
        <f t="shared" si="2"/>
        <v>he/him</v>
      </c>
      <c r="D47" s="69" t="str">
        <f t="shared" si="3"/>
        <v>CH8134</v>
      </c>
      <c r="E47" s="69" t="str">
        <f t="shared" si="4"/>
        <v>Tenor</v>
      </c>
      <c r="F47" s="70">
        <f t="shared" si="5"/>
        <v>18</v>
      </c>
      <c r="G47" s="71" t="str">
        <f t="shared" si="6"/>
        <v>hs</v>
      </c>
      <c r="H47" s="72" t="str">
        <f t="shared" si="7"/>
        <v/>
      </c>
      <c r="I47" s="88"/>
      <c r="J47" s="74"/>
      <c r="K47" s="74"/>
      <c r="L47" s="74"/>
      <c r="M47" s="75"/>
      <c r="N47" s="76"/>
      <c r="O47" s="87"/>
    </row>
    <row r="48" ht="21.0" customHeight="1">
      <c r="A48" s="78"/>
      <c r="B48" s="79" t="str">
        <f t="shared" si="1"/>
        <v>Evan  Barlow</v>
      </c>
      <c r="C48" s="79" t="str">
        <f t="shared" si="2"/>
        <v/>
      </c>
      <c r="D48" s="79" t="str">
        <f t="shared" si="3"/>
        <v>EB8135</v>
      </c>
      <c r="E48" s="79" t="str">
        <f t="shared" si="4"/>
        <v>Snare</v>
      </c>
      <c r="F48" s="80">
        <f t="shared" si="5"/>
        <v>17</v>
      </c>
      <c r="G48" s="81" t="str">
        <f t="shared" si="6"/>
        <v>hs</v>
      </c>
      <c r="H48" s="82" t="str">
        <f t="shared" si="7"/>
        <v/>
      </c>
      <c r="I48" s="83"/>
      <c r="J48" s="84"/>
      <c r="K48" s="84"/>
      <c r="L48" s="84"/>
      <c r="M48" s="85"/>
      <c r="N48" s="76"/>
      <c r="O48" s="77"/>
    </row>
    <row r="49" ht="21.0" customHeight="1">
      <c r="A49" s="78"/>
      <c r="B49" s="69" t="str">
        <f t="shared" si="1"/>
        <v>Gio Martin</v>
      </c>
      <c r="C49" s="69" t="str">
        <f t="shared" si="2"/>
        <v>He/Him</v>
      </c>
      <c r="D49" s="69" t="str">
        <f t="shared" si="3"/>
        <v>GM8139</v>
      </c>
      <c r="E49" s="69" t="str">
        <f t="shared" si="4"/>
        <v>Bass</v>
      </c>
      <c r="F49" s="70">
        <f t="shared" si="5"/>
        <v>17</v>
      </c>
      <c r="G49" s="71" t="str">
        <f t="shared" si="6"/>
        <v>hs</v>
      </c>
      <c r="H49" s="72" t="str">
        <f t="shared" si="7"/>
        <v/>
      </c>
      <c r="I49" s="73"/>
      <c r="J49" s="74"/>
      <c r="K49" s="74"/>
      <c r="L49" s="74"/>
      <c r="M49" s="75"/>
      <c r="N49" s="76"/>
      <c r="O49" s="77"/>
    </row>
    <row r="50" ht="21.0" customHeight="1">
      <c r="A50" s="78"/>
      <c r="B50" s="79" t="str">
        <f t="shared" si="1"/>
        <v>Anthony Silin</v>
      </c>
      <c r="C50" s="79" t="str">
        <f t="shared" si="2"/>
        <v>He/Him</v>
      </c>
      <c r="D50" s="79" t="str">
        <f t="shared" si="3"/>
        <v>AS8099</v>
      </c>
      <c r="E50" s="79" t="str">
        <f t="shared" si="4"/>
        <v>Tenor</v>
      </c>
      <c r="F50" s="80">
        <f t="shared" si="5"/>
        <v>21</v>
      </c>
      <c r="G50" s="81" t="str">
        <f t="shared" si="6"/>
        <v>hs</v>
      </c>
      <c r="H50" s="82">
        <f t="shared" si="7"/>
        <v>2.666666667</v>
      </c>
      <c r="I50" s="89">
        <v>2.0</v>
      </c>
      <c r="J50" s="84">
        <v>3.0</v>
      </c>
      <c r="K50" s="84">
        <v>3.0</v>
      </c>
      <c r="L50" s="84"/>
      <c r="M50" s="85"/>
      <c r="N50" s="76"/>
      <c r="O50" s="77"/>
    </row>
    <row r="51" ht="21.0" customHeight="1">
      <c r="A51" s="78"/>
      <c r="B51" s="69" t="str">
        <f t="shared" si="1"/>
        <v>Zachary Smith</v>
      </c>
      <c r="C51" s="69" t="str">
        <f t="shared" si="2"/>
        <v>He/Him</v>
      </c>
      <c r="D51" s="69" t="str">
        <f t="shared" si="3"/>
        <v>ZS8141</v>
      </c>
      <c r="E51" s="69" t="str">
        <f t="shared" si="4"/>
        <v>Snare</v>
      </c>
      <c r="F51" s="70">
        <f t="shared" si="5"/>
        <v>15</v>
      </c>
      <c r="G51" s="71" t="str">
        <f t="shared" si="6"/>
        <v>pia</v>
      </c>
      <c r="H51" s="72" t="str">
        <f t="shared" si="7"/>
        <v/>
      </c>
      <c r="I51" s="73"/>
      <c r="J51" s="74"/>
      <c r="K51" s="74"/>
      <c r="L51" s="74"/>
      <c r="M51" s="75"/>
      <c r="N51" s="76"/>
      <c r="O51" s="77"/>
    </row>
    <row r="52" ht="21.0" customHeight="1">
      <c r="A52" s="78"/>
      <c r="B52" s="79" t="str">
        <f t="shared" si="1"/>
        <v>Amber Lee</v>
      </c>
      <c r="C52" s="79" t="str">
        <f t="shared" si="2"/>
        <v>She/Her</v>
      </c>
      <c r="D52" s="79" t="str">
        <f t="shared" si="3"/>
        <v>AL8264</v>
      </c>
      <c r="E52" s="79" t="str">
        <f t="shared" si="4"/>
        <v>Visual Ensemble</v>
      </c>
      <c r="F52" s="80">
        <f t="shared" si="5"/>
        <v>13</v>
      </c>
      <c r="G52" s="81" t="str">
        <f t="shared" si="6"/>
        <v>i3</v>
      </c>
      <c r="H52" s="82" t="str">
        <f t="shared" si="7"/>
        <v/>
      </c>
      <c r="I52" s="83"/>
      <c r="J52" s="84"/>
      <c r="K52" s="84"/>
      <c r="L52" s="84"/>
      <c r="M52" s="85"/>
      <c r="N52" s="76"/>
      <c r="O52" s="77"/>
    </row>
    <row r="53" ht="21.0" customHeight="1">
      <c r="A53" s="78"/>
      <c r="B53" s="69" t="str">
        <f t="shared" si="1"/>
        <v>Jayden MacRae</v>
      </c>
      <c r="C53" s="69" t="str">
        <f t="shared" si="2"/>
        <v>He/Him</v>
      </c>
      <c r="D53" s="69" t="str">
        <f t="shared" si="3"/>
        <v>JM8157</v>
      </c>
      <c r="E53" s="69" t="str">
        <f t="shared" si="4"/>
        <v>Snare</v>
      </c>
      <c r="F53" s="70">
        <f t="shared" si="5"/>
        <v>16</v>
      </c>
      <c r="G53" s="71" t="str">
        <f t="shared" si="6"/>
        <v>hs</v>
      </c>
      <c r="H53" s="72" t="str">
        <f t="shared" si="7"/>
        <v/>
      </c>
      <c r="I53" s="73"/>
      <c r="J53" s="74"/>
      <c r="K53" s="74"/>
      <c r="L53" s="74"/>
      <c r="M53" s="75"/>
      <c r="N53" s="76"/>
      <c r="O53" s="77"/>
    </row>
    <row r="54" ht="21.0" customHeight="1">
      <c r="A54" s="78"/>
      <c r="B54" s="79" t="str">
        <f t="shared" si="1"/>
        <v>Benjamin  Ferrer</v>
      </c>
      <c r="C54" s="79" t="str">
        <f t="shared" si="2"/>
        <v>He/him</v>
      </c>
      <c r="D54" s="79" t="str">
        <f t="shared" si="3"/>
        <v>BF8073</v>
      </c>
      <c r="E54" s="79" t="str">
        <f t="shared" si="4"/>
        <v>Cymbals</v>
      </c>
      <c r="F54" s="80">
        <f t="shared" si="5"/>
        <v>18</v>
      </c>
      <c r="G54" s="81" t="str">
        <f t="shared" si="6"/>
        <v>i2</v>
      </c>
      <c r="H54" s="82" t="str">
        <f t="shared" si="7"/>
        <v/>
      </c>
      <c r="I54" s="83"/>
      <c r="J54" s="84"/>
      <c r="K54" s="84"/>
      <c r="L54" s="84"/>
      <c r="M54" s="85"/>
      <c r="N54" s="76"/>
      <c r="O54" s="77"/>
    </row>
    <row r="55" ht="21.0" customHeight="1">
      <c r="A55" s="78"/>
      <c r="B55" s="69" t="str">
        <f t="shared" si="1"/>
        <v>Callen Cole</v>
      </c>
      <c r="C55" s="69" t="str">
        <f t="shared" si="2"/>
        <v>She/her</v>
      </c>
      <c r="D55" s="69" t="str">
        <f t="shared" si="3"/>
        <v>CC8162</v>
      </c>
      <c r="E55" s="69" t="str">
        <f t="shared" si="4"/>
        <v>Snare</v>
      </c>
      <c r="F55" s="70">
        <f t="shared" si="5"/>
        <v>17</v>
      </c>
      <c r="G55" s="71" t="str">
        <f t="shared" si="6"/>
        <v>hs</v>
      </c>
      <c r="H55" s="72" t="str">
        <f t="shared" si="7"/>
        <v/>
      </c>
      <c r="I55" s="73"/>
      <c r="J55" s="74"/>
      <c r="K55" s="74"/>
      <c r="L55" s="74"/>
      <c r="M55" s="75"/>
      <c r="N55" s="76"/>
      <c r="O55" s="77"/>
    </row>
    <row r="56" ht="21.0" customHeight="1">
      <c r="A56" s="78"/>
      <c r="B56" s="79" t="str">
        <f t="shared" si="1"/>
        <v>Warner Blackwood</v>
      </c>
      <c r="C56" s="79" t="str">
        <f t="shared" si="2"/>
        <v>he/him</v>
      </c>
      <c r="D56" s="79" t="str">
        <f t="shared" si="3"/>
        <v>WB8165</v>
      </c>
      <c r="E56" s="79" t="str">
        <f t="shared" si="4"/>
        <v>Bass</v>
      </c>
      <c r="F56" s="80">
        <f t="shared" si="5"/>
        <v>18</v>
      </c>
      <c r="G56" s="81" t="str">
        <f t="shared" si="6"/>
        <v>i3</v>
      </c>
      <c r="H56" s="82" t="str">
        <f t="shared" si="7"/>
        <v/>
      </c>
      <c r="I56" s="83"/>
      <c r="J56" s="84"/>
      <c r="K56" s="84"/>
      <c r="L56" s="84"/>
      <c r="M56" s="85"/>
      <c r="N56" s="76"/>
      <c r="O56" s="77"/>
    </row>
    <row r="57" ht="21.0" customHeight="1">
      <c r="A57" s="78"/>
      <c r="B57" s="69" t="str">
        <f t="shared" si="1"/>
        <v>Dexter Smith</v>
      </c>
      <c r="C57" s="69" t="str">
        <f t="shared" si="2"/>
        <v>He/him</v>
      </c>
      <c r="D57" s="69" t="str">
        <f t="shared" si="3"/>
        <v>DS8063</v>
      </c>
      <c r="E57" s="69" t="str">
        <f t="shared" si="4"/>
        <v>Cymbals</v>
      </c>
      <c r="F57" s="70">
        <f t="shared" si="5"/>
        <v>19</v>
      </c>
      <c r="G57" s="71" t="str">
        <f t="shared" si="6"/>
        <v>i2</v>
      </c>
      <c r="H57" s="72" t="str">
        <f t="shared" si="7"/>
        <v/>
      </c>
      <c r="I57" s="73"/>
      <c r="J57" s="74"/>
      <c r="K57" s="74"/>
      <c r="L57" s="74"/>
      <c r="M57" s="75"/>
      <c r="N57" s="76"/>
      <c r="O57" s="77"/>
    </row>
    <row r="58" ht="21.0" customHeight="1">
      <c r="A58" s="78"/>
      <c r="B58" s="79" t="str">
        <f t="shared" si="1"/>
        <v>Parker Sturdivant</v>
      </c>
      <c r="C58" s="79" t="str">
        <f t="shared" si="2"/>
        <v>He/him</v>
      </c>
      <c r="D58" s="79" t="str">
        <f t="shared" si="3"/>
        <v>PS8167</v>
      </c>
      <c r="E58" s="79" t="str">
        <f t="shared" si="4"/>
        <v>Snare</v>
      </c>
      <c r="F58" s="80">
        <f t="shared" si="5"/>
        <v>19</v>
      </c>
      <c r="G58" s="81" t="str">
        <f t="shared" si="6"/>
        <v>piw</v>
      </c>
      <c r="H58" s="82" t="str">
        <f t="shared" si="7"/>
        <v/>
      </c>
      <c r="I58" s="83"/>
      <c r="J58" s="84"/>
      <c r="K58" s="84"/>
      <c r="L58" s="84"/>
      <c r="M58" s="85"/>
      <c r="N58" s="76"/>
      <c r="O58" s="87"/>
    </row>
    <row r="59" ht="21.0" customHeight="1">
      <c r="A59" s="78"/>
      <c r="B59" s="69" t="str">
        <f t="shared" si="1"/>
        <v>Aden Sigall</v>
      </c>
      <c r="C59" s="69" t="str">
        <f t="shared" si="2"/>
        <v>He/Him</v>
      </c>
      <c r="D59" s="69" t="str">
        <f t="shared" si="3"/>
        <v>AS8171</v>
      </c>
      <c r="E59" s="69" t="str">
        <f t="shared" si="4"/>
        <v>Bass</v>
      </c>
      <c r="F59" s="70">
        <f t="shared" si="5"/>
        <v>19</v>
      </c>
      <c r="G59" s="71" t="str">
        <f t="shared" si="6"/>
        <v>i2</v>
      </c>
      <c r="H59" s="72" t="str">
        <f t="shared" si="7"/>
        <v/>
      </c>
      <c r="I59" s="73"/>
      <c r="J59" s="74"/>
      <c r="K59" s="74"/>
      <c r="L59" s="74"/>
      <c r="M59" s="75"/>
      <c r="N59" s="76"/>
      <c r="O59" s="77"/>
    </row>
    <row r="60" ht="21.0" customHeight="1">
      <c r="A60" s="78"/>
      <c r="B60" s="79" t="str">
        <f t="shared" si="1"/>
        <v>Alex Sanchez</v>
      </c>
      <c r="C60" s="79" t="str">
        <f t="shared" si="2"/>
        <v>He\him</v>
      </c>
      <c r="D60" s="79" t="str">
        <f t="shared" si="3"/>
        <v>AS8173</v>
      </c>
      <c r="E60" s="79" t="str">
        <f t="shared" si="4"/>
        <v>Bass</v>
      </c>
      <c r="F60" s="80">
        <f t="shared" si="5"/>
        <v>17</v>
      </c>
      <c r="G60" s="81" t="str">
        <f t="shared" si="6"/>
        <v>hs</v>
      </c>
      <c r="H60" s="82" t="str">
        <f t="shared" si="7"/>
        <v/>
      </c>
      <c r="I60" s="83"/>
      <c r="J60" s="84"/>
      <c r="K60" s="84"/>
      <c r="L60" s="84"/>
      <c r="M60" s="85"/>
      <c r="N60" s="76"/>
      <c r="O60" s="77"/>
    </row>
    <row r="61" ht="21.0" customHeight="1">
      <c r="A61" s="78"/>
      <c r="B61" s="69" t="str">
        <f t="shared" si="1"/>
        <v>Cole Anderson</v>
      </c>
      <c r="C61" s="69" t="str">
        <f t="shared" si="2"/>
        <v/>
      </c>
      <c r="D61" s="69" t="str">
        <f t="shared" si="3"/>
        <v>CA8174</v>
      </c>
      <c r="E61" s="69" t="str">
        <f t="shared" si="4"/>
        <v>Cymbals</v>
      </c>
      <c r="F61" s="70">
        <f t="shared" si="5"/>
        <v>18</v>
      </c>
      <c r="G61" s="71" t="str">
        <f t="shared" si="6"/>
        <v>hs</v>
      </c>
      <c r="H61" s="72" t="str">
        <f t="shared" si="7"/>
        <v/>
      </c>
      <c r="I61" s="73"/>
      <c r="J61" s="74"/>
      <c r="K61" s="74"/>
      <c r="L61" s="74"/>
      <c r="M61" s="75"/>
      <c r="N61" s="76"/>
      <c r="O61" s="77"/>
    </row>
    <row r="62" ht="21.0" customHeight="1">
      <c r="A62" s="78"/>
      <c r="B62" s="79" t="str">
        <f t="shared" si="1"/>
        <v>Austin Martin</v>
      </c>
      <c r="C62" s="79" t="str">
        <f t="shared" si="2"/>
        <v>He/Him</v>
      </c>
      <c r="D62" s="79" t="str">
        <f t="shared" si="3"/>
        <v>AM8153</v>
      </c>
      <c r="E62" s="79" t="str">
        <f t="shared" si="4"/>
        <v>Tenor</v>
      </c>
      <c r="F62" s="80">
        <f t="shared" si="5"/>
        <v>22</v>
      </c>
      <c r="G62" s="81" t="str">
        <f t="shared" si="6"/>
        <v>pia</v>
      </c>
      <c r="H62" s="82">
        <f t="shared" si="7"/>
        <v>2</v>
      </c>
      <c r="I62" s="89">
        <v>2.0</v>
      </c>
      <c r="J62" s="84">
        <v>2.0</v>
      </c>
      <c r="K62" s="84">
        <v>2.0</v>
      </c>
      <c r="L62" s="84"/>
      <c r="M62" s="85"/>
      <c r="N62" s="76"/>
      <c r="O62" s="77"/>
    </row>
    <row r="63" ht="21.0" customHeight="1">
      <c r="A63" s="78"/>
      <c r="B63" s="69" t="str">
        <f t="shared" si="1"/>
        <v>Surya Kaniyur</v>
      </c>
      <c r="C63" s="69" t="str">
        <f t="shared" si="2"/>
        <v>He/Him</v>
      </c>
      <c r="D63" s="69" t="str">
        <f t="shared" si="3"/>
        <v>SK8163</v>
      </c>
      <c r="E63" s="69" t="str">
        <f t="shared" si="4"/>
        <v>Tenor</v>
      </c>
      <c r="F63" s="70">
        <f t="shared" si="5"/>
        <v>21</v>
      </c>
      <c r="G63" s="71" t="str">
        <f t="shared" si="6"/>
        <v>i1</v>
      </c>
      <c r="H63" s="72" t="str">
        <f t="shared" si="7"/>
        <v/>
      </c>
      <c r="I63" s="88"/>
      <c r="J63" s="74"/>
      <c r="K63" s="74"/>
      <c r="L63" s="74"/>
      <c r="M63" s="75"/>
      <c r="N63" s="76"/>
      <c r="O63" s="77"/>
    </row>
    <row r="64" ht="21.0" customHeight="1">
      <c r="A64" s="78"/>
      <c r="B64" s="79" t="str">
        <f t="shared" si="1"/>
        <v>Jason Bruton</v>
      </c>
      <c r="C64" s="79" t="str">
        <f t="shared" si="2"/>
        <v>He/Him</v>
      </c>
      <c r="D64" s="79" t="str">
        <f t="shared" si="3"/>
        <v>JB8146</v>
      </c>
      <c r="E64" s="79" t="str">
        <f t="shared" si="4"/>
        <v>Snare</v>
      </c>
      <c r="F64" s="80">
        <f t="shared" si="5"/>
        <v>19</v>
      </c>
      <c r="G64" s="81" t="str">
        <f t="shared" si="6"/>
        <v>hs</v>
      </c>
      <c r="H64" s="82" t="str">
        <f t="shared" si="7"/>
        <v/>
      </c>
      <c r="I64" s="83"/>
      <c r="J64" s="84"/>
      <c r="K64" s="84"/>
      <c r="L64" s="84"/>
      <c r="M64" s="85"/>
      <c r="N64" s="76"/>
      <c r="O64" s="77"/>
    </row>
    <row r="65" ht="21.0" customHeight="1">
      <c r="A65" s="78"/>
      <c r="B65" s="69" t="str">
        <f t="shared" si="1"/>
        <v>Mark Wydler</v>
      </c>
      <c r="C65" s="69" t="str">
        <f t="shared" si="2"/>
        <v/>
      </c>
      <c r="D65" s="69" t="str">
        <f t="shared" si="3"/>
        <v>MW8067</v>
      </c>
      <c r="E65" s="69" t="str">
        <f t="shared" si="4"/>
        <v>Cymbals</v>
      </c>
      <c r="F65" s="70">
        <f t="shared" si="5"/>
        <v>21</v>
      </c>
      <c r="G65" s="71" t="str">
        <f t="shared" si="6"/>
        <v>pio</v>
      </c>
      <c r="H65" s="72" t="str">
        <f t="shared" si="7"/>
        <v/>
      </c>
      <c r="I65" s="73"/>
      <c r="J65" s="74"/>
      <c r="K65" s="74"/>
      <c r="L65" s="74"/>
      <c r="M65" s="75"/>
      <c r="N65" s="76"/>
      <c r="O65" s="77"/>
    </row>
    <row r="66" ht="21.0" customHeight="1">
      <c r="A66" s="78"/>
      <c r="B66" s="79" t="str">
        <f t="shared" si="1"/>
        <v>Mike Vickery</v>
      </c>
      <c r="C66" s="79" t="str">
        <f t="shared" si="2"/>
        <v>He/Him</v>
      </c>
      <c r="D66" s="79" t="str">
        <f t="shared" si="3"/>
        <v>MV8148</v>
      </c>
      <c r="E66" s="79" t="str">
        <f t="shared" si="4"/>
        <v>Snare</v>
      </c>
      <c r="F66" s="80">
        <f t="shared" si="5"/>
        <v>22</v>
      </c>
      <c r="G66" s="81" t="str">
        <f t="shared" si="6"/>
        <v>i2</v>
      </c>
      <c r="H66" s="82" t="str">
        <f t="shared" si="7"/>
        <v/>
      </c>
      <c r="I66" s="83"/>
      <c r="J66" s="84"/>
      <c r="K66" s="84"/>
      <c r="L66" s="84"/>
      <c r="M66" s="85"/>
      <c r="N66" s="76"/>
      <c r="O66" s="77"/>
    </row>
    <row r="67" ht="21.0" customHeight="1">
      <c r="A67" s="78"/>
      <c r="B67" s="69" t="str">
        <f t="shared" si="1"/>
        <v>Daniel Tibma</v>
      </c>
      <c r="C67" s="69" t="str">
        <f t="shared" si="2"/>
        <v>he/him</v>
      </c>
      <c r="D67" s="69" t="str">
        <f t="shared" si="3"/>
        <v>DT8151</v>
      </c>
      <c r="E67" s="69" t="str">
        <f t="shared" si="4"/>
        <v>Snare</v>
      </c>
      <c r="F67" s="70">
        <f t="shared" si="5"/>
        <v>19</v>
      </c>
      <c r="G67" s="71" t="str">
        <f t="shared" si="6"/>
        <v>i3</v>
      </c>
      <c r="H67" s="72" t="str">
        <f t="shared" si="7"/>
        <v/>
      </c>
      <c r="I67" s="73"/>
      <c r="J67" s="74"/>
      <c r="K67" s="74"/>
      <c r="L67" s="74"/>
      <c r="M67" s="75"/>
      <c r="N67" s="76"/>
      <c r="O67" s="77"/>
    </row>
    <row r="68" ht="21.0" customHeight="1">
      <c r="A68" s="78"/>
      <c r="B68" s="79" t="str">
        <f t="shared" si="1"/>
        <v>Dillon Gregory</v>
      </c>
      <c r="C68" s="79" t="str">
        <f t="shared" si="2"/>
        <v/>
      </c>
      <c r="D68" s="79" t="str">
        <f t="shared" si="3"/>
        <v>DG8051</v>
      </c>
      <c r="E68" s="79" t="str">
        <f t="shared" si="4"/>
        <v>Snare</v>
      </c>
      <c r="F68" s="80">
        <f t="shared" si="5"/>
        <v>21</v>
      </c>
      <c r="G68" s="81" t="str">
        <f t="shared" si="6"/>
        <v>pia</v>
      </c>
      <c r="H68" s="82" t="str">
        <f t="shared" si="7"/>
        <v/>
      </c>
      <c r="I68" s="83"/>
      <c r="J68" s="84"/>
      <c r="K68" s="84"/>
      <c r="L68" s="84"/>
      <c r="M68" s="85"/>
      <c r="N68" s="76"/>
      <c r="O68" s="77"/>
    </row>
    <row r="69" ht="21.0" customHeight="1">
      <c r="A69" s="78"/>
      <c r="B69" s="69" t="str">
        <f t="shared" si="1"/>
        <v>Alex Hulsey</v>
      </c>
      <c r="C69" s="69" t="str">
        <f t="shared" si="2"/>
        <v>He/Him</v>
      </c>
      <c r="D69" s="69" t="str">
        <f t="shared" si="3"/>
        <v>AH8142</v>
      </c>
      <c r="E69" s="69" t="str">
        <f t="shared" si="4"/>
        <v>Tenor</v>
      </c>
      <c r="F69" s="70">
        <f t="shared" si="5"/>
        <v>17</v>
      </c>
      <c r="G69" s="71" t="str">
        <f t="shared" si="6"/>
        <v>hs</v>
      </c>
      <c r="H69" s="72" t="str">
        <f t="shared" si="7"/>
        <v/>
      </c>
      <c r="I69" s="88"/>
      <c r="J69" s="74"/>
      <c r="K69" s="74"/>
      <c r="L69" s="74"/>
      <c r="M69" s="75"/>
      <c r="N69" s="76"/>
      <c r="O69" s="77"/>
    </row>
    <row r="70" ht="21.0" customHeight="1">
      <c r="A70" s="78"/>
      <c r="B70" s="79" t="str">
        <f t="shared" si="1"/>
        <v>Brian Haire</v>
      </c>
      <c r="C70" s="79" t="str">
        <f t="shared" si="2"/>
        <v>N/A</v>
      </c>
      <c r="D70" s="79" t="str">
        <f t="shared" si="3"/>
        <v>BH8100</v>
      </c>
      <c r="E70" s="79" t="str">
        <f t="shared" si="4"/>
        <v>Snare</v>
      </c>
      <c r="F70" s="80">
        <f t="shared" si="5"/>
        <v>21</v>
      </c>
      <c r="G70" s="81" t="str">
        <f t="shared" si="6"/>
        <v>dci</v>
      </c>
      <c r="H70" s="82" t="str">
        <f t="shared" si="7"/>
        <v/>
      </c>
      <c r="I70" s="83"/>
      <c r="J70" s="84"/>
      <c r="K70" s="84"/>
      <c r="L70" s="84"/>
      <c r="M70" s="85"/>
      <c r="N70" s="76"/>
      <c r="O70" s="87"/>
    </row>
    <row r="71" ht="21.0" customHeight="1">
      <c r="A71" s="78"/>
      <c r="B71" s="69" t="str">
        <f t="shared" si="1"/>
        <v>Grady Roberts</v>
      </c>
      <c r="C71" s="69" t="str">
        <f t="shared" si="2"/>
        <v>He/Him</v>
      </c>
      <c r="D71" s="69" t="str">
        <f t="shared" si="3"/>
        <v>GR8103</v>
      </c>
      <c r="E71" s="69" t="str">
        <f t="shared" si="4"/>
        <v>Cymbals</v>
      </c>
      <c r="F71" s="70">
        <f t="shared" si="5"/>
        <v>20</v>
      </c>
      <c r="G71" s="71" t="str">
        <f t="shared" si="6"/>
        <v>i3</v>
      </c>
      <c r="H71" s="72" t="str">
        <f t="shared" si="7"/>
        <v/>
      </c>
      <c r="I71" s="73"/>
      <c r="J71" s="74"/>
      <c r="K71" s="74"/>
      <c r="L71" s="74"/>
      <c r="M71" s="75"/>
      <c r="N71" s="76"/>
      <c r="O71" s="87"/>
    </row>
    <row r="72" ht="21.0" customHeight="1">
      <c r="A72" s="78"/>
      <c r="B72" s="79" t="str">
        <f t="shared" si="1"/>
        <v>Eddie Sanderson III</v>
      </c>
      <c r="C72" s="79" t="str">
        <f t="shared" si="2"/>
        <v>He/him</v>
      </c>
      <c r="D72" s="79" t="str">
        <f t="shared" si="3"/>
        <v>ES8178</v>
      </c>
      <c r="E72" s="79" t="str">
        <f t="shared" si="4"/>
        <v>Snare</v>
      </c>
      <c r="F72" s="80">
        <f t="shared" si="5"/>
        <v>18</v>
      </c>
      <c r="G72" s="81" t="str">
        <f t="shared" si="6"/>
        <v>hs</v>
      </c>
      <c r="H72" s="82" t="str">
        <f t="shared" si="7"/>
        <v/>
      </c>
      <c r="I72" s="83"/>
      <c r="J72" s="84"/>
      <c r="K72" s="84"/>
      <c r="L72" s="84"/>
      <c r="M72" s="85"/>
      <c r="N72" s="76"/>
      <c r="O72" s="87"/>
    </row>
    <row r="73" ht="21.0" customHeight="1">
      <c r="A73" s="78"/>
      <c r="B73" s="69" t="str">
        <f t="shared" si="1"/>
        <v>Katie Huynh</v>
      </c>
      <c r="C73" s="69" t="str">
        <f t="shared" si="2"/>
        <v>She/her</v>
      </c>
      <c r="D73" s="69" t="str">
        <f t="shared" si="3"/>
        <v>KH8181</v>
      </c>
      <c r="E73" s="69" t="str">
        <f t="shared" si="4"/>
        <v>Visual Ensemble</v>
      </c>
      <c r="F73" s="70">
        <f t="shared" si="5"/>
        <v>16</v>
      </c>
      <c r="G73" s="71" t="str">
        <f t="shared" si="6"/>
        <v>piw</v>
      </c>
      <c r="H73" s="72" t="str">
        <f t="shared" si="7"/>
        <v/>
      </c>
      <c r="I73" s="73"/>
      <c r="J73" s="74"/>
      <c r="K73" s="74"/>
      <c r="L73" s="74"/>
      <c r="M73" s="75"/>
      <c r="N73" s="76"/>
      <c r="O73" s="87"/>
    </row>
    <row r="74" ht="21.0" customHeight="1">
      <c r="A74" s="78"/>
      <c r="B74" s="79" t="str">
        <f t="shared" si="1"/>
        <v>Emilio Valdez </v>
      </c>
      <c r="C74" s="79" t="str">
        <f t="shared" si="2"/>
        <v>He/Him </v>
      </c>
      <c r="D74" s="79" t="str">
        <f t="shared" si="3"/>
        <v>EV8179</v>
      </c>
      <c r="E74" s="79" t="str">
        <f t="shared" si="4"/>
        <v>Snare</v>
      </c>
      <c r="F74" s="80">
        <f t="shared" si="5"/>
        <v>21</v>
      </c>
      <c r="G74" s="81" t="str">
        <f t="shared" si="6"/>
        <v>piw</v>
      </c>
      <c r="H74" s="82" t="str">
        <f t="shared" si="7"/>
        <v/>
      </c>
      <c r="I74" s="83"/>
      <c r="J74" s="84"/>
      <c r="K74" s="84"/>
      <c r="L74" s="84"/>
      <c r="M74" s="85"/>
      <c r="N74" s="76"/>
      <c r="O74" s="87"/>
    </row>
    <row r="75" ht="21.0" customHeight="1">
      <c r="A75" s="78"/>
      <c r="B75" s="69" t="str">
        <f t="shared" si="1"/>
        <v>Gabe Smith</v>
      </c>
      <c r="C75" s="69" t="str">
        <f t="shared" si="2"/>
        <v>He/Him</v>
      </c>
      <c r="D75" s="69" t="str">
        <f t="shared" si="3"/>
        <v>GS8183</v>
      </c>
      <c r="E75" s="69" t="str">
        <f t="shared" si="4"/>
        <v>Tenor</v>
      </c>
      <c r="F75" s="70">
        <f t="shared" si="5"/>
        <v>21</v>
      </c>
      <c r="G75" s="71" t="str">
        <f t="shared" si="6"/>
        <v>i2</v>
      </c>
      <c r="H75" s="72" t="str">
        <f t="shared" si="7"/>
        <v/>
      </c>
      <c r="I75" s="88"/>
      <c r="J75" s="74"/>
      <c r="K75" s="74"/>
      <c r="L75" s="74"/>
      <c r="M75" s="75"/>
      <c r="N75" s="76"/>
      <c r="O75" s="87"/>
    </row>
    <row r="76" ht="21.0" customHeight="1">
      <c r="A76" s="78"/>
      <c r="B76" s="79" t="str">
        <f t="shared" si="1"/>
        <v>Mitch Calandro</v>
      </c>
      <c r="C76" s="79" t="str">
        <f t="shared" si="2"/>
        <v>He/Him</v>
      </c>
      <c r="D76" s="79" t="str">
        <f t="shared" si="3"/>
        <v>MC8184</v>
      </c>
      <c r="E76" s="79" t="str">
        <f t="shared" si="4"/>
        <v>Tenor</v>
      </c>
      <c r="F76" s="80">
        <f t="shared" si="5"/>
        <v>17</v>
      </c>
      <c r="G76" s="81" t="str">
        <f t="shared" si="6"/>
        <v>hs</v>
      </c>
      <c r="H76" s="82">
        <f t="shared" si="7"/>
        <v>1</v>
      </c>
      <c r="I76" s="89">
        <v>1.0</v>
      </c>
      <c r="J76" s="84">
        <v>1.0</v>
      </c>
      <c r="K76" s="84">
        <v>1.0</v>
      </c>
      <c r="L76" s="84">
        <v>1.0</v>
      </c>
      <c r="M76" s="85"/>
      <c r="N76" s="76"/>
      <c r="O76" s="87"/>
    </row>
    <row r="77" ht="21.0" customHeight="1">
      <c r="A77" s="78"/>
      <c r="B77" s="69" t="str">
        <f t="shared" si="1"/>
        <v>Owen Montgomery</v>
      </c>
      <c r="C77" s="69" t="str">
        <f t="shared" si="2"/>
        <v>He/Him</v>
      </c>
      <c r="D77" s="69" t="str">
        <f t="shared" si="3"/>
        <v>OM8185</v>
      </c>
      <c r="E77" s="69" t="str">
        <f t="shared" si="4"/>
        <v>Snare</v>
      </c>
      <c r="F77" s="70">
        <f t="shared" si="5"/>
        <v>18</v>
      </c>
      <c r="G77" s="71" t="str">
        <f t="shared" si="6"/>
        <v>i2</v>
      </c>
      <c r="H77" s="72" t="str">
        <f t="shared" si="7"/>
        <v/>
      </c>
      <c r="I77" s="73"/>
      <c r="J77" s="74"/>
      <c r="K77" s="74"/>
      <c r="L77" s="74"/>
      <c r="M77" s="75"/>
      <c r="N77" s="76"/>
      <c r="O77" s="87"/>
    </row>
    <row r="78" ht="21.0" customHeight="1">
      <c r="A78" s="78"/>
      <c r="B78" s="79" t="str">
        <f t="shared" si="1"/>
        <v>Gillyan  Fogle</v>
      </c>
      <c r="C78" s="79" t="str">
        <f t="shared" si="2"/>
        <v>She/her</v>
      </c>
      <c r="D78" s="79" t="str">
        <f t="shared" si="3"/>
        <v>GF8250</v>
      </c>
      <c r="E78" s="79" t="str">
        <f t="shared" si="4"/>
        <v>Visual Ensemble</v>
      </c>
      <c r="F78" s="80">
        <f t="shared" si="5"/>
        <v>20</v>
      </c>
      <c r="G78" s="81" t="str">
        <f t="shared" si="6"/>
        <v>pia</v>
      </c>
      <c r="H78" s="82" t="str">
        <f t="shared" si="7"/>
        <v/>
      </c>
      <c r="I78" s="83"/>
      <c r="J78" s="84"/>
      <c r="K78" s="84"/>
      <c r="L78" s="84"/>
      <c r="M78" s="85"/>
      <c r="N78" s="76"/>
      <c r="O78" s="87"/>
    </row>
    <row r="79" ht="21.0" customHeight="1">
      <c r="A79" s="78"/>
      <c r="B79" s="69" t="str">
        <f t="shared" si="1"/>
        <v>Owen Lowe</v>
      </c>
      <c r="C79" s="69" t="str">
        <f t="shared" si="2"/>
        <v>He/Him</v>
      </c>
      <c r="D79" s="69" t="str">
        <f t="shared" si="3"/>
        <v>OL8150</v>
      </c>
      <c r="E79" s="69" t="str">
        <f t="shared" si="4"/>
        <v>Cymbals</v>
      </c>
      <c r="F79" s="70">
        <f t="shared" si="5"/>
        <v>20</v>
      </c>
      <c r="G79" s="71" t="str">
        <f t="shared" si="6"/>
        <v>i2</v>
      </c>
      <c r="H79" s="72" t="str">
        <f t="shared" si="7"/>
        <v/>
      </c>
      <c r="I79" s="73"/>
      <c r="J79" s="74"/>
      <c r="K79" s="74"/>
      <c r="L79" s="74"/>
      <c r="M79" s="75"/>
      <c r="N79" s="76"/>
      <c r="O79" s="87"/>
    </row>
    <row r="80" ht="21.0" customHeight="1">
      <c r="A80" s="78"/>
      <c r="B80" s="79" t="str">
        <f t="shared" si="1"/>
        <v>Carly Holder</v>
      </c>
      <c r="C80" s="79" t="str">
        <f t="shared" si="2"/>
        <v>she/her</v>
      </c>
      <c r="D80" s="79" t="str">
        <f t="shared" si="3"/>
        <v>CH8191</v>
      </c>
      <c r="E80" s="79" t="str">
        <f t="shared" si="4"/>
        <v>Bass</v>
      </c>
      <c r="F80" s="80">
        <f t="shared" si="5"/>
        <v>16</v>
      </c>
      <c r="G80" s="81" t="str">
        <f t="shared" si="6"/>
        <v>hs</v>
      </c>
      <c r="H80" s="82" t="str">
        <f t="shared" si="7"/>
        <v/>
      </c>
      <c r="I80" s="83"/>
      <c r="J80" s="84"/>
      <c r="K80" s="84"/>
      <c r="L80" s="84"/>
      <c r="M80" s="85"/>
      <c r="N80" s="76"/>
      <c r="O80" s="87"/>
    </row>
    <row r="81" ht="21.0" customHeight="1">
      <c r="A81" s="78"/>
      <c r="B81" s="69" t="str">
        <f t="shared" si="1"/>
        <v>Austin Redding</v>
      </c>
      <c r="C81" s="69" t="str">
        <f t="shared" si="2"/>
        <v/>
      </c>
      <c r="D81" s="69" t="str">
        <f t="shared" si="3"/>
        <v>AR8072</v>
      </c>
      <c r="E81" s="69" t="str">
        <f t="shared" si="4"/>
        <v>Cymbals</v>
      </c>
      <c r="F81" s="70">
        <f t="shared" si="5"/>
        <v>21</v>
      </c>
      <c r="G81" s="71" t="str">
        <f t="shared" si="6"/>
        <v>i1</v>
      </c>
      <c r="H81" s="72" t="str">
        <f t="shared" si="7"/>
        <v/>
      </c>
      <c r="I81" s="73"/>
      <c r="J81" s="74"/>
      <c r="K81" s="74"/>
      <c r="L81" s="74"/>
      <c r="M81" s="75"/>
      <c r="N81" s="76"/>
      <c r="O81" s="87"/>
    </row>
    <row r="82" ht="21.0" customHeight="1">
      <c r="A82" s="78"/>
      <c r="B82" s="79" t="str">
        <f t="shared" si="1"/>
        <v>Sebastian Ulate</v>
      </c>
      <c r="C82" s="79" t="str">
        <f t="shared" si="2"/>
        <v/>
      </c>
      <c r="D82" s="79" t="str">
        <f t="shared" si="3"/>
        <v>SU8192</v>
      </c>
      <c r="E82" s="79" t="str">
        <f t="shared" si="4"/>
        <v>Bass</v>
      </c>
      <c r="F82" s="80">
        <f t="shared" si="5"/>
        <v>20</v>
      </c>
      <c r="G82" s="81" t="str">
        <f t="shared" si="6"/>
        <v>i3</v>
      </c>
      <c r="H82" s="82" t="str">
        <f t="shared" si="7"/>
        <v/>
      </c>
      <c r="I82" s="83"/>
      <c r="J82" s="84"/>
      <c r="K82" s="84"/>
      <c r="L82" s="84"/>
      <c r="M82" s="85"/>
      <c r="N82" s="76"/>
      <c r="O82" s="87"/>
    </row>
    <row r="83" ht="21.0" customHeight="1">
      <c r="A83" s="78"/>
      <c r="B83" s="69" t="str">
        <f t="shared" si="1"/>
        <v>Web Webster</v>
      </c>
      <c r="C83" s="69" t="str">
        <f t="shared" si="2"/>
        <v>He/Him</v>
      </c>
      <c r="D83" s="69" t="str">
        <f t="shared" si="3"/>
        <v>WW8194</v>
      </c>
      <c r="E83" s="69" t="str">
        <f t="shared" si="4"/>
        <v>Snare</v>
      </c>
      <c r="F83" s="70">
        <f t="shared" si="5"/>
        <v>17</v>
      </c>
      <c r="G83" s="71" t="str">
        <f t="shared" si="6"/>
        <v>hs</v>
      </c>
      <c r="H83" s="72" t="str">
        <f t="shared" si="7"/>
        <v/>
      </c>
      <c r="I83" s="73"/>
      <c r="J83" s="74"/>
      <c r="K83" s="74"/>
      <c r="L83" s="74"/>
      <c r="M83" s="75"/>
      <c r="N83" s="76"/>
      <c r="O83" s="87"/>
    </row>
    <row r="84" ht="21.0" customHeight="1">
      <c r="A84" s="78"/>
      <c r="B84" s="79" t="str">
        <f t="shared" si="1"/>
        <v>dylan summerall</v>
      </c>
      <c r="C84" s="79" t="str">
        <f t="shared" si="2"/>
        <v/>
      </c>
      <c r="D84" s="79" t="str">
        <f t="shared" si="3"/>
        <v>ds8196</v>
      </c>
      <c r="E84" s="79" t="str">
        <f t="shared" si="4"/>
        <v>Snare</v>
      </c>
      <c r="F84" s="80">
        <f t="shared" si="5"/>
        <v>19</v>
      </c>
      <c r="G84" s="81" t="str">
        <f t="shared" si="6"/>
        <v>i3</v>
      </c>
      <c r="H84" s="82" t="str">
        <f t="shared" si="7"/>
        <v/>
      </c>
      <c r="I84" s="83"/>
      <c r="J84" s="84"/>
      <c r="K84" s="84"/>
      <c r="L84" s="84"/>
      <c r="M84" s="85"/>
      <c r="N84" s="76"/>
      <c r="O84" s="87"/>
    </row>
    <row r="85" ht="21.0" customHeight="1">
      <c r="A85" s="78"/>
      <c r="B85" s="69" t="str">
        <f t="shared" si="1"/>
        <v>Maddie Ritter</v>
      </c>
      <c r="C85" s="69" t="str">
        <f t="shared" si="2"/>
        <v>she/her</v>
      </c>
      <c r="D85" s="69" t="str">
        <f t="shared" si="3"/>
        <v>MR8199</v>
      </c>
      <c r="E85" s="69" t="str">
        <f t="shared" si="4"/>
        <v>Visual Ensemble</v>
      </c>
      <c r="F85" s="70">
        <f t="shared" si="5"/>
        <v>19</v>
      </c>
      <c r="G85" s="71" t="str">
        <f t="shared" si="6"/>
        <v>i1</v>
      </c>
      <c r="H85" s="72" t="str">
        <f t="shared" si="7"/>
        <v/>
      </c>
      <c r="I85" s="73"/>
      <c r="J85" s="74"/>
      <c r="K85" s="74"/>
      <c r="L85" s="74"/>
      <c r="M85" s="75"/>
      <c r="N85" s="76"/>
      <c r="O85" s="87"/>
    </row>
    <row r="86" ht="21.0" customHeight="1">
      <c r="A86" s="78"/>
      <c r="B86" s="79" t="str">
        <f t="shared" si="1"/>
        <v>Brooke Whitley</v>
      </c>
      <c r="C86" s="79" t="str">
        <f t="shared" si="2"/>
        <v>She/her</v>
      </c>
      <c r="D86" s="79" t="str">
        <f t="shared" si="3"/>
        <v>BW8203</v>
      </c>
      <c r="E86" s="79" t="str">
        <f t="shared" si="4"/>
        <v>Visual Ensemble</v>
      </c>
      <c r="F86" s="80">
        <f t="shared" si="5"/>
        <v>19</v>
      </c>
      <c r="G86" s="81" t="str">
        <f t="shared" si="6"/>
        <v>piw</v>
      </c>
      <c r="H86" s="82" t="str">
        <f t="shared" si="7"/>
        <v/>
      </c>
      <c r="I86" s="83"/>
      <c r="J86" s="84"/>
      <c r="K86" s="84"/>
      <c r="L86" s="84"/>
      <c r="M86" s="85"/>
      <c r="N86" s="76"/>
      <c r="O86" s="87"/>
    </row>
    <row r="87" ht="21.0" customHeight="1">
      <c r="A87" s="78"/>
      <c r="B87" s="69" t="str">
        <f t="shared" si="1"/>
        <v>Sophie Lowe</v>
      </c>
      <c r="C87" s="69" t="str">
        <f t="shared" si="2"/>
        <v>she/her</v>
      </c>
      <c r="D87" s="69" t="str">
        <f t="shared" si="3"/>
        <v>SL8201</v>
      </c>
      <c r="E87" s="69" t="str">
        <f t="shared" si="4"/>
        <v>Visual Ensemble</v>
      </c>
      <c r="F87" s="70">
        <f t="shared" si="5"/>
        <v>22</v>
      </c>
      <c r="G87" s="71" t="str">
        <f t="shared" si="6"/>
        <v>i1</v>
      </c>
      <c r="H87" s="72" t="str">
        <f t="shared" si="7"/>
        <v/>
      </c>
      <c r="I87" s="73"/>
      <c r="J87" s="74"/>
      <c r="K87" s="74"/>
      <c r="L87" s="74"/>
      <c r="M87" s="75"/>
      <c r="N87" s="76"/>
      <c r="O87" s="87"/>
    </row>
    <row r="88" ht="21.0" customHeight="1">
      <c r="A88" s="78"/>
      <c r="B88" s="79" t="str">
        <f t="shared" si="1"/>
        <v>Ian Alvarenga</v>
      </c>
      <c r="C88" s="79" t="str">
        <f t="shared" si="2"/>
        <v>he/him</v>
      </c>
      <c r="D88" s="79" t="str">
        <f t="shared" si="3"/>
        <v>IA8205</v>
      </c>
      <c r="E88" s="79" t="str">
        <f t="shared" si="4"/>
        <v>Tenor</v>
      </c>
      <c r="F88" s="80">
        <f t="shared" si="5"/>
        <v>19</v>
      </c>
      <c r="G88" s="81" t="str">
        <f t="shared" si="6"/>
        <v>pia</v>
      </c>
      <c r="H88" s="82">
        <f t="shared" si="7"/>
        <v>1.25</v>
      </c>
      <c r="I88" s="89">
        <v>1.0</v>
      </c>
      <c r="J88" s="84">
        <v>2.0</v>
      </c>
      <c r="K88" s="84">
        <v>1.0</v>
      </c>
      <c r="L88" s="84">
        <v>1.0</v>
      </c>
      <c r="M88" s="85"/>
      <c r="N88" s="76"/>
      <c r="O88" s="87"/>
    </row>
    <row r="89" ht="21.0" customHeight="1">
      <c r="A89" s="78"/>
      <c r="B89" s="69" t="str">
        <f t="shared" si="1"/>
        <v>Syd Harrison</v>
      </c>
      <c r="C89" s="69" t="str">
        <f t="shared" si="2"/>
        <v>she/her</v>
      </c>
      <c r="D89" s="69" t="str">
        <f t="shared" si="3"/>
        <v>SH8215</v>
      </c>
      <c r="E89" s="69" t="str">
        <f t="shared" si="4"/>
        <v>Visual Ensemble</v>
      </c>
      <c r="F89" s="70">
        <f t="shared" si="5"/>
        <v>21</v>
      </c>
      <c r="G89" s="71" t="str">
        <f t="shared" si="6"/>
        <v>i2</v>
      </c>
      <c r="H89" s="72" t="str">
        <f t="shared" si="7"/>
        <v/>
      </c>
      <c r="I89" s="73"/>
      <c r="J89" s="74"/>
      <c r="K89" s="74"/>
      <c r="L89" s="74"/>
      <c r="M89" s="75"/>
      <c r="N89" s="76"/>
      <c r="O89" s="87"/>
    </row>
    <row r="90" ht="21.0" customHeight="1">
      <c r="A90" s="78"/>
      <c r="B90" s="79" t="str">
        <f t="shared" si="1"/>
        <v>Makaylee Rinaldo</v>
      </c>
      <c r="C90" s="79" t="str">
        <f t="shared" si="2"/>
        <v/>
      </c>
      <c r="D90" s="79" t="str">
        <f t="shared" si="3"/>
        <v>MR8219</v>
      </c>
      <c r="E90" s="79" t="str">
        <f t="shared" si="4"/>
        <v>Bass</v>
      </c>
      <c r="F90" s="80">
        <f t="shared" si="5"/>
        <v>21</v>
      </c>
      <c r="G90" s="81" t="str">
        <f t="shared" si="6"/>
        <v>pia</v>
      </c>
      <c r="H90" s="82" t="str">
        <f t="shared" si="7"/>
        <v/>
      </c>
      <c r="I90" s="83"/>
      <c r="J90" s="84"/>
      <c r="K90" s="84"/>
      <c r="L90" s="84"/>
      <c r="M90" s="85"/>
      <c r="N90" s="76"/>
      <c r="O90" s="87"/>
    </row>
    <row r="91" ht="21.0" customHeight="1">
      <c r="A91" s="78"/>
      <c r="B91" s="69" t="str">
        <f t="shared" si="1"/>
        <v>Sarah Hickman</v>
      </c>
      <c r="C91" s="69" t="str">
        <f t="shared" si="2"/>
        <v>She/her</v>
      </c>
      <c r="D91" s="69" t="str">
        <f t="shared" si="3"/>
        <v>SH8218</v>
      </c>
      <c r="E91" s="69" t="str">
        <f t="shared" si="4"/>
        <v>Snare</v>
      </c>
      <c r="F91" s="70">
        <f t="shared" si="5"/>
        <v>16</v>
      </c>
      <c r="G91" s="71" t="str">
        <f t="shared" si="6"/>
        <v>i3</v>
      </c>
      <c r="H91" s="72" t="str">
        <f t="shared" si="7"/>
        <v/>
      </c>
      <c r="I91" s="73"/>
      <c r="J91" s="74"/>
      <c r="K91" s="74"/>
      <c r="L91" s="74"/>
      <c r="M91" s="75"/>
      <c r="N91" s="76"/>
      <c r="O91" s="87"/>
    </row>
    <row r="92" ht="21.0" customHeight="1">
      <c r="A92" s="78"/>
      <c r="B92" s="79" t="str">
        <f t="shared" si="1"/>
        <v>Esteban Gomes Lopez</v>
      </c>
      <c r="C92" s="79" t="str">
        <f t="shared" si="2"/>
        <v>He/him</v>
      </c>
      <c r="D92" s="79" t="str">
        <f t="shared" si="3"/>
        <v>EG8222</v>
      </c>
      <c r="E92" s="79" t="str">
        <f t="shared" si="4"/>
        <v>Snare</v>
      </c>
      <c r="F92" s="80">
        <f t="shared" si="5"/>
        <v>17</v>
      </c>
      <c r="G92" s="81" t="str">
        <f t="shared" si="6"/>
        <v>dci</v>
      </c>
      <c r="H92" s="82" t="str">
        <f t="shared" si="7"/>
        <v/>
      </c>
      <c r="I92" s="83"/>
      <c r="J92" s="84"/>
      <c r="K92" s="84"/>
      <c r="L92" s="84"/>
      <c r="M92" s="85"/>
      <c r="N92" s="76"/>
      <c r="O92" s="87"/>
    </row>
    <row r="93" ht="21.0" customHeight="1">
      <c r="A93" s="78"/>
      <c r="B93" s="69" t="str">
        <f t="shared" si="1"/>
        <v>Chris Boyle</v>
      </c>
      <c r="C93" s="69" t="str">
        <f t="shared" si="2"/>
        <v>He/Him</v>
      </c>
      <c r="D93" s="69" t="str">
        <f t="shared" si="3"/>
        <v>CB8332</v>
      </c>
      <c r="E93" s="69" t="str">
        <f t="shared" si="4"/>
        <v>Snare</v>
      </c>
      <c r="F93" s="70">
        <f t="shared" si="5"/>
        <v>20</v>
      </c>
      <c r="G93" s="71" t="str">
        <f t="shared" si="6"/>
        <v>hs</v>
      </c>
      <c r="H93" s="72" t="str">
        <f t="shared" si="7"/>
        <v/>
      </c>
      <c r="I93" s="73"/>
      <c r="J93" s="74"/>
      <c r="K93" s="74"/>
      <c r="L93" s="74"/>
      <c r="M93" s="75"/>
      <c r="N93" s="76"/>
      <c r="O93" s="87"/>
    </row>
    <row r="94" ht="21.0" customHeight="1">
      <c r="A94" s="78"/>
      <c r="B94" s="79" t="str">
        <f t="shared" si="1"/>
        <v>Cooper Krinn</v>
      </c>
      <c r="C94" s="79" t="str">
        <f t="shared" si="2"/>
        <v>He/Him</v>
      </c>
      <c r="D94" s="79" t="str">
        <f t="shared" si="3"/>
        <v>CK8223</v>
      </c>
      <c r="E94" s="79" t="str">
        <f t="shared" si="4"/>
        <v>Tenor</v>
      </c>
      <c r="F94" s="80">
        <f t="shared" si="5"/>
        <v>18</v>
      </c>
      <c r="G94" s="81" t="str">
        <f t="shared" si="6"/>
        <v>hs</v>
      </c>
      <c r="H94" s="82">
        <f t="shared" si="7"/>
        <v>2</v>
      </c>
      <c r="I94" s="89"/>
      <c r="J94" s="84"/>
      <c r="K94" s="84">
        <v>2.0</v>
      </c>
      <c r="L94" s="84"/>
      <c r="M94" s="85"/>
      <c r="N94" s="76"/>
      <c r="O94" s="87"/>
    </row>
    <row r="95" ht="21.0" customHeight="1">
      <c r="A95" s="78"/>
      <c r="B95" s="69" t="str">
        <f t="shared" si="1"/>
        <v>Spencer Ekkens</v>
      </c>
      <c r="C95" s="69" t="str">
        <f t="shared" si="2"/>
        <v>He/Him</v>
      </c>
      <c r="D95" s="69" t="str">
        <f t="shared" si="3"/>
        <v>SE8147</v>
      </c>
      <c r="E95" s="69" t="str">
        <f t="shared" si="4"/>
        <v>Bass</v>
      </c>
      <c r="F95" s="70">
        <f t="shared" si="5"/>
        <v>21</v>
      </c>
      <c r="G95" s="71" t="str">
        <f t="shared" si="6"/>
        <v>i2</v>
      </c>
      <c r="H95" s="72" t="str">
        <f t="shared" si="7"/>
        <v/>
      </c>
      <c r="I95" s="73"/>
      <c r="J95" s="74"/>
      <c r="K95" s="74"/>
      <c r="L95" s="74"/>
      <c r="M95" s="75"/>
      <c r="N95" s="76"/>
      <c r="O95" s="87"/>
    </row>
    <row r="96" ht="21.0" customHeight="1">
      <c r="A96" s="78"/>
      <c r="B96" s="79" t="str">
        <f t="shared" si="1"/>
        <v>Josh Gryglewicz</v>
      </c>
      <c r="C96" s="79" t="str">
        <f t="shared" si="2"/>
        <v>he/him</v>
      </c>
      <c r="D96" s="79" t="str">
        <f t="shared" si="3"/>
        <v>JG8226</v>
      </c>
      <c r="E96" s="79" t="str">
        <f t="shared" si="4"/>
        <v>Snare</v>
      </c>
      <c r="F96" s="80">
        <f t="shared" si="5"/>
        <v>19</v>
      </c>
      <c r="G96" s="81" t="str">
        <f t="shared" si="6"/>
        <v>hs</v>
      </c>
      <c r="H96" s="82" t="str">
        <f t="shared" si="7"/>
        <v/>
      </c>
      <c r="I96" s="83"/>
      <c r="J96" s="84"/>
      <c r="K96" s="84"/>
      <c r="L96" s="84"/>
      <c r="M96" s="85"/>
      <c r="N96" s="76"/>
      <c r="O96" s="87"/>
    </row>
    <row r="97" ht="21.0" customHeight="1">
      <c r="A97" s="78"/>
      <c r="B97" s="69" t="str">
        <f t="shared" si="1"/>
        <v>Ryan Powell</v>
      </c>
      <c r="C97" s="69" t="str">
        <f t="shared" si="2"/>
        <v>He/Him</v>
      </c>
      <c r="D97" s="69" t="str">
        <f t="shared" si="3"/>
        <v>RP8231</v>
      </c>
      <c r="E97" s="69" t="str">
        <f t="shared" si="4"/>
        <v>Tenor</v>
      </c>
      <c r="F97" s="70">
        <f t="shared" si="5"/>
        <v>20</v>
      </c>
      <c r="G97" s="71" t="str">
        <f t="shared" si="6"/>
        <v>hs</v>
      </c>
      <c r="H97" s="72">
        <f t="shared" si="7"/>
        <v>2</v>
      </c>
      <c r="I97" s="88">
        <v>2.0</v>
      </c>
      <c r="J97" s="74">
        <v>2.0</v>
      </c>
      <c r="K97" s="74">
        <v>2.0</v>
      </c>
      <c r="L97" s="74">
        <v>2.0</v>
      </c>
      <c r="M97" s="75" t="s">
        <v>48</v>
      </c>
      <c r="N97" s="76"/>
      <c r="O97" s="77" t="s">
        <v>49</v>
      </c>
    </row>
    <row r="98" ht="21.0" customHeight="1">
      <c r="A98" s="78"/>
      <c r="B98" s="79" t="str">
        <f t="shared" si="1"/>
        <v>Aidan Husbands</v>
      </c>
      <c r="C98" s="79" t="str">
        <f t="shared" si="2"/>
        <v>He/Him</v>
      </c>
      <c r="D98" s="79" t="str">
        <f t="shared" si="3"/>
        <v>AH8232</v>
      </c>
      <c r="E98" s="79" t="str">
        <f t="shared" si="4"/>
        <v>Bass</v>
      </c>
      <c r="F98" s="80">
        <f t="shared" si="5"/>
        <v>20</v>
      </c>
      <c r="G98" s="81" t="str">
        <f t="shared" si="6"/>
        <v>hs</v>
      </c>
      <c r="H98" s="82">
        <f t="shared" si="7"/>
        <v>1.5</v>
      </c>
      <c r="I98" s="83"/>
      <c r="J98" s="84"/>
      <c r="K98" s="84">
        <v>2.0</v>
      </c>
      <c r="L98" s="84">
        <v>1.0</v>
      </c>
      <c r="M98" s="85"/>
      <c r="N98" s="76"/>
      <c r="O98" s="87"/>
    </row>
    <row r="99" ht="21.0" customHeight="1">
      <c r="A99" s="78"/>
      <c r="B99" s="69" t="str">
        <f t="shared" si="1"/>
        <v>Cos Jean</v>
      </c>
      <c r="C99" s="69" t="str">
        <f t="shared" si="2"/>
        <v>He/him</v>
      </c>
      <c r="D99" s="69" t="str">
        <f t="shared" si="3"/>
        <v>CJ8089</v>
      </c>
      <c r="E99" s="69" t="str">
        <f t="shared" si="4"/>
        <v>Snare</v>
      </c>
      <c r="F99" s="70">
        <f t="shared" si="5"/>
        <v>19</v>
      </c>
      <c r="G99" s="71" t="str">
        <f t="shared" si="6"/>
        <v>i2</v>
      </c>
      <c r="H99" s="72" t="str">
        <f t="shared" si="7"/>
        <v/>
      </c>
      <c r="I99" s="73"/>
      <c r="J99" s="74"/>
      <c r="K99" s="74"/>
      <c r="L99" s="74"/>
      <c r="M99" s="75"/>
      <c r="N99" s="76"/>
      <c r="O99" s="87"/>
    </row>
    <row r="100" ht="21.0" customHeight="1">
      <c r="A100" s="78"/>
      <c r="B100" s="79" t="str">
        <f t="shared" si="1"/>
        <v>Alex Nunley</v>
      </c>
      <c r="C100" s="79" t="str">
        <f t="shared" si="2"/>
        <v/>
      </c>
      <c r="D100" s="79" t="str">
        <f t="shared" si="3"/>
        <v>AN8233</v>
      </c>
      <c r="E100" s="79" t="str">
        <f t="shared" si="4"/>
        <v>Tenor</v>
      </c>
      <c r="F100" s="80">
        <f t="shared" si="5"/>
        <v>19</v>
      </c>
      <c r="G100" s="81" t="str">
        <f t="shared" si="6"/>
        <v>piw</v>
      </c>
      <c r="H100" s="82" t="str">
        <f t="shared" si="7"/>
        <v/>
      </c>
      <c r="I100" s="89"/>
      <c r="J100" s="84"/>
      <c r="K100" s="84"/>
      <c r="L100" s="84"/>
      <c r="M100" s="85"/>
      <c r="N100" s="76"/>
      <c r="O100" s="87"/>
    </row>
    <row r="101" ht="21.0" customHeight="1">
      <c r="A101" s="78"/>
      <c r="B101" s="69" t="str">
        <f t="shared" si="1"/>
        <v>Alex Nguyen</v>
      </c>
      <c r="C101" s="69" t="str">
        <f t="shared" si="2"/>
        <v>He/Him/His</v>
      </c>
      <c r="D101" s="69" t="str">
        <f t="shared" si="3"/>
        <v>AN8237</v>
      </c>
      <c r="E101" s="69" t="str">
        <f t="shared" si="4"/>
        <v>Snare</v>
      </c>
      <c r="F101" s="70">
        <f t="shared" si="5"/>
        <v>22</v>
      </c>
      <c r="G101" s="71" t="str">
        <f t="shared" si="6"/>
        <v>i3</v>
      </c>
      <c r="H101" s="72" t="str">
        <f t="shared" si="7"/>
        <v/>
      </c>
      <c r="I101" s="73"/>
      <c r="J101" s="74"/>
      <c r="K101" s="74"/>
      <c r="L101" s="74"/>
      <c r="M101" s="75"/>
      <c r="N101" s="76"/>
      <c r="O101" s="87"/>
    </row>
    <row r="102" ht="21.0" customHeight="1">
      <c r="A102" s="78"/>
      <c r="B102" s="79" t="str">
        <f t="shared" si="1"/>
        <v>Lindsey King</v>
      </c>
      <c r="C102" s="79" t="str">
        <f t="shared" si="2"/>
        <v/>
      </c>
      <c r="D102" s="79" t="str">
        <f t="shared" si="3"/>
        <v>LK8238</v>
      </c>
      <c r="E102" s="79" t="str">
        <f t="shared" si="4"/>
        <v>Visual Ensemble</v>
      </c>
      <c r="F102" s="80">
        <f t="shared" si="5"/>
        <v>20</v>
      </c>
      <c r="G102" s="81" t="str">
        <f t="shared" si="6"/>
        <v>hs</v>
      </c>
      <c r="H102" s="82" t="str">
        <f t="shared" si="7"/>
        <v/>
      </c>
      <c r="I102" s="83"/>
      <c r="J102" s="84"/>
      <c r="K102" s="84"/>
      <c r="L102" s="84"/>
      <c r="M102" s="85"/>
      <c r="N102" s="76"/>
      <c r="O102" s="87"/>
    </row>
    <row r="103" ht="21.0" customHeight="1">
      <c r="A103" s="78"/>
      <c r="B103" s="69" t="str">
        <f t="shared" si="1"/>
        <v>Kevin Juarez</v>
      </c>
      <c r="C103" s="69" t="str">
        <f t="shared" si="2"/>
        <v>He/Him</v>
      </c>
      <c r="D103" s="69" t="str">
        <f t="shared" si="3"/>
        <v>KJ8235</v>
      </c>
      <c r="E103" s="69" t="str">
        <f t="shared" si="4"/>
        <v>Tenor</v>
      </c>
      <c r="F103" s="70">
        <f t="shared" si="5"/>
        <v>20</v>
      </c>
      <c r="G103" s="71" t="str">
        <f t="shared" si="6"/>
        <v>pio</v>
      </c>
      <c r="H103" s="72">
        <f t="shared" si="7"/>
        <v>2.5</v>
      </c>
      <c r="I103" s="88"/>
      <c r="J103" s="74">
        <v>3.0</v>
      </c>
      <c r="K103" s="74">
        <v>2.0</v>
      </c>
      <c r="L103" s="74"/>
      <c r="M103" s="75"/>
      <c r="N103" s="76"/>
      <c r="O103" s="77" t="s">
        <v>50</v>
      </c>
    </row>
    <row r="104" ht="21.0" customHeight="1">
      <c r="A104" s="78"/>
      <c r="B104" s="79" t="str">
        <f t="shared" si="1"/>
        <v>Neil Mattson</v>
      </c>
      <c r="C104" s="79" t="str">
        <f t="shared" si="2"/>
        <v>He/They</v>
      </c>
      <c r="D104" s="79" t="str">
        <f t="shared" si="3"/>
        <v>NM8240</v>
      </c>
      <c r="E104" s="79" t="str">
        <f t="shared" si="4"/>
        <v>Cymbals</v>
      </c>
      <c r="F104" s="80">
        <f t="shared" si="5"/>
        <v>22</v>
      </c>
      <c r="G104" s="81" t="str">
        <f t="shared" si="6"/>
        <v>i1</v>
      </c>
      <c r="H104" s="82" t="str">
        <f t="shared" si="7"/>
        <v/>
      </c>
      <c r="I104" s="83"/>
      <c r="J104" s="84"/>
      <c r="K104" s="84"/>
      <c r="L104" s="84"/>
      <c r="M104" s="85"/>
      <c r="N104" s="76"/>
      <c r="O104" s="87"/>
    </row>
    <row r="105" ht="21.0" customHeight="1">
      <c r="A105" s="78"/>
      <c r="B105" s="69" t="str">
        <f t="shared" si="1"/>
        <v>Anthony Tinghitella</v>
      </c>
      <c r="C105" s="69" t="str">
        <f t="shared" si="2"/>
        <v>he/him</v>
      </c>
      <c r="D105" s="69" t="str">
        <f t="shared" si="3"/>
        <v>AT8242</v>
      </c>
      <c r="E105" s="69" t="str">
        <f t="shared" si="4"/>
        <v>Tenor</v>
      </c>
      <c r="F105" s="70">
        <f t="shared" si="5"/>
        <v>19</v>
      </c>
      <c r="G105" s="71" t="str">
        <f t="shared" si="6"/>
        <v>hs</v>
      </c>
      <c r="H105" s="72" t="str">
        <f t="shared" si="7"/>
        <v/>
      </c>
      <c r="I105" s="88"/>
      <c r="J105" s="74"/>
      <c r="K105" s="74"/>
      <c r="L105" s="74"/>
      <c r="M105" s="75"/>
      <c r="N105" s="76"/>
      <c r="O105" s="87"/>
    </row>
    <row r="106" ht="21.0" customHeight="1">
      <c r="A106" s="78"/>
      <c r="B106" s="79" t="str">
        <f t="shared" si="1"/>
        <v>Charles Lowe</v>
      </c>
      <c r="C106" s="79" t="str">
        <f t="shared" si="2"/>
        <v>He/Him</v>
      </c>
      <c r="D106" s="79" t="str">
        <f t="shared" si="3"/>
        <v>CL8166</v>
      </c>
      <c r="E106" s="79" t="str">
        <f t="shared" si="4"/>
        <v>Snare</v>
      </c>
      <c r="F106" s="80">
        <f t="shared" si="5"/>
        <v>21</v>
      </c>
      <c r="G106" s="81" t="str">
        <f t="shared" si="6"/>
        <v>hs</v>
      </c>
      <c r="H106" s="82" t="str">
        <f t="shared" si="7"/>
        <v/>
      </c>
      <c r="I106" s="83"/>
      <c r="J106" s="84"/>
      <c r="K106" s="84"/>
      <c r="L106" s="84"/>
      <c r="M106" s="85"/>
      <c r="N106" s="76"/>
      <c r="O106" s="87"/>
    </row>
    <row r="107" ht="21.0" customHeight="1">
      <c r="A107" s="78"/>
      <c r="B107" s="69" t="str">
        <f t="shared" si="1"/>
        <v>Leah Pabon</v>
      </c>
      <c r="C107" s="69" t="str">
        <f t="shared" si="2"/>
        <v>She/her</v>
      </c>
      <c r="D107" s="69" t="str">
        <f t="shared" si="3"/>
        <v>LP8209</v>
      </c>
      <c r="E107" s="69" t="str">
        <f t="shared" si="4"/>
        <v>Snare</v>
      </c>
      <c r="F107" s="70">
        <f t="shared" si="5"/>
        <v>17</v>
      </c>
      <c r="G107" s="71" t="str">
        <f t="shared" si="6"/>
        <v>hs</v>
      </c>
      <c r="H107" s="72" t="str">
        <f t="shared" si="7"/>
        <v/>
      </c>
      <c r="I107" s="73"/>
      <c r="J107" s="74"/>
      <c r="K107" s="74"/>
      <c r="L107" s="74"/>
      <c r="M107" s="75"/>
      <c r="N107" s="76"/>
      <c r="O107" s="87"/>
    </row>
    <row r="108" ht="21.0" customHeight="1">
      <c r="A108" s="78"/>
      <c r="B108" s="79" t="str">
        <f t="shared" si="1"/>
        <v>Rylan Buller</v>
      </c>
      <c r="C108" s="79" t="str">
        <f t="shared" si="2"/>
        <v/>
      </c>
      <c r="D108" s="79" t="str">
        <f t="shared" si="3"/>
        <v>RB8244</v>
      </c>
      <c r="E108" s="79" t="str">
        <f t="shared" si="4"/>
        <v>Snare</v>
      </c>
      <c r="F108" s="80">
        <f t="shared" si="5"/>
        <v>19</v>
      </c>
      <c r="G108" s="81" t="str">
        <f t="shared" si="6"/>
        <v>hs</v>
      </c>
      <c r="H108" s="82" t="str">
        <f t="shared" si="7"/>
        <v/>
      </c>
      <c r="I108" s="83"/>
      <c r="J108" s="84"/>
      <c r="K108" s="84"/>
      <c r="L108" s="84"/>
      <c r="M108" s="85"/>
      <c r="N108" s="76"/>
      <c r="O108" s="87"/>
    </row>
    <row r="109" ht="21.0" customHeight="1">
      <c r="A109" s="78"/>
      <c r="B109" s="69" t="str">
        <f t="shared" si="1"/>
        <v>garrison mack</v>
      </c>
      <c r="C109" s="69" t="str">
        <f t="shared" si="2"/>
        <v>him</v>
      </c>
      <c r="D109" s="69" t="str">
        <f t="shared" si="3"/>
        <v>gm8234</v>
      </c>
      <c r="E109" s="69" t="str">
        <f t="shared" si="4"/>
        <v>Tenor</v>
      </c>
      <c r="F109" s="70">
        <f t="shared" si="5"/>
        <v>19</v>
      </c>
      <c r="G109" s="71" t="str">
        <f t="shared" si="6"/>
        <v>i1</v>
      </c>
      <c r="H109" s="72" t="str">
        <f t="shared" si="7"/>
        <v/>
      </c>
      <c r="I109" s="88"/>
      <c r="J109" s="74"/>
      <c r="K109" s="74"/>
      <c r="L109" s="74"/>
      <c r="M109" s="75"/>
      <c r="N109" s="76"/>
      <c r="O109" s="87"/>
    </row>
    <row r="110" ht="21.0" customHeight="1">
      <c r="A110" s="78"/>
      <c r="B110" s="79" t="str">
        <f t="shared" si="1"/>
        <v>Ely Colon</v>
      </c>
      <c r="C110" s="79" t="str">
        <f t="shared" si="2"/>
        <v>He/Him</v>
      </c>
      <c r="D110" s="79" t="str">
        <f t="shared" si="3"/>
        <v>EC8136</v>
      </c>
      <c r="E110" s="79" t="str">
        <f t="shared" si="4"/>
        <v>Bass</v>
      </c>
      <c r="F110" s="80">
        <f t="shared" si="5"/>
        <v>19</v>
      </c>
      <c r="G110" s="81" t="str">
        <f t="shared" si="6"/>
        <v>pio</v>
      </c>
      <c r="H110" s="82" t="str">
        <f t="shared" si="7"/>
        <v/>
      </c>
      <c r="I110" s="83"/>
      <c r="J110" s="84"/>
      <c r="K110" s="84"/>
      <c r="L110" s="84"/>
      <c r="M110" s="85"/>
      <c r="N110" s="76"/>
      <c r="O110" s="77"/>
    </row>
    <row r="111" ht="21.0" customHeight="1">
      <c r="A111" s="78"/>
      <c r="B111" s="69" t="str">
        <f t="shared" si="1"/>
        <v>Andrew Southard</v>
      </c>
      <c r="C111" s="69" t="str">
        <f t="shared" si="2"/>
        <v>he/him</v>
      </c>
      <c r="D111" s="69" t="str">
        <f t="shared" si="3"/>
        <v>AS8239</v>
      </c>
      <c r="E111" s="69" t="str">
        <f t="shared" si="4"/>
        <v>Snare</v>
      </c>
      <c r="F111" s="70">
        <f t="shared" si="5"/>
        <v>22</v>
      </c>
      <c r="G111" s="71" t="str">
        <f t="shared" si="6"/>
        <v>i2</v>
      </c>
      <c r="H111" s="72" t="str">
        <f t="shared" si="7"/>
        <v/>
      </c>
      <c r="I111" s="73"/>
      <c r="J111" s="74"/>
      <c r="K111" s="74"/>
      <c r="L111" s="74"/>
      <c r="M111" s="75"/>
      <c r="N111" s="76"/>
      <c r="O111" s="87"/>
    </row>
    <row r="112" ht="21.0" customHeight="1">
      <c r="A112" s="78"/>
      <c r="B112" s="79" t="str">
        <f t="shared" si="1"/>
        <v>Panipal Isaac</v>
      </c>
      <c r="C112" s="79" t="str">
        <f t="shared" si="2"/>
        <v/>
      </c>
      <c r="D112" s="79" t="str">
        <f t="shared" si="3"/>
        <v>PI8190</v>
      </c>
      <c r="E112" s="79" t="str">
        <f t="shared" si="4"/>
        <v>Snare</v>
      </c>
      <c r="F112" s="80">
        <f t="shared" si="5"/>
        <v>19</v>
      </c>
      <c r="G112" s="81" t="str">
        <f t="shared" si="6"/>
        <v>pia</v>
      </c>
      <c r="H112" s="82" t="str">
        <f t="shared" si="7"/>
        <v/>
      </c>
      <c r="I112" s="83"/>
      <c r="J112" s="84"/>
      <c r="K112" s="84"/>
      <c r="L112" s="84"/>
      <c r="M112" s="85"/>
      <c r="N112" s="76"/>
      <c r="O112" s="87"/>
    </row>
    <row r="113" ht="21.0" customHeight="1">
      <c r="A113" s="78"/>
      <c r="B113" s="69" t="str">
        <f t="shared" si="1"/>
        <v>Morgan Uller</v>
      </c>
      <c r="C113" s="69" t="str">
        <f t="shared" si="2"/>
        <v>she/her</v>
      </c>
      <c r="D113" s="69" t="str">
        <f t="shared" si="3"/>
        <v>MU8137</v>
      </c>
      <c r="E113" s="69" t="str">
        <f t="shared" si="4"/>
        <v>Snare</v>
      </c>
      <c r="F113" s="70">
        <f t="shared" si="5"/>
        <v>20</v>
      </c>
      <c r="G113" s="71" t="str">
        <f t="shared" si="6"/>
        <v>dci</v>
      </c>
      <c r="H113" s="72" t="str">
        <f t="shared" si="7"/>
        <v/>
      </c>
      <c r="I113" s="73"/>
      <c r="J113" s="74"/>
      <c r="K113" s="74"/>
      <c r="L113" s="74"/>
      <c r="M113" s="75"/>
      <c r="N113" s="76"/>
      <c r="O113" s="87"/>
    </row>
    <row r="114" ht="21.0" customHeight="1">
      <c r="A114" s="78"/>
      <c r="B114" s="79" t="str">
        <f t="shared" si="1"/>
        <v>Ryley Livingston</v>
      </c>
      <c r="C114" s="79" t="str">
        <f t="shared" si="2"/>
        <v>They/Them</v>
      </c>
      <c r="D114" s="79" t="str">
        <f t="shared" si="3"/>
        <v>RL8248</v>
      </c>
      <c r="E114" s="79" t="str">
        <f t="shared" si="4"/>
        <v>Cymbals</v>
      </c>
      <c r="F114" s="80">
        <f t="shared" si="5"/>
        <v>19</v>
      </c>
      <c r="G114" s="81" t="str">
        <f t="shared" si="6"/>
        <v>i3</v>
      </c>
      <c r="H114" s="82" t="str">
        <f t="shared" si="7"/>
        <v/>
      </c>
      <c r="I114" s="83"/>
      <c r="J114" s="84"/>
      <c r="K114" s="84"/>
      <c r="L114" s="84"/>
      <c r="M114" s="85"/>
      <c r="N114" s="76"/>
      <c r="O114" s="87"/>
    </row>
    <row r="115" ht="21.0" customHeight="1">
      <c r="A115" s="78"/>
      <c r="B115" s="69" t="str">
        <f t="shared" si="1"/>
        <v>Brady Moorehouse</v>
      </c>
      <c r="C115" s="69" t="str">
        <f t="shared" si="2"/>
        <v>he/him</v>
      </c>
      <c r="D115" s="69" t="str">
        <f t="shared" si="3"/>
        <v>BM8252</v>
      </c>
      <c r="E115" s="69" t="str">
        <f t="shared" si="4"/>
        <v>Snare</v>
      </c>
      <c r="F115" s="70">
        <f t="shared" si="5"/>
        <v>16</v>
      </c>
      <c r="G115" s="71" t="str">
        <f t="shared" si="6"/>
        <v>hs</v>
      </c>
      <c r="H115" s="72" t="str">
        <f t="shared" si="7"/>
        <v/>
      </c>
      <c r="I115" s="73"/>
      <c r="J115" s="74"/>
      <c r="K115" s="74"/>
      <c r="L115" s="74"/>
      <c r="M115" s="75"/>
      <c r="N115" s="76"/>
      <c r="O115" s="87"/>
    </row>
    <row r="116" ht="21.0" customHeight="1">
      <c r="A116" s="78"/>
      <c r="B116" s="79" t="str">
        <f t="shared" si="1"/>
        <v>Ainsley  Reed </v>
      </c>
      <c r="C116" s="79" t="str">
        <f t="shared" si="2"/>
        <v>She/her</v>
      </c>
      <c r="D116" s="79" t="str">
        <f t="shared" si="3"/>
        <v>AR8254</v>
      </c>
      <c r="E116" s="79" t="str">
        <f t="shared" si="4"/>
        <v>Visual Ensemble</v>
      </c>
      <c r="F116" s="80">
        <f t="shared" si="5"/>
        <v>19</v>
      </c>
      <c r="G116" s="81" t="str">
        <f t="shared" si="6"/>
        <v>hs</v>
      </c>
      <c r="H116" s="82" t="str">
        <f t="shared" si="7"/>
        <v/>
      </c>
      <c r="I116" s="83"/>
      <c r="J116" s="84"/>
      <c r="K116" s="84"/>
      <c r="L116" s="84"/>
      <c r="M116" s="85"/>
      <c r="N116" s="76"/>
      <c r="O116" s="87"/>
    </row>
    <row r="117" ht="21.0" customHeight="1">
      <c r="A117" s="78"/>
      <c r="B117" s="69" t="str">
        <f t="shared" si="1"/>
        <v>Luis Gonzalez</v>
      </c>
      <c r="C117" s="69" t="str">
        <f t="shared" si="2"/>
        <v>he/him</v>
      </c>
      <c r="D117" s="69" t="str">
        <f t="shared" si="3"/>
        <v>LG8097</v>
      </c>
      <c r="E117" s="69" t="str">
        <f t="shared" si="4"/>
        <v>Snare</v>
      </c>
      <c r="F117" s="70">
        <f t="shared" si="5"/>
        <v>17</v>
      </c>
      <c r="G117" s="71" t="str">
        <f t="shared" si="6"/>
        <v>hs</v>
      </c>
      <c r="H117" s="72" t="str">
        <f t="shared" si="7"/>
        <v/>
      </c>
      <c r="I117" s="73"/>
      <c r="J117" s="74"/>
      <c r="K117" s="74"/>
      <c r="L117" s="74"/>
      <c r="M117" s="75"/>
      <c r="N117" s="76"/>
      <c r="O117" s="87"/>
    </row>
    <row r="118" ht="21.0" customHeight="1">
      <c r="A118" s="78"/>
      <c r="B118" s="79" t="str">
        <f t="shared" si="1"/>
        <v>Adam Padilla</v>
      </c>
      <c r="C118" s="79" t="str">
        <f t="shared" si="2"/>
        <v>He/Him</v>
      </c>
      <c r="D118" s="79" t="str">
        <f t="shared" si="3"/>
        <v>AP8189</v>
      </c>
      <c r="E118" s="79" t="str">
        <f t="shared" si="4"/>
        <v>Snare</v>
      </c>
      <c r="F118" s="80">
        <f t="shared" si="5"/>
        <v>19</v>
      </c>
      <c r="G118" s="81" t="str">
        <f t="shared" si="6"/>
        <v>hs</v>
      </c>
      <c r="H118" s="82" t="str">
        <f t="shared" si="7"/>
        <v/>
      </c>
      <c r="I118" s="83"/>
      <c r="J118" s="84"/>
      <c r="K118" s="84"/>
      <c r="L118" s="84"/>
      <c r="M118" s="85"/>
      <c r="N118" s="76"/>
      <c r="O118" s="87"/>
    </row>
    <row r="119" ht="21.0" customHeight="1">
      <c r="A119" s="78"/>
      <c r="B119" s="69" t="str">
        <f t="shared" si="1"/>
        <v>Caden Brown</v>
      </c>
      <c r="C119" s="69" t="str">
        <f t="shared" si="2"/>
        <v/>
      </c>
      <c r="D119" s="69" t="str">
        <f t="shared" si="3"/>
        <v>CB8263</v>
      </c>
      <c r="E119" s="69" t="str">
        <f t="shared" si="4"/>
        <v>Bass</v>
      </c>
      <c r="F119" s="70">
        <f t="shared" si="5"/>
        <v>21</v>
      </c>
      <c r="G119" s="71" t="str">
        <f t="shared" si="6"/>
        <v>i2</v>
      </c>
      <c r="H119" s="72" t="str">
        <f t="shared" si="7"/>
        <v/>
      </c>
      <c r="I119" s="73"/>
      <c r="J119" s="74"/>
      <c r="K119" s="74"/>
      <c r="L119" s="74"/>
      <c r="M119" s="75"/>
      <c r="N119" s="76"/>
      <c r="O119" s="87"/>
    </row>
    <row r="120" ht="21.0" customHeight="1">
      <c r="A120" s="78"/>
      <c r="B120" s="79" t="str">
        <f t="shared" si="1"/>
        <v>Grant Ramsey</v>
      </c>
      <c r="C120" s="79" t="str">
        <f t="shared" si="2"/>
        <v>He him</v>
      </c>
      <c r="D120" s="79" t="str">
        <f t="shared" si="3"/>
        <v>GR8077</v>
      </c>
      <c r="E120" s="79" t="str">
        <f t="shared" si="4"/>
        <v>Tenor</v>
      </c>
      <c r="F120" s="80">
        <f t="shared" si="5"/>
        <v>19</v>
      </c>
      <c r="G120" s="81" t="str">
        <f t="shared" si="6"/>
        <v>hs</v>
      </c>
      <c r="H120" s="82" t="str">
        <f t="shared" si="7"/>
        <v/>
      </c>
      <c r="I120" s="89"/>
      <c r="J120" s="84"/>
      <c r="K120" s="84"/>
      <c r="L120" s="84"/>
      <c r="M120" s="85"/>
      <c r="N120" s="76"/>
      <c r="O120" s="87"/>
    </row>
    <row r="121" ht="21.0" customHeight="1">
      <c r="A121" s="78"/>
      <c r="B121" s="69" t="str">
        <f t="shared" si="1"/>
        <v>Evan Bouchard</v>
      </c>
      <c r="C121" s="69" t="str">
        <f t="shared" si="2"/>
        <v/>
      </c>
      <c r="D121" s="69" t="str">
        <f t="shared" si="3"/>
        <v>EB8251</v>
      </c>
      <c r="E121" s="69" t="str">
        <f t="shared" si="4"/>
        <v>Snare</v>
      </c>
      <c r="F121" s="70">
        <f t="shared" si="5"/>
        <v>19</v>
      </c>
      <c r="G121" s="71" t="str">
        <f t="shared" si="6"/>
        <v>hs</v>
      </c>
      <c r="H121" s="72" t="str">
        <f t="shared" si="7"/>
        <v/>
      </c>
      <c r="I121" s="73"/>
      <c r="J121" s="74"/>
      <c r="K121" s="74"/>
      <c r="L121" s="74"/>
      <c r="M121" s="75"/>
      <c r="N121" s="76"/>
      <c r="O121" s="87"/>
    </row>
    <row r="122" ht="21.0" customHeight="1">
      <c r="A122" s="78"/>
      <c r="B122" s="79" t="str">
        <f t="shared" si="1"/>
        <v>Adrian Gonzalez</v>
      </c>
      <c r="C122" s="79" t="str">
        <f t="shared" si="2"/>
        <v>he/him</v>
      </c>
      <c r="D122" s="79" t="str">
        <f t="shared" si="3"/>
        <v>AG8144</v>
      </c>
      <c r="E122" s="79" t="str">
        <f t="shared" si="4"/>
        <v>Bass</v>
      </c>
      <c r="F122" s="80">
        <f t="shared" si="5"/>
        <v>22</v>
      </c>
      <c r="G122" s="81" t="str">
        <f t="shared" si="6"/>
        <v>i1</v>
      </c>
      <c r="H122" s="82" t="str">
        <f t="shared" si="7"/>
        <v/>
      </c>
      <c r="I122" s="83"/>
      <c r="J122" s="84"/>
      <c r="K122" s="84"/>
      <c r="L122" s="84"/>
      <c r="M122" s="85"/>
      <c r="N122" s="76"/>
      <c r="O122" s="87"/>
    </row>
    <row r="123" ht="21.0" customHeight="1">
      <c r="A123" s="78"/>
      <c r="B123" s="69" t="str">
        <f t="shared" si="1"/>
        <v>Eli Gruse</v>
      </c>
      <c r="C123" s="69" t="str">
        <f t="shared" si="2"/>
        <v>He/Him</v>
      </c>
      <c r="D123" s="69" t="str">
        <f t="shared" si="3"/>
        <v>EG8246</v>
      </c>
      <c r="E123" s="69" t="str">
        <f t="shared" si="4"/>
        <v>Bass</v>
      </c>
      <c r="F123" s="70">
        <f t="shared" si="5"/>
        <v>20</v>
      </c>
      <c r="G123" s="71" t="str">
        <f t="shared" si="6"/>
        <v>i1</v>
      </c>
      <c r="H123" s="72" t="str">
        <f t="shared" si="7"/>
        <v/>
      </c>
      <c r="I123" s="73"/>
      <c r="J123" s="74"/>
      <c r="K123" s="74"/>
      <c r="L123" s="74"/>
      <c r="M123" s="75"/>
      <c r="N123" s="76"/>
      <c r="O123" s="87"/>
    </row>
    <row r="124" ht="21.0" customHeight="1">
      <c r="A124" s="78"/>
      <c r="B124" s="79" t="str">
        <f t="shared" si="1"/>
        <v>J.D. Dibbs</v>
      </c>
      <c r="C124" s="79" t="str">
        <f t="shared" si="2"/>
        <v>he/him</v>
      </c>
      <c r="D124" s="79" t="str">
        <f t="shared" si="3"/>
        <v>JD8267</v>
      </c>
      <c r="E124" s="79" t="str">
        <f t="shared" si="4"/>
        <v>Snare</v>
      </c>
      <c r="F124" s="80">
        <f t="shared" si="5"/>
        <v>22</v>
      </c>
      <c r="G124" s="81" t="str">
        <f t="shared" si="6"/>
        <v>hs</v>
      </c>
      <c r="H124" s="82" t="str">
        <f t="shared" si="7"/>
        <v/>
      </c>
      <c r="I124" s="83"/>
      <c r="J124" s="84"/>
      <c r="K124" s="84"/>
      <c r="L124" s="84"/>
      <c r="M124" s="85"/>
      <c r="N124" s="76"/>
      <c r="O124" s="87"/>
    </row>
    <row r="125" ht="21.0" customHeight="1">
      <c r="A125" s="78"/>
      <c r="B125" s="69" t="str">
        <f t="shared" si="1"/>
        <v>Miguel Yanez</v>
      </c>
      <c r="C125" s="69" t="str">
        <f t="shared" si="2"/>
        <v>He/Him</v>
      </c>
      <c r="D125" s="69" t="str">
        <f t="shared" si="3"/>
        <v>MY8259</v>
      </c>
      <c r="E125" s="69" t="str">
        <f t="shared" si="4"/>
        <v>Snare</v>
      </c>
      <c r="F125" s="70">
        <f t="shared" si="5"/>
        <v>18</v>
      </c>
      <c r="G125" s="71" t="str">
        <f t="shared" si="6"/>
        <v>hs</v>
      </c>
      <c r="H125" s="72" t="str">
        <f t="shared" si="7"/>
        <v/>
      </c>
      <c r="I125" s="73"/>
      <c r="J125" s="74"/>
      <c r="K125" s="74"/>
      <c r="L125" s="74"/>
      <c r="M125" s="75"/>
      <c r="N125" s="76"/>
      <c r="O125" s="87"/>
    </row>
    <row r="126" ht="21.0" customHeight="1">
      <c r="A126" s="78"/>
      <c r="B126" s="79" t="str">
        <f t="shared" si="1"/>
        <v>Matthew Hodge</v>
      </c>
      <c r="C126" s="79" t="str">
        <f t="shared" si="2"/>
        <v>He Him</v>
      </c>
      <c r="D126" s="79" t="str">
        <f t="shared" si="3"/>
        <v>MH8256</v>
      </c>
      <c r="E126" s="79" t="str">
        <f t="shared" si="4"/>
        <v>Bass</v>
      </c>
      <c r="F126" s="80">
        <f t="shared" si="5"/>
        <v>21</v>
      </c>
      <c r="G126" s="81" t="str">
        <f t="shared" si="6"/>
        <v>i2</v>
      </c>
      <c r="H126" s="82" t="str">
        <f t="shared" si="7"/>
        <v/>
      </c>
      <c r="I126" s="83"/>
      <c r="J126" s="84"/>
      <c r="K126" s="84"/>
      <c r="L126" s="84"/>
      <c r="M126" s="85"/>
      <c r="N126" s="76"/>
      <c r="O126" s="87"/>
    </row>
    <row r="127" ht="21.0" customHeight="1">
      <c r="A127" s="78"/>
      <c r="B127" s="69" t="str">
        <f t="shared" si="1"/>
        <v>Rose Chancey</v>
      </c>
      <c r="C127" s="69" t="str">
        <f t="shared" si="2"/>
        <v>they/them</v>
      </c>
      <c r="D127" s="69" t="str">
        <f t="shared" si="3"/>
        <v>RC8066</v>
      </c>
      <c r="E127" s="69" t="str">
        <f t="shared" si="4"/>
        <v>Snare</v>
      </c>
      <c r="F127" s="70">
        <f t="shared" si="5"/>
        <v>22</v>
      </c>
      <c r="G127" s="71" t="str">
        <f t="shared" si="6"/>
        <v>hs</v>
      </c>
      <c r="H127" s="72" t="str">
        <f t="shared" si="7"/>
        <v/>
      </c>
      <c r="I127" s="73"/>
      <c r="J127" s="74"/>
      <c r="K127" s="74"/>
      <c r="L127" s="74"/>
      <c r="M127" s="75"/>
      <c r="N127" s="76"/>
      <c r="O127" s="87"/>
    </row>
    <row r="128" ht="21.0" customHeight="1">
      <c r="A128" s="78"/>
      <c r="B128" s="79" t="str">
        <f t="shared" si="1"/>
        <v>Matthew Almodovar</v>
      </c>
      <c r="C128" s="79" t="str">
        <f t="shared" si="2"/>
        <v>He/Him</v>
      </c>
      <c r="D128" s="79" t="str">
        <f t="shared" si="3"/>
        <v>MA8274</v>
      </c>
      <c r="E128" s="79" t="str">
        <f t="shared" si="4"/>
        <v>Snare</v>
      </c>
      <c r="F128" s="80">
        <f t="shared" si="5"/>
        <v>17</v>
      </c>
      <c r="G128" s="81" t="str">
        <f t="shared" si="6"/>
        <v>hs</v>
      </c>
      <c r="H128" s="82" t="str">
        <f t="shared" si="7"/>
        <v/>
      </c>
      <c r="I128" s="83"/>
      <c r="J128" s="84"/>
      <c r="K128" s="84"/>
      <c r="L128" s="84"/>
      <c r="M128" s="85"/>
      <c r="N128" s="76"/>
      <c r="O128" s="87"/>
    </row>
    <row r="129" ht="21.0" customHeight="1">
      <c r="A129" s="78"/>
      <c r="B129" s="69" t="str">
        <f t="shared" si="1"/>
        <v>Michael Guzman</v>
      </c>
      <c r="C129" s="69" t="str">
        <f t="shared" si="2"/>
        <v/>
      </c>
      <c r="D129" s="69" t="str">
        <f t="shared" si="3"/>
        <v>MG8275</v>
      </c>
      <c r="E129" s="69" t="str">
        <f t="shared" si="4"/>
        <v>Tenor</v>
      </c>
      <c r="F129" s="70">
        <f t="shared" si="5"/>
        <v>17</v>
      </c>
      <c r="G129" s="71" t="str">
        <f t="shared" si="6"/>
        <v>hs</v>
      </c>
      <c r="H129" s="72">
        <f t="shared" si="7"/>
        <v>1</v>
      </c>
      <c r="I129" s="88"/>
      <c r="J129" s="74">
        <v>1.0</v>
      </c>
      <c r="K129" s="74">
        <v>1.0</v>
      </c>
      <c r="L129" s="74">
        <v>1.0</v>
      </c>
      <c r="M129" s="75"/>
      <c r="N129" s="76"/>
      <c r="O129" s="87"/>
    </row>
    <row r="130" ht="21.0" customHeight="1">
      <c r="A130" s="78"/>
      <c r="B130" s="79" t="str">
        <f t="shared" si="1"/>
        <v>Lea Rivera</v>
      </c>
      <c r="C130" s="79" t="str">
        <f t="shared" si="2"/>
        <v>They/them</v>
      </c>
      <c r="D130" s="79" t="str">
        <f t="shared" si="3"/>
        <v>LR8272</v>
      </c>
      <c r="E130" s="79" t="str">
        <f t="shared" si="4"/>
        <v>Cymbals</v>
      </c>
      <c r="F130" s="80">
        <f t="shared" si="5"/>
        <v>20</v>
      </c>
      <c r="G130" s="81" t="str">
        <f t="shared" si="6"/>
        <v>i2</v>
      </c>
      <c r="H130" s="82" t="str">
        <f t="shared" si="7"/>
        <v/>
      </c>
      <c r="I130" s="83"/>
      <c r="J130" s="84"/>
      <c r="K130" s="84"/>
      <c r="L130" s="84"/>
      <c r="M130" s="85"/>
      <c r="N130" s="76"/>
      <c r="O130" s="87"/>
    </row>
    <row r="131" ht="21.0" customHeight="1">
      <c r="A131" s="78"/>
      <c r="B131" s="69" t="str">
        <f t="shared" si="1"/>
        <v>Aj Coveyou </v>
      </c>
      <c r="C131" s="69" t="str">
        <f t="shared" si="2"/>
        <v>He him</v>
      </c>
      <c r="D131" s="69" t="str">
        <f t="shared" si="3"/>
        <v>AC8156</v>
      </c>
      <c r="E131" s="69" t="str">
        <f t="shared" si="4"/>
        <v>Cymbals</v>
      </c>
      <c r="F131" s="70">
        <f t="shared" si="5"/>
        <v>16</v>
      </c>
      <c r="G131" s="71" t="str">
        <f t="shared" si="6"/>
        <v>hs</v>
      </c>
      <c r="H131" s="72" t="str">
        <f t="shared" si="7"/>
        <v/>
      </c>
      <c r="I131" s="73"/>
      <c r="J131" s="74"/>
      <c r="K131" s="74"/>
      <c r="L131" s="74"/>
      <c r="M131" s="75"/>
      <c r="N131" s="76"/>
      <c r="O131" s="87"/>
    </row>
    <row r="132" ht="21.0" customHeight="1">
      <c r="A132" s="78"/>
      <c r="B132" s="79" t="str">
        <f t="shared" si="1"/>
        <v>Aidan Wester</v>
      </c>
      <c r="C132" s="79" t="str">
        <f t="shared" si="2"/>
        <v/>
      </c>
      <c r="D132" s="79" t="str">
        <f t="shared" si="3"/>
        <v>AW8276</v>
      </c>
      <c r="E132" s="79" t="str">
        <f t="shared" si="4"/>
        <v>Cymbals</v>
      </c>
      <c r="F132" s="80">
        <f t="shared" si="5"/>
        <v>22</v>
      </c>
      <c r="G132" s="81" t="str">
        <f t="shared" si="6"/>
        <v>i3</v>
      </c>
      <c r="H132" s="82" t="str">
        <f t="shared" si="7"/>
        <v/>
      </c>
      <c r="I132" s="83"/>
      <c r="J132" s="84"/>
      <c r="K132" s="84"/>
      <c r="L132" s="84"/>
      <c r="M132" s="85"/>
      <c r="N132" s="76"/>
      <c r="O132" s="87"/>
    </row>
    <row r="133" ht="21.0" customHeight="1">
      <c r="A133" s="78"/>
      <c r="B133" s="69" t="str">
        <f t="shared" si="1"/>
        <v>Nick Fournier</v>
      </c>
      <c r="C133" s="69" t="str">
        <f t="shared" si="2"/>
        <v>He/Him</v>
      </c>
      <c r="D133" s="69" t="str">
        <f t="shared" si="3"/>
        <v>NF8245</v>
      </c>
      <c r="E133" s="69" t="str">
        <f t="shared" si="4"/>
        <v>Snare</v>
      </c>
      <c r="F133" s="70">
        <f t="shared" si="5"/>
        <v>18</v>
      </c>
      <c r="G133" s="71" t="str">
        <f t="shared" si="6"/>
        <v>hs</v>
      </c>
      <c r="H133" s="72" t="str">
        <f t="shared" si="7"/>
        <v/>
      </c>
      <c r="I133" s="73"/>
      <c r="J133" s="74"/>
      <c r="K133" s="74"/>
      <c r="L133" s="74"/>
      <c r="M133" s="75"/>
      <c r="N133" s="76"/>
      <c r="O133" s="87"/>
    </row>
    <row r="134" ht="21.0" customHeight="1">
      <c r="A134" s="78"/>
      <c r="B134" s="79" t="str">
        <f t="shared" si="1"/>
        <v>Tzion Manrique</v>
      </c>
      <c r="C134" s="79" t="str">
        <f t="shared" si="2"/>
        <v>He/Them</v>
      </c>
      <c r="D134" s="79" t="str">
        <f t="shared" si="3"/>
        <v>TM8283</v>
      </c>
      <c r="E134" s="79" t="str">
        <f t="shared" si="4"/>
        <v>Bass</v>
      </c>
      <c r="F134" s="80">
        <f t="shared" si="5"/>
        <v>22</v>
      </c>
      <c r="G134" s="81" t="str">
        <f t="shared" si="6"/>
        <v>i2</v>
      </c>
      <c r="H134" s="82" t="str">
        <f t="shared" si="7"/>
        <v/>
      </c>
      <c r="I134" s="83"/>
      <c r="J134" s="84"/>
      <c r="K134" s="84"/>
      <c r="L134" s="84"/>
      <c r="M134" s="85"/>
      <c r="N134" s="76"/>
      <c r="O134" s="87"/>
    </row>
    <row r="135" ht="21.0" customHeight="1">
      <c r="A135" s="78"/>
      <c r="B135" s="69" t="str">
        <f t="shared" si="1"/>
        <v>Ben Laufer</v>
      </c>
      <c r="C135" s="69" t="str">
        <f t="shared" si="2"/>
        <v>he/him</v>
      </c>
      <c r="D135" s="69" t="str">
        <f t="shared" si="3"/>
        <v>BL8175</v>
      </c>
      <c r="E135" s="69" t="str">
        <f t="shared" si="4"/>
        <v>Tenor</v>
      </c>
      <c r="F135" s="70">
        <f t="shared" si="5"/>
        <v>21</v>
      </c>
      <c r="G135" s="71" t="str">
        <f t="shared" si="6"/>
        <v>i2</v>
      </c>
      <c r="H135" s="72" t="str">
        <f t="shared" si="7"/>
        <v/>
      </c>
      <c r="I135" s="88"/>
      <c r="J135" s="74"/>
      <c r="K135" s="74"/>
      <c r="L135" s="74"/>
      <c r="M135" s="75"/>
      <c r="N135" s="76"/>
      <c r="O135" s="87"/>
    </row>
    <row r="136" ht="21.0" customHeight="1">
      <c r="A136" s="78"/>
      <c r="B136" s="79" t="str">
        <f t="shared" si="1"/>
        <v>jonathan roman</v>
      </c>
      <c r="C136" s="79" t="str">
        <f t="shared" si="2"/>
        <v>he/they</v>
      </c>
      <c r="D136" s="79" t="str">
        <f t="shared" si="3"/>
        <v>jr8284</v>
      </c>
      <c r="E136" s="79" t="str">
        <f t="shared" si="4"/>
        <v>Snare</v>
      </c>
      <c r="F136" s="80">
        <f t="shared" si="5"/>
        <v>18</v>
      </c>
      <c r="G136" s="81" t="str">
        <f t="shared" si="6"/>
        <v>hs</v>
      </c>
      <c r="H136" s="82" t="str">
        <f t="shared" si="7"/>
        <v/>
      </c>
      <c r="I136" s="83"/>
      <c r="J136" s="84"/>
      <c r="K136" s="84"/>
      <c r="L136" s="84"/>
      <c r="M136" s="85"/>
      <c r="N136" s="76"/>
      <c r="O136" s="87"/>
    </row>
    <row r="137" ht="21.0" customHeight="1">
      <c r="A137" s="78"/>
      <c r="B137" s="69" t="str">
        <f t="shared" si="1"/>
        <v>Brandon Hunt</v>
      </c>
      <c r="C137" s="69" t="str">
        <f t="shared" si="2"/>
        <v>He/him</v>
      </c>
      <c r="D137" s="69" t="str">
        <f t="shared" si="3"/>
        <v>BH8285</v>
      </c>
      <c r="E137" s="69" t="str">
        <f t="shared" si="4"/>
        <v>Snare</v>
      </c>
      <c r="F137" s="70">
        <f t="shared" si="5"/>
        <v>22</v>
      </c>
      <c r="G137" s="71" t="str">
        <f t="shared" si="6"/>
        <v>pio</v>
      </c>
      <c r="H137" s="72" t="str">
        <f t="shared" si="7"/>
        <v/>
      </c>
      <c r="I137" s="73"/>
      <c r="J137" s="74"/>
      <c r="K137" s="74"/>
      <c r="L137" s="74"/>
      <c r="M137" s="75"/>
      <c r="N137" s="76"/>
      <c r="O137" s="87"/>
    </row>
    <row r="138" ht="21.0" customHeight="1">
      <c r="A138" s="78"/>
      <c r="B138" s="79" t="str">
        <f t="shared" si="1"/>
        <v>Joshua Botello</v>
      </c>
      <c r="C138" s="79" t="str">
        <f t="shared" si="2"/>
        <v>He/Him</v>
      </c>
      <c r="D138" s="79" t="str">
        <f t="shared" si="3"/>
        <v>JB8290</v>
      </c>
      <c r="E138" s="79" t="str">
        <f t="shared" si="4"/>
        <v>Snare</v>
      </c>
      <c r="F138" s="80">
        <f t="shared" si="5"/>
        <v>17</v>
      </c>
      <c r="G138" s="81" t="str">
        <f t="shared" si="6"/>
        <v>hs</v>
      </c>
      <c r="H138" s="82" t="str">
        <f t="shared" si="7"/>
        <v/>
      </c>
      <c r="I138" s="83"/>
      <c r="J138" s="84"/>
      <c r="K138" s="84"/>
      <c r="L138" s="84"/>
      <c r="M138" s="85"/>
      <c r="N138" s="76"/>
      <c r="O138" s="87"/>
    </row>
    <row r="139" ht="21.0" customHeight="1">
      <c r="A139" s="78"/>
      <c r="B139" s="69" t="str">
        <f t="shared" si="1"/>
        <v>Chris Pedersen</v>
      </c>
      <c r="C139" s="69" t="str">
        <f t="shared" si="2"/>
        <v/>
      </c>
      <c r="D139" s="69" t="str">
        <f t="shared" si="3"/>
        <v>CP8291</v>
      </c>
      <c r="E139" s="69" t="str">
        <f t="shared" si="4"/>
        <v>Snare</v>
      </c>
      <c r="F139" s="70">
        <f t="shared" si="5"/>
        <v>16</v>
      </c>
      <c r="G139" s="71" t="str">
        <f t="shared" si="6"/>
        <v>hs</v>
      </c>
      <c r="H139" s="72" t="str">
        <f t="shared" si="7"/>
        <v/>
      </c>
      <c r="I139" s="73"/>
      <c r="J139" s="74"/>
      <c r="K139" s="74"/>
      <c r="L139" s="74"/>
      <c r="M139" s="75"/>
      <c r="N139" s="76"/>
      <c r="O139" s="87"/>
    </row>
    <row r="140" ht="21.0" customHeight="1">
      <c r="A140" s="78"/>
      <c r="B140" s="79" t="str">
        <f t="shared" si="1"/>
        <v>Logan Graham</v>
      </c>
      <c r="C140" s="79" t="str">
        <f t="shared" si="2"/>
        <v>he/him</v>
      </c>
      <c r="D140" s="79" t="str">
        <f t="shared" si="3"/>
        <v>LG8293</v>
      </c>
      <c r="E140" s="79" t="str">
        <f t="shared" si="4"/>
        <v>Snare</v>
      </c>
      <c r="F140" s="80">
        <f t="shared" si="5"/>
        <v>22</v>
      </c>
      <c r="G140" s="81" t="str">
        <f t="shared" si="6"/>
        <v>i1</v>
      </c>
      <c r="H140" s="82" t="str">
        <f t="shared" si="7"/>
        <v/>
      </c>
      <c r="I140" s="83"/>
      <c r="J140" s="84"/>
      <c r="K140" s="84"/>
      <c r="L140" s="84"/>
      <c r="M140" s="85"/>
      <c r="N140" s="76"/>
      <c r="O140" s="87"/>
    </row>
    <row r="141" ht="21.0" customHeight="1">
      <c r="A141" s="78"/>
      <c r="B141" s="69" t="str">
        <f t="shared" si="1"/>
        <v>Andrew Kent</v>
      </c>
      <c r="C141" s="69" t="str">
        <f t="shared" si="2"/>
        <v>He/him</v>
      </c>
      <c r="D141" s="69" t="str">
        <f t="shared" si="3"/>
        <v>AK8294</v>
      </c>
      <c r="E141" s="69" t="str">
        <f t="shared" si="4"/>
        <v>Tenor</v>
      </c>
      <c r="F141" s="70">
        <f t="shared" si="5"/>
        <v>20</v>
      </c>
      <c r="G141" s="71" t="str">
        <f t="shared" si="6"/>
        <v>pio</v>
      </c>
      <c r="H141" s="72" t="str">
        <f t="shared" si="7"/>
        <v/>
      </c>
      <c r="I141" s="88"/>
      <c r="J141" s="74"/>
      <c r="K141" s="74"/>
      <c r="L141" s="74"/>
      <c r="M141" s="75"/>
      <c r="N141" s="76"/>
      <c r="O141" s="87"/>
    </row>
    <row r="142" ht="21.0" customHeight="1">
      <c r="A142" s="78"/>
      <c r="B142" s="79" t="str">
        <f t="shared" si="1"/>
        <v>JT Quant</v>
      </c>
      <c r="C142" s="79" t="str">
        <f t="shared" si="2"/>
        <v/>
      </c>
      <c r="D142" s="79" t="str">
        <f t="shared" si="3"/>
        <v>JQ8152</v>
      </c>
      <c r="E142" s="79" t="str">
        <f t="shared" si="4"/>
        <v>Tenor</v>
      </c>
      <c r="F142" s="80">
        <f t="shared" si="5"/>
        <v>17</v>
      </c>
      <c r="G142" s="81" t="str">
        <f t="shared" si="6"/>
        <v>hs</v>
      </c>
      <c r="H142" s="82">
        <f t="shared" si="7"/>
        <v>2</v>
      </c>
      <c r="I142" s="89">
        <v>2.0</v>
      </c>
      <c r="J142" s="84">
        <v>2.0</v>
      </c>
      <c r="K142" s="90">
        <v>2.0</v>
      </c>
      <c r="L142" s="84">
        <v>2.0</v>
      </c>
      <c r="M142" s="85"/>
      <c r="N142" s="76"/>
      <c r="O142" s="87"/>
    </row>
    <row r="143" ht="21.0" customHeight="1">
      <c r="A143" s="78"/>
      <c r="B143" s="69" t="str">
        <f t="shared" si="1"/>
        <v>Alison Ortiz</v>
      </c>
      <c r="C143" s="69" t="str">
        <f t="shared" si="2"/>
        <v>she/her</v>
      </c>
      <c r="D143" s="69" t="str">
        <f t="shared" si="3"/>
        <v>AO8296</v>
      </c>
      <c r="E143" s="69" t="str">
        <f t="shared" si="4"/>
        <v>Visual Ensemble</v>
      </c>
      <c r="F143" s="70">
        <f t="shared" si="5"/>
        <v>22</v>
      </c>
      <c r="G143" s="71" t="str">
        <f t="shared" si="6"/>
        <v>hs</v>
      </c>
      <c r="H143" s="72" t="str">
        <f t="shared" si="7"/>
        <v/>
      </c>
      <c r="I143" s="73"/>
      <c r="J143" s="74"/>
      <c r="K143" s="74"/>
      <c r="L143" s="74"/>
      <c r="M143" s="75"/>
      <c r="N143" s="76"/>
      <c r="O143" s="87"/>
    </row>
    <row r="144" ht="21.0" customHeight="1">
      <c r="A144" s="78"/>
      <c r="B144" s="79" t="str">
        <f t="shared" si="1"/>
        <v>Tyler Palm</v>
      </c>
      <c r="C144" s="79" t="str">
        <f t="shared" si="2"/>
        <v>He Him</v>
      </c>
      <c r="D144" s="79" t="str">
        <f t="shared" si="3"/>
        <v>TP8300</v>
      </c>
      <c r="E144" s="79" t="str">
        <f t="shared" si="4"/>
        <v>Bass</v>
      </c>
      <c r="F144" s="80">
        <f t="shared" si="5"/>
        <v>21</v>
      </c>
      <c r="G144" s="81" t="str">
        <f t="shared" si="6"/>
        <v>dci</v>
      </c>
      <c r="H144" s="82" t="str">
        <f t="shared" si="7"/>
        <v/>
      </c>
      <c r="I144" s="83"/>
      <c r="J144" s="84"/>
      <c r="K144" s="84"/>
      <c r="L144" s="84"/>
      <c r="M144" s="85"/>
      <c r="N144" s="76"/>
      <c r="O144" s="87"/>
    </row>
    <row r="145" ht="21.0" customHeight="1">
      <c r="A145" s="78"/>
      <c r="B145" s="69" t="str">
        <f t="shared" si="1"/>
        <v>Kylie  Hazelton</v>
      </c>
      <c r="C145" s="69" t="str">
        <f t="shared" si="2"/>
        <v>She/her</v>
      </c>
      <c r="D145" s="69" t="str">
        <f t="shared" si="3"/>
        <v>KH8299</v>
      </c>
      <c r="E145" s="69" t="str">
        <f t="shared" si="4"/>
        <v>Bass</v>
      </c>
      <c r="F145" s="70">
        <f t="shared" si="5"/>
        <v>19</v>
      </c>
      <c r="G145" s="71" t="str">
        <f t="shared" si="6"/>
        <v>hs</v>
      </c>
      <c r="H145" s="72" t="str">
        <f t="shared" si="7"/>
        <v/>
      </c>
      <c r="I145" s="73"/>
      <c r="J145" s="74"/>
      <c r="K145" s="74"/>
      <c r="L145" s="74"/>
      <c r="M145" s="75"/>
      <c r="N145" s="76"/>
      <c r="O145" s="87"/>
    </row>
    <row r="146" ht="21.0" customHeight="1">
      <c r="A146" s="78"/>
      <c r="B146" s="79" t="str">
        <f t="shared" si="1"/>
        <v>Nate Fret</v>
      </c>
      <c r="C146" s="79" t="str">
        <f t="shared" si="2"/>
        <v/>
      </c>
      <c r="D146" s="79" t="str">
        <f t="shared" si="3"/>
        <v>NF8301</v>
      </c>
      <c r="E146" s="79" t="str">
        <f t="shared" si="4"/>
        <v>Tenor</v>
      </c>
      <c r="F146" s="80">
        <f t="shared" si="5"/>
        <v>18</v>
      </c>
      <c r="G146" s="81" t="str">
        <f t="shared" si="6"/>
        <v>hs</v>
      </c>
      <c r="H146" s="82">
        <f t="shared" si="7"/>
        <v>1.5</v>
      </c>
      <c r="I146" s="89"/>
      <c r="J146" s="84"/>
      <c r="K146" s="84">
        <v>1.0</v>
      </c>
      <c r="L146" s="84">
        <v>2.0</v>
      </c>
      <c r="M146" s="85"/>
      <c r="N146" s="76"/>
      <c r="O146" s="87"/>
    </row>
    <row r="147" ht="21.0" customHeight="1">
      <c r="A147" s="78"/>
      <c r="B147" s="69" t="str">
        <f t="shared" si="1"/>
        <v>Michael Schaum</v>
      </c>
      <c r="C147" s="69" t="str">
        <f t="shared" si="2"/>
        <v>he/him</v>
      </c>
      <c r="D147" s="69" t="str">
        <f t="shared" si="3"/>
        <v>MS8297</v>
      </c>
      <c r="E147" s="69" t="str">
        <f t="shared" si="4"/>
        <v>Snare</v>
      </c>
      <c r="F147" s="70">
        <f t="shared" si="5"/>
        <v>16</v>
      </c>
      <c r="G147" s="71" t="str">
        <f t="shared" si="6"/>
        <v>hs</v>
      </c>
      <c r="H147" s="72" t="str">
        <f t="shared" si="7"/>
        <v/>
      </c>
      <c r="I147" s="73"/>
      <c r="J147" s="74"/>
      <c r="K147" s="74"/>
      <c r="L147" s="74"/>
      <c r="M147" s="75"/>
      <c r="N147" s="76"/>
      <c r="O147" s="87"/>
    </row>
    <row r="148" ht="21.0" customHeight="1">
      <c r="A148" s="78"/>
      <c r="B148" s="79" t="str">
        <f t="shared" si="1"/>
        <v>Kevin  Izurieta </v>
      </c>
      <c r="C148" s="79" t="str">
        <f t="shared" si="2"/>
        <v>He/Him</v>
      </c>
      <c r="D148" s="79" t="str">
        <f t="shared" si="3"/>
        <v>KI8303</v>
      </c>
      <c r="E148" s="79" t="str">
        <f t="shared" si="4"/>
        <v>Snare</v>
      </c>
      <c r="F148" s="80">
        <f t="shared" si="5"/>
        <v>18</v>
      </c>
      <c r="G148" s="81" t="str">
        <f t="shared" si="6"/>
        <v>hs</v>
      </c>
      <c r="H148" s="82" t="str">
        <f t="shared" si="7"/>
        <v/>
      </c>
      <c r="I148" s="83"/>
      <c r="J148" s="84"/>
      <c r="K148" s="84"/>
      <c r="L148" s="84"/>
      <c r="M148" s="85"/>
      <c r="N148" s="76"/>
      <c r="O148" s="87"/>
    </row>
    <row r="149" ht="21.0" customHeight="1">
      <c r="A149" s="78"/>
      <c r="B149" s="69" t="str">
        <f t="shared" si="1"/>
        <v>Zach Alabata</v>
      </c>
      <c r="C149" s="69" t="str">
        <f t="shared" si="2"/>
        <v/>
      </c>
      <c r="D149" s="69" t="str">
        <f t="shared" si="3"/>
        <v>ZA8306</v>
      </c>
      <c r="E149" s="69" t="str">
        <f t="shared" si="4"/>
        <v>Bass</v>
      </c>
      <c r="F149" s="70">
        <f t="shared" si="5"/>
        <v>22</v>
      </c>
      <c r="G149" s="71" t="str">
        <f t="shared" si="6"/>
        <v>dci</v>
      </c>
      <c r="H149" s="72" t="str">
        <f t="shared" si="7"/>
        <v/>
      </c>
      <c r="I149" s="73"/>
      <c r="J149" s="74"/>
      <c r="K149" s="74"/>
      <c r="L149" s="74"/>
      <c r="M149" s="75"/>
      <c r="N149" s="76"/>
      <c r="O149" s="87"/>
    </row>
    <row r="150" ht="21.0" customHeight="1">
      <c r="A150" s="78"/>
      <c r="B150" s="79" t="str">
        <f t="shared" si="1"/>
        <v>Jake Dyer</v>
      </c>
      <c r="C150" s="79" t="str">
        <f t="shared" si="2"/>
        <v>He/Him</v>
      </c>
      <c r="D150" s="79" t="str">
        <f t="shared" si="3"/>
        <v>JD8308</v>
      </c>
      <c r="E150" s="79" t="str">
        <f t="shared" si="4"/>
        <v>Cymbals</v>
      </c>
      <c r="F150" s="80">
        <f t="shared" si="5"/>
        <v>17</v>
      </c>
      <c r="G150" s="81" t="str">
        <f t="shared" si="6"/>
        <v>hs</v>
      </c>
      <c r="H150" s="82" t="str">
        <f t="shared" si="7"/>
        <v/>
      </c>
      <c r="I150" s="83"/>
      <c r="J150" s="84"/>
      <c r="K150" s="84"/>
      <c r="L150" s="84"/>
      <c r="M150" s="85"/>
      <c r="N150" s="76"/>
      <c r="O150" s="87"/>
    </row>
    <row r="151" ht="21.0" customHeight="1">
      <c r="A151" s="78"/>
      <c r="B151" s="69" t="str">
        <f t="shared" si="1"/>
        <v>Gregory Wille</v>
      </c>
      <c r="C151" s="69" t="str">
        <f t="shared" si="2"/>
        <v>he/him</v>
      </c>
      <c r="D151" s="69" t="str">
        <f t="shared" si="3"/>
        <v>GW8220</v>
      </c>
      <c r="E151" s="69" t="str">
        <f t="shared" si="4"/>
        <v>Snare</v>
      </c>
      <c r="F151" s="70">
        <f t="shared" si="5"/>
        <v>19</v>
      </c>
      <c r="G151" s="71" t="str">
        <f t="shared" si="6"/>
        <v>hs</v>
      </c>
      <c r="H151" s="72" t="str">
        <f t="shared" si="7"/>
        <v/>
      </c>
      <c r="I151" s="73"/>
      <c r="J151" s="74"/>
      <c r="K151" s="74"/>
      <c r="L151" s="74"/>
      <c r="M151" s="75"/>
      <c r="N151" s="76"/>
      <c r="O151" s="87"/>
    </row>
    <row r="152" ht="21.0" customHeight="1">
      <c r="A152" s="78"/>
      <c r="B152" s="79" t="str">
        <f t="shared" si="1"/>
        <v>Jorge Robles-Diaz</v>
      </c>
      <c r="C152" s="79" t="str">
        <f t="shared" si="2"/>
        <v/>
      </c>
      <c r="D152" s="79" t="str">
        <f t="shared" si="3"/>
        <v>JR8310</v>
      </c>
      <c r="E152" s="79" t="str">
        <f t="shared" si="4"/>
        <v>Snare</v>
      </c>
      <c r="F152" s="80">
        <f t="shared" si="5"/>
        <v>19</v>
      </c>
      <c r="G152" s="81" t="str">
        <f t="shared" si="6"/>
        <v>pia</v>
      </c>
      <c r="H152" s="82" t="str">
        <f t="shared" si="7"/>
        <v/>
      </c>
      <c r="I152" s="83"/>
      <c r="J152" s="84"/>
      <c r="K152" s="84"/>
      <c r="L152" s="84"/>
      <c r="M152" s="85"/>
      <c r="N152" s="76"/>
      <c r="O152" s="87"/>
    </row>
    <row r="153" ht="21.0" customHeight="1">
      <c r="A153" s="78"/>
      <c r="B153" s="69" t="str">
        <f t="shared" si="1"/>
        <v>Salem Tyson</v>
      </c>
      <c r="C153" s="69" t="str">
        <f t="shared" si="2"/>
        <v>He/Him</v>
      </c>
      <c r="D153" s="69" t="str">
        <f t="shared" si="3"/>
        <v>ST8314</v>
      </c>
      <c r="E153" s="69" t="str">
        <f t="shared" si="4"/>
        <v>Snare</v>
      </c>
      <c r="F153" s="70">
        <f t="shared" si="5"/>
        <v>20</v>
      </c>
      <c r="G153" s="71" t="str">
        <f t="shared" si="6"/>
        <v>hs</v>
      </c>
      <c r="H153" s="72" t="str">
        <f t="shared" si="7"/>
        <v/>
      </c>
      <c r="I153" s="73"/>
      <c r="J153" s="74"/>
      <c r="K153" s="74"/>
      <c r="L153" s="74"/>
      <c r="M153" s="75"/>
      <c r="N153" s="76"/>
      <c r="O153" s="87"/>
    </row>
    <row r="154" ht="21.0" customHeight="1">
      <c r="A154" s="78"/>
      <c r="B154" s="79" t="str">
        <f t="shared" si="1"/>
        <v>Justin  Evans </v>
      </c>
      <c r="C154" s="79" t="str">
        <f t="shared" si="2"/>
        <v>he/him</v>
      </c>
      <c r="D154" s="79" t="str">
        <f t="shared" si="3"/>
        <v>JE8312</v>
      </c>
      <c r="E154" s="79" t="str">
        <f t="shared" si="4"/>
        <v>Snare</v>
      </c>
      <c r="F154" s="80">
        <f t="shared" si="5"/>
        <v>19</v>
      </c>
      <c r="G154" s="81" t="str">
        <f t="shared" si="6"/>
        <v>dca</v>
      </c>
      <c r="H154" s="82" t="str">
        <f t="shared" si="7"/>
        <v/>
      </c>
      <c r="I154" s="83"/>
      <c r="J154" s="84"/>
      <c r="K154" s="84"/>
      <c r="L154" s="84"/>
      <c r="M154" s="85"/>
      <c r="N154" s="76"/>
      <c r="O154" s="87"/>
    </row>
    <row r="155" ht="21.0" customHeight="1">
      <c r="A155" s="78"/>
      <c r="B155" s="69" t="str">
        <f t="shared" si="1"/>
        <v>Ethan Hill</v>
      </c>
      <c r="C155" s="69" t="str">
        <f t="shared" si="2"/>
        <v>he/him</v>
      </c>
      <c r="D155" s="69" t="str">
        <f t="shared" si="3"/>
        <v>EH8307</v>
      </c>
      <c r="E155" s="69" t="str">
        <f t="shared" si="4"/>
        <v>Tenor</v>
      </c>
      <c r="F155" s="70">
        <f t="shared" si="5"/>
        <v>22</v>
      </c>
      <c r="G155" s="71" t="str">
        <f t="shared" si="6"/>
        <v>piw</v>
      </c>
      <c r="H155" s="72" t="str">
        <f t="shared" si="7"/>
        <v/>
      </c>
      <c r="I155" s="88"/>
      <c r="J155" s="74"/>
      <c r="K155" s="74"/>
      <c r="L155" s="74"/>
      <c r="M155" s="75"/>
      <c r="N155" s="76"/>
      <c r="O155" s="87"/>
    </row>
    <row r="156" ht="21.0" customHeight="1">
      <c r="A156" s="78"/>
      <c r="B156" s="79" t="str">
        <f t="shared" si="1"/>
        <v>Valentina Betancur</v>
      </c>
      <c r="C156" s="79" t="str">
        <f t="shared" si="2"/>
        <v>she/her</v>
      </c>
      <c r="D156" s="79" t="str">
        <f t="shared" si="3"/>
        <v>VB8313</v>
      </c>
      <c r="E156" s="79" t="str">
        <f t="shared" si="4"/>
        <v>Visual Ensemble</v>
      </c>
      <c r="F156" s="80">
        <f t="shared" si="5"/>
        <v>20</v>
      </c>
      <c r="G156" s="81" t="str">
        <f t="shared" si="6"/>
        <v>dci</v>
      </c>
      <c r="H156" s="82" t="str">
        <f t="shared" si="7"/>
        <v/>
      </c>
      <c r="I156" s="83"/>
      <c r="J156" s="84"/>
      <c r="K156" s="84"/>
      <c r="L156" s="84"/>
      <c r="M156" s="85"/>
      <c r="N156" s="76"/>
      <c r="O156" s="87"/>
    </row>
    <row r="157" ht="21.0" customHeight="1">
      <c r="A157" s="78"/>
      <c r="B157" s="69" t="str">
        <f t="shared" si="1"/>
        <v>Mattro Zuzek</v>
      </c>
      <c r="C157" s="69" t="str">
        <f t="shared" si="2"/>
        <v>He/him</v>
      </c>
      <c r="D157" s="69" t="str">
        <f t="shared" si="3"/>
        <v>MZ8269</v>
      </c>
      <c r="E157" s="69" t="str">
        <f t="shared" si="4"/>
        <v>Bass</v>
      </c>
      <c r="F157" s="70">
        <f t="shared" si="5"/>
        <v>21</v>
      </c>
      <c r="G157" s="71" t="str">
        <f t="shared" si="6"/>
        <v>dci</v>
      </c>
      <c r="H157" s="72" t="str">
        <f t="shared" si="7"/>
        <v/>
      </c>
      <c r="I157" s="73"/>
      <c r="J157" s="74"/>
      <c r="K157" s="74"/>
      <c r="L157" s="74"/>
      <c r="M157" s="75"/>
      <c r="N157" s="76"/>
      <c r="O157" s="87"/>
    </row>
    <row r="158" ht="21.0" customHeight="1">
      <c r="A158" s="78"/>
      <c r="B158" s="79" t="str">
        <f t="shared" si="1"/>
        <v>Jazi Vartanian</v>
      </c>
      <c r="C158" s="79" t="str">
        <f t="shared" si="2"/>
        <v>He/him</v>
      </c>
      <c r="D158" s="79" t="str">
        <f t="shared" si="3"/>
        <v>JV8321</v>
      </c>
      <c r="E158" s="79" t="str">
        <f t="shared" si="4"/>
        <v>Snare</v>
      </c>
      <c r="F158" s="80">
        <f t="shared" si="5"/>
        <v>19</v>
      </c>
      <c r="G158" s="81" t="str">
        <f t="shared" si="6"/>
        <v>hs</v>
      </c>
      <c r="H158" s="82" t="str">
        <f t="shared" si="7"/>
        <v/>
      </c>
      <c r="I158" s="83"/>
      <c r="J158" s="84"/>
      <c r="K158" s="84"/>
      <c r="L158" s="84"/>
      <c r="M158" s="85"/>
      <c r="N158" s="76"/>
      <c r="O158" s="87"/>
    </row>
    <row r="159" ht="21.0" customHeight="1">
      <c r="A159" s="78"/>
      <c r="B159" s="69" t="str">
        <f t="shared" si="1"/>
        <v>Sean Zarobsky</v>
      </c>
      <c r="C159" s="69" t="str">
        <f t="shared" si="2"/>
        <v>he/him</v>
      </c>
      <c r="D159" s="69" t="str">
        <f t="shared" si="3"/>
        <v>SZ8323</v>
      </c>
      <c r="E159" s="69" t="str">
        <f t="shared" si="4"/>
        <v>Snare</v>
      </c>
      <c r="F159" s="70">
        <f t="shared" si="5"/>
        <v>20</v>
      </c>
      <c r="G159" s="71" t="str">
        <f t="shared" si="6"/>
        <v>pio</v>
      </c>
      <c r="H159" s="72" t="str">
        <f t="shared" si="7"/>
        <v/>
      </c>
      <c r="I159" s="73"/>
      <c r="J159" s="74"/>
      <c r="K159" s="74"/>
      <c r="L159" s="74"/>
      <c r="M159" s="75"/>
      <c r="N159" s="76"/>
      <c r="O159" s="87"/>
    </row>
    <row r="160" ht="21.0" customHeight="1">
      <c r="A160" s="78"/>
      <c r="B160" s="79" t="str">
        <f t="shared" si="1"/>
        <v>Brianna Baker</v>
      </c>
      <c r="C160" s="79" t="str">
        <f t="shared" si="2"/>
        <v>She,her</v>
      </c>
      <c r="D160" s="79" t="str">
        <f t="shared" si="3"/>
        <v>BB8325</v>
      </c>
      <c r="E160" s="79" t="str">
        <f t="shared" si="4"/>
        <v>Visual Ensemble</v>
      </c>
      <c r="F160" s="80">
        <f t="shared" si="5"/>
        <v>21</v>
      </c>
      <c r="G160" s="81" t="str">
        <f t="shared" si="6"/>
        <v>i2</v>
      </c>
      <c r="H160" s="82" t="str">
        <f t="shared" si="7"/>
        <v/>
      </c>
      <c r="I160" s="83"/>
      <c r="J160" s="84"/>
      <c r="K160" s="84"/>
      <c r="L160" s="84"/>
      <c r="M160" s="85"/>
      <c r="N160" s="76"/>
      <c r="O160" s="87"/>
    </row>
    <row r="161" ht="21.0" customHeight="1">
      <c r="A161" s="78"/>
      <c r="B161" s="69" t="str">
        <f t="shared" si="1"/>
        <v>Dylan Sons</v>
      </c>
      <c r="C161" s="69" t="str">
        <f t="shared" si="2"/>
        <v>He/Him</v>
      </c>
      <c r="D161" s="69" t="str">
        <f t="shared" si="3"/>
        <v>DS8324</v>
      </c>
      <c r="E161" s="69" t="str">
        <f t="shared" si="4"/>
        <v>Snare</v>
      </c>
      <c r="F161" s="70">
        <f t="shared" si="5"/>
        <v>22</v>
      </c>
      <c r="G161" s="71" t="str">
        <f t="shared" si="6"/>
        <v>i2</v>
      </c>
      <c r="H161" s="72" t="str">
        <f t="shared" si="7"/>
        <v/>
      </c>
      <c r="I161" s="73"/>
      <c r="J161" s="74"/>
      <c r="K161" s="74"/>
      <c r="L161" s="74"/>
      <c r="M161" s="75"/>
      <c r="N161" s="76"/>
      <c r="O161" s="87"/>
    </row>
    <row r="162" ht="21.0" customHeight="1">
      <c r="A162" s="78"/>
      <c r="B162" s="79" t="str">
        <f t="shared" si="1"/>
        <v>José  Palacios </v>
      </c>
      <c r="C162" s="79" t="str">
        <f t="shared" si="2"/>
        <v>He/him</v>
      </c>
      <c r="D162" s="79" t="str">
        <f t="shared" si="3"/>
        <v>JP8327</v>
      </c>
      <c r="E162" s="79" t="str">
        <f t="shared" si="4"/>
        <v>Tenor</v>
      </c>
      <c r="F162" s="80">
        <f t="shared" si="5"/>
        <v>18</v>
      </c>
      <c r="G162" s="81" t="str">
        <f t="shared" si="6"/>
        <v>hs</v>
      </c>
      <c r="H162" s="82" t="str">
        <f t="shared" si="7"/>
        <v/>
      </c>
      <c r="I162" s="89"/>
      <c r="J162" s="84"/>
      <c r="K162" s="84"/>
      <c r="L162" s="84"/>
      <c r="M162" s="85"/>
      <c r="N162" s="76"/>
      <c r="O162" s="87"/>
    </row>
    <row r="163" ht="21.0" customHeight="1">
      <c r="A163" s="78"/>
      <c r="B163" s="69" t="str">
        <f t="shared" si="1"/>
        <v>Richie Hallack</v>
      </c>
      <c r="C163" s="69" t="str">
        <f t="shared" si="2"/>
        <v/>
      </c>
      <c r="D163" s="69" t="str">
        <f t="shared" si="3"/>
        <v>RH8330</v>
      </c>
      <c r="E163" s="69" t="str">
        <f t="shared" si="4"/>
        <v>Cymbals</v>
      </c>
      <c r="F163" s="70">
        <f t="shared" si="5"/>
        <v>22</v>
      </c>
      <c r="G163" s="71" t="str">
        <f t="shared" si="6"/>
        <v>i3</v>
      </c>
      <c r="H163" s="72" t="str">
        <f t="shared" si="7"/>
        <v/>
      </c>
      <c r="I163" s="73"/>
      <c r="J163" s="74"/>
      <c r="K163" s="74"/>
      <c r="L163" s="74"/>
      <c r="M163" s="75"/>
      <c r="N163" s="76"/>
      <c r="O163" s="87"/>
    </row>
    <row r="164" ht="21.0" customHeight="1">
      <c r="A164" s="78"/>
      <c r="B164" s="79" t="str">
        <f t="shared" si="1"/>
        <v>Jen Ayala</v>
      </c>
      <c r="C164" s="79" t="str">
        <f t="shared" si="2"/>
        <v>She/Her</v>
      </c>
      <c r="D164" s="79" t="str">
        <f t="shared" si="3"/>
        <v>JA8216</v>
      </c>
      <c r="E164" s="79" t="str">
        <f t="shared" si="4"/>
        <v>Bass</v>
      </c>
      <c r="F164" s="80">
        <f t="shared" si="5"/>
        <v>19</v>
      </c>
      <c r="G164" s="81" t="str">
        <f t="shared" si="6"/>
        <v>dci</v>
      </c>
      <c r="H164" s="82" t="str">
        <f t="shared" si="7"/>
        <v/>
      </c>
      <c r="I164" s="83"/>
      <c r="J164" s="84"/>
      <c r="K164" s="84"/>
      <c r="L164" s="84"/>
      <c r="M164" s="85"/>
      <c r="N164" s="76"/>
      <c r="O164" s="87"/>
    </row>
    <row r="165" ht="21.0" customHeight="1">
      <c r="A165" s="91"/>
      <c r="B165" s="69" t="str">
        <f t="shared" si="1"/>
        <v>Elisha Centeno</v>
      </c>
      <c r="C165" s="69" t="str">
        <f t="shared" si="2"/>
        <v/>
      </c>
      <c r="D165" s="69" t="str">
        <f t="shared" si="3"/>
        <v>EC8331</v>
      </c>
      <c r="E165" s="69" t="str">
        <f t="shared" si="4"/>
        <v>Snare</v>
      </c>
      <c r="F165" s="70">
        <f t="shared" si="5"/>
        <v>18</v>
      </c>
      <c r="G165" s="71" t="str">
        <f t="shared" si="6"/>
        <v>hs</v>
      </c>
      <c r="H165" s="92" t="str">
        <f t="shared" si="7"/>
        <v/>
      </c>
      <c r="I165" s="93"/>
      <c r="J165" s="93"/>
      <c r="K165" s="93"/>
      <c r="L165" s="93"/>
      <c r="M165" s="92"/>
      <c r="N165" s="76"/>
      <c r="O165" s="94"/>
    </row>
    <row r="166" ht="21.0" customHeight="1">
      <c r="A166" s="78"/>
      <c r="B166" s="79" t="str">
        <f t="shared" si="1"/>
        <v>Damian Pumo</v>
      </c>
      <c r="C166" s="79" t="str">
        <f t="shared" si="2"/>
        <v/>
      </c>
      <c r="D166" s="79" t="str">
        <f t="shared" si="3"/>
        <v>DP8315</v>
      </c>
      <c r="E166" s="79" t="str">
        <f t="shared" si="4"/>
        <v>Tenor</v>
      </c>
      <c r="F166" s="80">
        <f t="shared" si="5"/>
        <v>17</v>
      </c>
      <c r="G166" s="81" t="str">
        <f t="shared" si="6"/>
        <v>hs</v>
      </c>
      <c r="H166" s="82" t="str">
        <f t="shared" si="7"/>
        <v/>
      </c>
      <c r="I166" s="89"/>
      <c r="J166" s="84"/>
      <c r="K166" s="84"/>
      <c r="L166" s="84"/>
      <c r="M166" s="85"/>
      <c r="N166" s="76"/>
      <c r="O166" s="87"/>
    </row>
    <row r="167" ht="21.0" customHeight="1">
      <c r="A167" s="78"/>
      <c r="B167" s="69" t="str">
        <f t="shared" si="1"/>
        <v>Tim Lopez</v>
      </c>
      <c r="C167" s="69" t="str">
        <f t="shared" si="2"/>
        <v>He/him</v>
      </c>
      <c r="D167" s="69" t="str">
        <f t="shared" si="3"/>
        <v>TL8334</v>
      </c>
      <c r="E167" s="69" t="str">
        <f t="shared" si="4"/>
        <v>Cymbals</v>
      </c>
      <c r="F167" s="70">
        <f t="shared" si="5"/>
        <v>19</v>
      </c>
      <c r="G167" s="71" t="str">
        <f t="shared" si="6"/>
        <v>i1</v>
      </c>
      <c r="H167" s="72" t="str">
        <f t="shared" si="7"/>
        <v/>
      </c>
      <c r="I167" s="73"/>
      <c r="J167" s="74"/>
      <c r="K167" s="74"/>
      <c r="L167" s="74"/>
      <c r="M167" s="75"/>
      <c r="N167" s="76"/>
      <c r="O167" s="87"/>
    </row>
    <row r="168" ht="21.0" customHeight="1">
      <c r="A168" s="78"/>
      <c r="B168" s="79" t="str">
        <f t="shared" si="1"/>
        <v>Jillian Colosimo</v>
      </c>
      <c r="C168" s="79" t="str">
        <f t="shared" si="2"/>
        <v>she/her</v>
      </c>
      <c r="D168" s="79" t="str">
        <f t="shared" si="3"/>
        <v>JC8335</v>
      </c>
      <c r="E168" s="79" t="str">
        <f t="shared" si="4"/>
        <v>Snare</v>
      </c>
      <c r="F168" s="80">
        <f t="shared" si="5"/>
        <v>20</v>
      </c>
      <c r="G168" s="81" t="str">
        <f t="shared" si="6"/>
        <v>hs</v>
      </c>
      <c r="H168" s="82" t="str">
        <f t="shared" si="7"/>
        <v/>
      </c>
      <c r="I168" s="83"/>
      <c r="J168" s="84"/>
      <c r="K168" s="84"/>
      <c r="L168" s="84"/>
      <c r="M168" s="85"/>
      <c r="N168" s="76"/>
      <c r="O168" s="87"/>
    </row>
    <row r="169" ht="21.0" customHeight="1">
      <c r="A169" s="78"/>
      <c r="B169" s="69" t="str">
        <f t="shared" si="1"/>
        <v>Autumn Pelfrey</v>
      </c>
      <c r="C169" s="69" t="str">
        <f t="shared" si="2"/>
        <v>She/They</v>
      </c>
      <c r="D169" s="69" t="str">
        <f t="shared" si="3"/>
        <v>AP8338</v>
      </c>
      <c r="E169" s="69" t="str">
        <f t="shared" si="4"/>
        <v>Visual Ensemble</v>
      </c>
      <c r="F169" s="70">
        <f t="shared" si="5"/>
        <v>18</v>
      </c>
      <c r="G169" s="71" t="str">
        <f t="shared" si="6"/>
        <v>hs</v>
      </c>
      <c r="H169" s="72" t="str">
        <f t="shared" si="7"/>
        <v/>
      </c>
      <c r="I169" s="73"/>
      <c r="J169" s="74"/>
      <c r="K169" s="74"/>
      <c r="L169" s="74"/>
      <c r="M169" s="75"/>
      <c r="N169" s="76"/>
      <c r="O169" s="87"/>
    </row>
    <row r="170" ht="21.0" customHeight="1">
      <c r="A170" s="78"/>
      <c r="B170" s="79" t="str">
        <f t="shared" si="1"/>
        <v>Kenzie Smith</v>
      </c>
      <c r="C170" s="79" t="str">
        <f t="shared" si="2"/>
        <v>she/her</v>
      </c>
      <c r="D170" s="79" t="str">
        <f t="shared" si="3"/>
        <v>KS8339</v>
      </c>
      <c r="E170" s="79" t="str">
        <f t="shared" si="4"/>
        <v>Visual Ensemble</v>
      </c>
      <c r="F170" s="80">
        <f t="shared" si="5"/>
        <v>17</v>
      </c>
      <c r="G170" s="81" t="str">
        <f t="shared" si="6"/>
        <v>hs</v>
      </c>
      <c r="H170" s="82" t="str">
        <f t="shared" si="7"/>
        <v/>
      </c>
      <c r="I170" s="83"/>
      <c r="J170" s="84"/>
      <c r="K170" s="84"/>
      <c r="L170" s="84"/>
      <c r="M170" s="85"/>
      <c r="N170" s="76"/>
      <c r="O170" s="87"/>
    </row>
    <row r="171" ht="21.0" customHeight="1">
      <c r="A171" s="78"/>
      <c r="B171" s="69" t="str">
        <f t="shared" si="1"/>
        <v>Alex Simon</v>
      </c>
      <c r="C171" s="69" t="str">
        <f t="shared" si="2"/>
        <v>he/him</v>
      </c>
      <c r="D171" s="69" t="str">
        <f t="shared" si="3"/>
        <v>AS8340</v>
      </c>
      <c r="E171" s="69" t="str">
        <f t="shared" si="4"/>
        <v>Snare</v>
      </c>
      <c r="F171" s="70">
        <f t="shared" si="5"/>
        <v>22</v>
      </c>
      <c r="G171" s="71" t="str">
        <f t="shared" si="6"/>
        <v>piw</v>
      </c>
      <c r="H171" s="72" t="str">
        <f t="shared" si="7"/>
        <v/>
      </c>
      <c r="I171" s="73"/>
      <c r="J171" s="74"/>
      <c r="K171" s="74"/>
      <c r="L171" s="74"/>
      <c r="M171" s="75"/>
      <c r="N171" s="76"/>
      <c r="O171" s="87"/>
    </row>
    <row r="172" ht="21.0" customHeight="1">
      <c r="A172" s="78"/>
      <c r="B172" s="79" t="str">
        <f t="shared" si="1"/>
        <v>Jack Gallo</v>
      </c>
      <c r="C172" s="79" t="str">
        <f t="shared" si="2"/>
        <v>He/Him</v>
      </c>
      <c r="D172" s="79" t="str">
        <f t="shared" si="3"/>
        <v>JG8342</v>
      </c>
      <c r="E172" s="79" t="str">
        <f t="shared" si="4"/>
        <v>Bass</v>
      </c>
      <c r="F172" s="80">
        <f t="shared" si="5"/>
        <v>18</v>
      </c>
      <c r="G172" s="81" t="str">
        <f t="shared" si="6"/>
        <v>pia</v>
      </c>
      <c r="H172" s="82" t="str">
        <f t="shared" si="7"/>
        <v/>
      </c>
      <c r="I172" s="83"/>
      <c r="J172" s="84"/>
      <c r="K172" s="84"/>
      <c r="L172" s="84"/>
      <c r="M172" s="85"/>
      <c r="N172" s="76"/>
      <c r="O172" s="87"/>
    </row>
    <row r="173" ht="21.0" customHeight="1">
      <c r="A173" s="78"/>
      <c r="B173" s="69" t="str">
        <f t="shared" si="1"/>
        <v>Will Lloyd</v>
      </c>
      <c r="C173" s="69" t="str">
        <f t="shared" si="2"/>
        <v>He/Him</v>
      </c>
      <c r="D173" s="69" t="str">
        <f t="shared" si="3"/>
        <v>WL8316</v>
      </c>
      <c r="E173" s="69" t="str">
        <f t="shared" si="4"/>
        <v>Tenor</v>
      </c>
      <c r="F173" s="70">
        <f t="shared" si="5"/>
        <v>22</v>
      </c>
      <c r="G173" s="71" t="str">
        <f t="shared" si="6"/>
        <v>i1</v>
      </c>
      <c r="H173" s="72" t="str">
        <f t="shared" si="7"/>
        <v/>
      </c>
      <c r="I173" s="88"/>
      <c r="J173" s="74"/>
      <c r="K173" s="74"/>
      <c r="L173" s="74"/>
      <c r="M173" s="75"/>
      <c r="N173" s="76"/>
      <c r="O173" s="87"/>
    </row>
    <row r="174" ht="21.0" customHeight="1">
      <c r="A174" s="78"/>
      <c r="B174" s="79" t="str">
        <f t="shared" si="1"/>
        <v>Kenzie Herrera</v>
      </c>
      <c r="C174" s="79" t="str">
        <f t="shared" si="2"/>
        <v>He/him </v>
      </c>
      <c r="D174" s="79" t="str">
        <f t="shared" si="3"/>
        <v>KH8344</v>
      </c>
      <c r="E174" s="79" t="str">
        <f t="shared" si="4"/>
        <v>Bass</v>
      </c>
      <c r="F174" s="80">
        <f t="shared" si="5"/>
        <v>15</v>
      </c>
      <c r="G174" s="81" t="str">
        <f t="shared" si="6"/>
        <v>hs</v>
      </c>
      <c r="H174" s="82" t="str">
        <f t="shared" si="7"/>
        <v/>
      </c>
      <c r="I174" s="83"/>
      <c r="J174" s="84"/>
      <c r="K174" s="84"/>
      <c r="L174" s="84"/>
      <c r="M174" s="85"/>
      <c r="N174" s="76"/>
      <c r="O174" s="87"/>
    </row>
    <row r="175" ht="21.0" customHeight="1">
      <c r="A175" s="78"/>
      <c r="B175" s="69" t="str">
        <f t="shared" si="1"/>
        <v>Kortney  Frank</v>
      </c>
      <c r="C175" s="69" t="str">
        <f t="shared" si="2"/>
        <v>She/her</v>
      </c>
      <c r="D175" s="69" t="str">
        <f t="shared" si="3"/>
        <v>KF8345</v>
      </c>
      <c r="E175" s="69" t="str">
        <f t="shared" si="4"/>
        <v>Cymbals</v>
      </c>
      <c r="F175" s="70">
        <f t="shared" si="5"/>
        <v>20</v>
      </c>
      <c r="G175" s="71" t="str">
        <f t="shared" si="6"/>
        <v>i3</v>
      </c>
      <c r="H175" s="72" t="str">
        <f t="shared" si="7"/>
        <v/>
      </c>
      <c r="I175" s="73"/>
      <c r="J175" s="74"/>
      <c r="K175" s="74"/>
      <c r="L175" s="74"/>
      <c r="M175" s="75"/>
      <c r="N175" s="76"/>
      <c r="O175" s="87"/>
    </row>
    <row r="176" ht="21.0" customHeight="1">
      <c r="A176" s="78"/>
      <c r="B176" s="79" t="str">
        <f t="shared" si="1"/>
        <v>Lawson Heard</v>
      </c>
      <c r="C176" s="79" t="str">
        <f t="shared" si="2"/>
        <v/>
      </c>
      <c r="D176" s="79" t="str">
        <f t="shared" si="3"/>
        <v>LH8282</v>
      </c>
      <c r="E176" s="79" t="str">
        <f t="shared" si="4"/>
        <v>Snare</v>
      </c>
      <c r="F176" s="80">
        <f t="shared" si="5"/>
        <v>17</v>
      </c>
      <c r="G176" s="81" t="str">
        <f t="shared" si="6"/>
        <v>pia</v>
      </c>
      <c r="H176" s="82" t="str">
        <f t="shared" si="7"/>
        <v/>
      </c>
      <c r="I176" s="83"/>
      <c r="J176" s="84"/>
      <c r="K176" s="84"/>
      <c r="L176" s="84"/>
      <c r="M176" s="85"/>
      <c r="N176" s="76"/>
      <c r="O176" s="87"/>
    </row>
    <row r="177" ht="21.0" customHeight="1">
      <c r="A177" s="78"/>
      <c r="B177" s="69" t="str">
        <f t="shared" si="1"/>
        <v>Kyle Murphy</v>
      </c>
      <c r="C177" s="69" t="str">
        <f t="shared" si="2"/>
        <v/>
      </c>
      <c r="D177" s="69" t="str">
        <f t="shared" si="3"/>
        <v>KM8224</v>
      </c>
      <c r="E177" s="69" t="str">
        <f t="shared" si="4"/>
        <v>Tenor</v>
      </c>
      <c r="F177" s="70">
        <f t="shared" si="5"/>
        <v>21</v>
      </c>
      <c r="G177" s="71" t="str">
        <f t="shared" si="6"/>
        <v>hs</v>
      </c>
      <c r="H177" s="72">
        <f t="shared" si="7"/>
        <v>1.666666667</v>
      </c>
      <c r="I177" s="88"/>
      <c r="J177" s="74">
        <v>2.0</v>
      </c>
      <c r="K177" s="74">
        <v>1.0</v>
      </c>
      <c r="L177" s="74">
        <v>2.0</v>
      </c>
      <c r="M177" s="75"/>
      <c r="N177" s="76"/>
      <c r="O177" s="77" t="s">
        <v>51</v>
      </c>
    </row>
    <row r="178" ht="21.0" customHeight="1">
      <c r="A178" s="78"/>
      <c r="B178" s="79" t="str">
        <f t="shared" si="1"/>
        <v>Brandon Davis</v>
      </c>
      <c r="C178" s="79" t="str">
        <f t="shared" si="2"/>
        <v>He/Him/His</v>
      </c>
      <c r="D178" s="79" t="str">
        <f t="shared" si="3"/>
        <v>BD8337</v>
      </c>
      <c r="E178" s="79" t="str">
        <f t="shared" si="4"/>
        <v>Cymbals</v>
      </c>
      <c r="F178" s="80">
        <f t="shared" si="5"/>
        <v>22</v>
      </c>
      <c r="G178" s="81" t="str">
        <f t="shared" si="6"/>
        <v/>
      </c>
      <c r="H178" s="82">
        <f t="shared" si="7"/>
        <v>2</v>
      </c>
      <c r="I178" s="83"/>
      <c r="J178" s="84">
        <v>2.0</v>
      </c>
      <c r="K178" s="84">
        <v>2.0</v>
      </c>
      <c r="L178" s="84">
        <v>2.0</v>
      </c>
      <c r="M178" s="85"/>
      <c r="N178" s="76"/>
      <c r="O178" s="87"/>
    </row>
    <row r="179" ht="21.0" customHeight="1">
      <c r="A179" s="78"/>
      <c r="B179" s="69" t="str">
        <f t="shared" si="1"/>
        <v>Noah Bennett</v>
      </c>
      <c r="C179" s="69" t="str">
        <f t="shared" si="2"/>
        <v>he/him</v>
      </c>
      <c r="D179" s="69" t="str">
        <f t="shared" si="3"/>
        <v>NB8055</v>
      </c>
      <c r="E179" s="69" t="str">
        <f t="shared" si="4"/>
        <v>Tenor</v>
      </c>
      <c r="F179" s="70">
        <f t="shared" si="5"/>
        <v>20</v>
      </c>
      <c r="G179" s="71" t="str">
        <f t="shared" si="6"/>
        <v/>
      </c>
      <c r="H179" s="72" t="str">
        <f t="shared" si="7"/>
        <v/>
      </c>
      <c r="I179" s="73"/>
      <c r="J179" s="74"/>
      <c r="K179" s="74"/>
      <c r="L179" s="74"/>
      <c r="M179" s="75"/>
      <c r="N179" s="76"/>
      <c r="O179" s="87"/>
    </row>
    <row r="180" ht="21.0" customHeight="1">
      <c r="A180" s="78"/>
      <c r="B180" s="79" t="str">
        <f t="shared" si="1"/>
        <v>Josh Van Patten</v>
      </c>
      <c r="C180" s="79" t="str">
        <f t="shared" si="2"/>
        <v>Him</v>
      </c>
      <c r="D180" s="79" t="str">
        <f t="shared" si="3"/>
        <v>JV8292</v>
      </c>
      <c r="E180" s="79" t="str">
        <f t="shared" si="4"/>
        <v>Snare</v>
      </c>
      <c r="F180" s="80">
        <f t="shared" si="5"/>
        <v>18</v>
      </c>
      <c r="G180" s="81" t="str">
        <f t="shared" si="6"/>
        <v/>
      </c>
      <c r="H180" s="82" t="str">
        <f t="shared" si="7"/>
        <v/>
      </c>
      <c r="I180" s="83"/>
      <c r="J180" s="84"/>
      <c r="K180" s="84"/>
      <c r="L180" s="84"/>
      <c r="M180" s="85"/>
      <c r="N180" s="76"/>
      <c r="O180" s="87"/>
    </row>
    <row r="181" ht="21.0" customHeight="1">
      <c r="A181" s="78"/>
      <c r="B181" s="69" t="str">
        <f t="shared" si="1"/>
        <v>Emily Burgos</v>
      </c>
      <c r="C181" s="69" t="str">
        <f t="shared" si="2"/>
        <v>She/her</v>
      </c>
      <c r="D181" s="69" t="str">
        <f t="shared" si="3"/>
        <v>EB8180</v>
      </c>
      <c r="E181" s="69" t="str">
        <f t="shared" si="4"/>
        <v>Visual Ensemble</v>
      </c>
      <c r="F181" s="70">
        <f t="shared" si="5"/>
        <v>20</v>
      </c>
      <c r="G181" s="71" t="str">
        <f t="shared" si="6"/>
        <v/>
      </c>
      <c r="H181" s="72" t="str">
        <f t="shared" si="7"/>
        <v/>
      </c>
      <c r="I181" s="73"/>
      <c r="J181" s="74"/>
      <c r="K181" s="74"/>
      <c r="L181" s="74"/>
      <c r="M181" s="75"/>
      <c r="N181" s="76"/>
      <c r="O181" s="87"/>
    </row>
    <row r="182" ht="21.0" hidden="1" customHeight="1">
      <c r="A182" s="78"/>
      <c r="B182" s="79" t="str">
        <f t="shared" si="1"/>
        <v> </v>
      </c>
      <c r="C182" s="79" t="str">
        <f t="shared" si="2"/>
        <v/>
      </c>
      <c r="D182" s="79" t="str">
        <f t="shared" si="3"/>
        <v/>
      </c>
      <c r="E182" s="79" t="str">
        <f t="shared" si="4"/>
        <v/>
      </c>
      <c r="F182" s="80" t="str">
        <f t="shared" si="5"/>
        <v/>
      </c>
      <c r="G182" s="81" t="str">
        <f t="shared" si="6"/>
        <v/>
      </c>
      <c r="H182" s="82" t="str">
        <f t="shared" si="7"/>
        <v/>
      </c>
      <c r="I182" s="83"/>
      <c r="J182" s="84"/>
      <c r="K182" s="84"/>
      <c r="L182" s="84"/>
      <c r="M182" s="85"/>
      <c r="N182" s="76"/>
      <c r="O182" s="87"/>
    </row>
    <row r="183" ht="21.0" hidden="1" customHeight="1">
      <c r="A183" s="78"/>
      <c r="B183" s="69" t="str">
        <f t="shared" si="1"/>
        <v> </v>
      </c>
      <c r="C183" s="69" t="str">
        <f t="shared" si="2"/>
        <v/>
      </c>
      <c r="D183" s="69" t="str">
        <f t="shared" si="3"/>
        <v/>
      </c>
      <c r="E183" s="69" t="str">
        <f t="shared" si="4"/>
        <v/>
      </c>
      <c r="F183" s="70" t="str">
        <f t="shared" si="5"/>
        <v/>
      </c>
      <c r="G183" s="71" t="str">
        <f t="shared" si="6"/>
        <v/>
      </c>
      <c r="H183" s="72" t="str">
        <f t="shared" si="7"/>
        <v/>
      </c>
      <c r="I183" s="73"/>
      <c r="J183" s="74"/>
      <c r="K183" s="74"/>
      <c r="L183" s="74"/>
      <c r="M183" s="75"/>
      <c r="N183" s="76"/>
      <c r="O183" s="87"/>
    </row>
    <row r="184" ht="21.0" hidden="1" customHeight="1">
      <c r="A184" s="78"/>
      <c r="B184" s="79" t="str">
        <f t="shared" si="1"/>
        <v> </v>
      </c>
      <c r="C184" s="79" t="str">
        <f t="shared" si="2"/>
        <v/>
      </c>
      <c r="D184" s="79" t="str">
        <f t="shared" si="3"/>
        <v/>
      </c>
      <c r="E184" s="79" t="str">
        <f t="shared" si="4"/>
        <v/>
      </c>
      <c r="F184" s="80" t="str">
        <f t="shared" si="5"/>
        <v/>
      </c>
      <c r="G184" s="81" t="str">
        <f t="shared" si="6"/>
        <v/>
      </c>
      <c r="H184" s="82" t="str">
        <f t="shared" si="7"/>
        <v/>
      </c>
      <c r="I184" s="83"/>
      <c r="J184" s="84"/>
      <c r="K184" s="84"/>
      <c r="L184" s="84"/>
      <c r="M184" s="85"/>
      <c r="N184" s="76"/>
      <c r="O184" s="87"/>
    </row>
    <row r="185" ht="21.0" hidden="1" customHeight="1">
      <c r="A185" s="78"/>
      <c r="B185" s="69" t="str">
        <f t="shared" si="1"/>
        <v> </v>
      </c>
      <c r="C185" s="69" t="str">
        <f t="shared" si="2"/>
        <v/>
      </c>
      <c r="D185" s="69" t="str">
        <f t="shared" si="3"/>
        <v/>
      </c>
      <c r="E185" s="69" t="str">
        <f t="shared" si="4"/>
        <v/>
      </c>
      <c r="F185" s="70" t="str">
        <f t="shared" si="5"/>
        <v/>
      </c>
      <c r="G185" s="71" t="str">
        <f t="shared" si="6"/>
        <v/>
      </c>
      <c r="H185" s="72" t="str">
        <f t="shared" si="7"/>
        <v/>
      </c>
      <c r="I185" s="73"/>
      <c r="J185" s="74"/>
      <c r="K185" s="74"/>
      <c r="L185" s="74"/>
      <c r="M185" s="75"/>
      <c r="N185" s="76"/>
      <c r="O185" s="87"/>
    </row>
    <row r="186" ht="21.0" hidden="1" customHeight="1">
      <c r="A186" s="78"/>
      <c r="B186" s="79" t="str">
        <f t="shared" si="1"/>
        <v> </v>
      </c>
      <c r="C186" s="79" t="str">
        <f t="shared" si="2"/>
        <v/>
      </c>
      <c r="D186" s="79" t="str">
        <f t="shared" si="3"/>
        <v/>
      </c>
      <c r="E186" s="79" t="str">
        <f t="shared" si="4"/>
        <v/>
      </c>
      <c r="F186" s="80" t="str">
        <f t="shared" si="5"/>
        <v/>
      </c>
      <c r="G186" s="81" t="str">
        <f t="shared" si="6"/>
        <v/>
      </c>
      <c r="H186" s="82" t="str">
        <f t="shared" si="7"/>
        <v/>
      </c>
      <c r="I186" s="83"/>
      <c r="J186" s="84"/>
      <c r="K186" s="84"/>
      <c r="L186" s="84"/>
      <c r="M186" s="85"/>
      <c r="N186" s="76"/>
      <c r="O186" s="87"/>
    </row>
    <row r="187" ht="21.0" hidden="1" customHeight="1">
      <c r="A187" s="78"/>
      <c r="B187" s="69" t="str">
        <f t="shared" si="1"/>
        <v> </v>
      </c>
      <c r="C187" s="69" t="str">
        <f t="shared" si="2"/>
        <v/>
      </c>
      <c r="D187" s="69" t="str">
        <f t="shared" si="3"/>
        <v/>
      </c>
      <c r="E187" s="69" t="str">
        <f t="shared" si="4"/>
        <v/>
      </c>
      <c r="F187" s="70" t="str">
        <f t="shared" si="5"/>
        <v/>
      </c>
      <c r="G187" s="71" t="str">
        <f t="shared" si="6"/>
        <v/>
      </c>
      <c r="H187" s="72" t="str">
        <f t="shared" si="7"/>
        <v/>
      </c>
      <c r="I187" s="73"/>
      <c r="J187" s="74"/>
      <c r="K187" s="74"/>
      <c r="L187" s="74"/>
      <c r="M187" s="75"/>
      <c r="N187" s="76"/>
      <c r="O187" s="87"/>
    </row>
    <row r="188" ht="21.0" hidden="1" customHeight="1">
      <c r="A188" s="78"/>
      <c r="B188" s="79" t="str">
        <f t="shared" si="1"/>
        <v> </v>
      </c>
      <c r="C188" s="79" t="str">
        <f t="shared" si="2"/>
        <v/>
      </c>
      <c r="D188" s="79" t="str">
        <f t="shared" si="3"/>
        <v/>
      </c>
      <c r="E188" s="79" t="str">
        <f t="shared" si="4"/>
        <v/>
      </c>
      <c r="F188" s="80" t="str">
        <f t="shared" si="5"/>
        <v/>
      </c>
      <c r="G188" s="81" t="str">
        <f t="shared" si="6"/>
        <v/>
      </c>
      <c r="H188" s="82" t="str">
        <f t="shared" si="7"/>
        <v/>
      </c>
      <c r="I188" s="83"/>
      <c r="J188" s="84"/>
      <c r="K188" s="84"/>
      <c r="L188" s="84"/>
      <c r="M188" s="85"/>
      <c r="N188" s="76"/>
      <c r="O188" s="87"/>
    </row>
    <row r="189" ht="21.0" hidden="1" customHeight="1">
      <c r="A189" s="78"/>
      <c r="B189" s="69" t="str">
        <f t="shared" si="1"/>
        <v> </v>
      </c>
      <c r="C189" s="69" t="str">
        <f t="shared" si="2"/>
        <v/>
      </c>
      <c r="D189" s="69" t="str">
        <f t="shared" si="3"/>
        <v/>
      </c>
      <c r="E189" s="69" t="str">
        <f t="shared" si="4"/>
        <v/>
      </c>
      <c r="F189" s="70" t="str">
        <f t="shared" si="5"/>
        <v/>
      </c>
      <c r="G189" s="71" t="str">
        <f t="shared" si="6"/>
        <v/>
      </c>
      <c r="H189" s="72" t="str">
        <f t="shared" si="7"/>
        <v/>
      </c>
      <c r="I189" s="73"/>
      <c r="J189" s="74"/>
      <c r="K189" s="74"/>
      <c r="L189" s="74"/>
      <c r="M189" s="75"/>
      <c r="N189" s="76"/>
      <c r="O189" s="87"/>
    </row>
    <row r="190" ht="21.0" hidden="1" customHeight="1">
      <c r="A190" s="78"/>
      <c r="B190" s="79" t="str">
        <f t="shared" si="1"/>
        <v> </v>
      </c>
      <c r="C190" s="79" t="str">
        <f t="shared" si="2"/>
        <v/>
      </c>
      <c r="D190" s="79" t="str">
        <f t="shared" si="3"/>
        <v/>
      </c>
      <c r="E190" s="79" t="str">
        <f t="shared" si="4"/>
        <v/>
      </c>
      <c r="F190" s="80" t="str">
        <f t="shared" si="5"/>
        <v/>
      </c>
      <c r="G190" s="81" t="str">
        <f t="shared" si="6"/>
        <v/>
      </c>
      <c r="H190" s="82" t="str">
        <f t="shared" si="7"/>
        <v/>
      </c>
      <c r="I190" s="83"/>
      <c r="J190" s="84"/>
      <c r="K190" s="84"/>
      <c r="L190" s="84"/>
      <c r="M190" s="85"/>
      <c r="N190" s="76"/>
      <c r="O190" s="87"/>
    </row>
    <row r="191" ht="21.0" hidden="1" customHeight="1">
      <c r="A191" s="78"/>
      <c r="B191" s="69" t="str">
        <f t="shared" si="1"/>
        <v> </v>
      </c>
      <c r="C191" s="69" t="str">
        <f t="shared" si="2"/>
        <v/>
      </c>
      <c r="D191" s="69" t="str">
        <f t="shared" si="3"/>
        <v/>
      </c>
      <c r="E191" s="69" t="str">
        <f t="shared" si="4"/>
        <v/>
      </c>
      <c r="F191" s="70" t="str">
        <f t="shared" si="5"/>
        <v/>
      </c>
      <c r="G191" s="71" t="str">
        <f t="shared" si="6"/>
        <v/>
      </c>
      <c r="H191" s="72" t="str">
        <f t="shared" si="7"/>
        <v/>
      </c>
      <c r="I191" s="73"/>
      <c r="J191" s="74"/>
      <c r="K191" s="74"/>
      <c r="L191" s="74"/>
      <c r="M191" s="75"/>
      <c r="N191" s="76"/>
      <c r="O191" s="87"/>
    </row>
    <row r="192" ht="21.0" hidden="1" customHeight="1">
      <c r="A192" s="78"/>
      <c r="B192" s="79" t="str">
        <f t="shared" si="1"/>
        <v> </v>
      </c>
      <c r="C192" s="79" t="str">
        <f t="shared" si="2"/>
        <v/>
      </c>
      <c r="D192" s="79" t="str">
        <f t="shared" si="3"/>
        <v/>
      </c>
      <c r="E192" s="79" t="str">
        <f t="shared" si="4"/>
        <v/>
      </c>
      <c r="F192" s="80" t="str">
        <f t="shared" si="5"/>
        <v/>
      </c>
      <c r="G192" s="81" t="str">
        <f t="shared" si="6"/>
        <v/>
      </c>
      <c r="H192" s="82" t="str">
        <f t="shared" si="7"/>
        <v/>
      </c>
      <c r="I192" s="83"/>
      <c r="J192" s="84"/>
      <c r="K192" s="84"/>
      <c r="L192" s="84"/>
      <c r="M192" s="85"/>
      <c r="N192" s="76"/>
      <c r="O192" s="87"/>
    </row>
    <row r="193" ht="21.0" hidden="1" customHeight="1">
      <c r="A193" s="78"/>
      <c r="B193" s="69" t="str">
        <f t="shared" si="1"/>
        <v> </v>
      </c>
      <c r="C193" s="69" t="str">
        <f t="shared" si="2"/>
        <v/>
      </c>
      <c r="D193" s="69" t="str">
        <f t="shared" si="3"/>
        <v/>
      </c>
      <c r="E193" s="69" t="str">
        <f t="shared" si="4"/>
        <v/>
      </c>
      <c r="F193" s="70" t="str">
        <f t="shared" si="5"/>
        <v/>
      </c>
      <c r="G193" s="71" t="str">
        <f t="shared" si="6"/>
        <v/>
      </c>
      <c r="H193" s="72" t="str">
        <f t="shared" si="7"/>
        <v/>
      </c>
      <c r="I193" s="73"/>
      <c r="J193" s="74"/>
      <c r="K193" s="74"/>
      <c r="L193" s="74"/>
      <c r="M193" s="75"/>
      <c r="N193" s="76"/>
      <c r="O193" s="87"/>
    </row>
    <row r="194" ht="21.0" hidden="1" customHeight="1">
      <c r="A194" s="78"/>
      <c r="B194" s="79" t="str">
        <f t="shared" si="1"/>
        <v> </v>
      </c>
      <c r="C194" s="79" t="str">
        <f t="shared" si="2"/>
        <v/>
      </c>
      <c r="D194" s="79" t="str">
        <f t="shared" si="3"/>
        <v/>
      </c>
      <c r="E194" s="79" t="str">
        <f t="shared" si="4"/>
        <v/>
      </c>
      <c r="F194" s="80" t="str">
        <f t="shared" si="5"/>
        <v/>
      </c>
      <c r="G194" s="81" t="str">
        <f t="shared" si="6"/>
        <v/>
      </c>
      <c r="H194" s="82" t="str">
        <f t="shared" si="7"/>
        <v/>
      </c>
      <c r="I194" s="83"/>
      <c r="J194" s="84"/>
      <c r="K194" s="84"/>
      <c r="L194" s="84"/>
      <c r="M194" s="85"/>
      <c r="N194" s="76"/>
      <c r="O194" s="87"/>
    </row>
    <row r="195" ht="21.0" hidden="1" customHeight="1">
      <c r="A195" s="78"/>
      <c r="B195" s="69" t="str">
        <f t="shared" si="1"/>
        <v/>
      </c>
      <c r="C195" s="69" t="str">
        <f t="shared" si="2"/>
        <v/>
      </c>
      <c r="D195" s="69" t="str">
        <f t="shared" si="3"/>
        <v/>
      </c>
      <c r="E195" s="69" t="str">
        <f t="shared" si="4"/>
        <v/>
      </c>
      <c r="F195" s="70" t="str">
        <f t="shared" si="5"/>
        <v/>
      </c>
      <c r="G195" s="71" t="str">
        <f t="shared" si="6"/>
        <v/>
      </c>
      <c r="H195" s="72" t="str">
        <f t="shared" si="7"/>
        <v/>
      </c>
      <c r="I195" s="73"/>
      <c r="J195" s="74"/>
      <c r="K195" s="74"/>
      <c r="L195" s="74"/>
      <c r="M195" s="75"/>
      <c r="N195" s="76"/>
      <c r="O195" s="87"/>
    </row>
    <row r="196" ht="21.0" customHeight="1">
      <c r="A196" s="78"/>
      <c r="B196" s="79" t="str">
        <f t="shared" si="1"/>
        <v>John Campese</v>
      </c>
      <c r="C196" s="79" t="str">
        <f t="shared" si="2"/>
        <v>he/him</v>
      </c>
      <c r="D196" s="79" t="str">
        <f t="shared" si="3"/>
        <v>J0000</v>
      </c>
      <c r="E196" s="79" t="str">
        <f t="shared" si="4"/>
        <v>Visual Ensemble</v>
      </c>
      <c r="F196" s="80">
        <f t="shared" si="5"/>
        <v>101</v>
      </c>
      <c r="G196" s="81" t="str">
        <f t="shared" si="6"/>
        <v>i1</v>
      </c>
      <c r="H196" s="82" t="str">
        <f t="shared" si="7"/>
        <v/>
      </c>
      <c r="I196" s="83"/>
      <c r="J196" s="84"/>
      <c r="K196" s="84"/>
      <c r="L196" s="84"/>
      <c r="M196" s="85"/>
      <c r="N196" s="76"/>
      <c r="O196" s="87"/>
    </row>
    <row r="197" ht="21.0" customHeight="1">
      <c r="A197" s="78"/>
      <c r="B197" s="69" t="str">
        <f t="shared" si="1"/>
        <v>Steven Alvarez</v>
      </c>
      <c r="C197" s="69" t="str">
        <f t="shared" si="2"/>
        <v/>
      </c>
      <c r="D197" s="69" t="str">
        <f t="shared" si="3"/>
        <v/>
      </c>
      <c r="E197" s="69" t="str">
        <f t="shared" si="4"/>
        <v>Visual Ensemble</v>
      </c>
      <c r="F197" s="70">
        <f t="shared" si="5"/>
        <v>19</v>
      </c>
      <c r="G197" s="71" t="str">
        <f t="shared" si="6"/>
        <v>i1</v>
      </c>
      <c r="H197" s="72" t="str">
        <f t="shared" si="7"/>
        <v/>
      </c>
      <c r="I197" s="73"/>
      <c r="J197" s="74"/>
      <c r="K197" s="74"/>
      <c r="L197" s="74"/>
      <c r="M197" s="75"/>
      <c r="N197" s="76"/>
      <c r="O197" s="87"/>
    </row>
    <row r="198" ht="21.0" customHeight="1">
      <c r="A198" s="78"/>
      <c r="B198" s="79" t="str">
        <f t="shared" si="1"/>
        <v>Madi Blaylock</v>
      </c>
      <c r="C198" s="79" t="str">
        <f t="shared" si="2"/>
        <v>she/they</v>
      </c>
      <c r="D198" s="79" t="str">
        <f t="shared" si="3"/>
        <v/>
      </c>
      <c r="E198" s="79" t="str">
        <f t="shared" si="4"/>
        <v>Visual Ensemble</v>
      </c>
      <c r="F198" s="80">
        <f t="shared" si="5"/>
        <v>18</v>
      </c>
      <c r="G198" s="81" t="str">
        <f t="shared" si="6"/>
        <v>hs</v>
      </c>
      <c r="H198" s="82" t="str">
        <f t="shared" si="7"/>
        <v/>
      </c>
      <c r="I198" s="83"/>
      <c r="J198" s="84"/>
      <c r="K198" s="84"/>
      <c r="L198" s="84"/>
      <c r="M198" s="85"/>
      <c r="N198" s="76"/>
      <c r="O198" s="87"/>
    </row>
    <row r="199" ht="21.0" customHeight="1">
      <c r="A199" s="78"/>
      <c r="B199" s="69" t="str">
        <f t="shared" si="1"/>
        <v>Joshua Van Patten</v>
      </c>
      <c r="C199" s="69" t="str">
        <f t="shared" si="2"/>
        <v/>
      </c>
      <c r="D199" s="69" t="str">
        <f t="shared" si="3"/>
        <v/>
      </c>
      <c r="E199" s="69" t="str">
        <f t="shared" si="4"/>
        <v>Snare</v>
      </c>
      <c r="F199" s="70" t="str">
        <f t="shared" si="5"/>
        <v/>
      </c>
      <c r="G199" s="71" t="str">
        <f t="shared" si="6"/>
        <v/>
      </c>
      <c r="H199" s="72" t="str">
        <f t="shared" si="7"/>
        <v/>
      </c>
      <c r="I199" s="73"/>
      <c r="J199" s="74"/>
      <c r="K199" s="74"/>
      <c r="L199" s="74"/>
      <c r="M199" s="75"/>
      <c r="N199" s="76"/>
      <c r="O199" s="87"/>
    </row>
    <row r="200" ht="21.0" customHeight="1">
      <c r="A200" s="78"/>
      <c r="B200" s="79" t="str">
        <f t="shared" si="1"/>
        <v>Damian Rix</v>
      </c>
      <c r="C200" s="79" t="str">
        <f t="shared" si="2"/>
        <v>he/him</v>
      </c>
      <c r="D200" s="79" t="str">
        <f t="shared" si="3"/>
        <v/>
      </c>
      <c r="E200" s="79" t="str">
        <f t="shared" si="4"/>
        <v>Visual Ensemble</v>
      </c>
      <c r="F200" s="80">
        <f t="shared" si="5"/>
        <v>15</v>
      </c>
      <c r="G200" s="81" t="str">
        <f t="shared" si="6"/>
        <v>hs</v>
      </c>
      <c r="H200" s="82" t="str">
        <f t="shared" si="7"/>
        <v/>
      </c>
      <c r="I200" s="83"/>
      <c r="J200" s="84"/>
      <c r="K200" s="84"/>
      <c r="L200" s="84"/>
      <c r="M200" s="85"/>
      <c r="N200" s="76"/>
      <c r="O200" s="87"/>
    </row>
    <row r="201" ht="21.0" customHeight="1">
      <c r="A201" s="78"/>
      <c r="B201" s="69" t="str">
        <f t="shared" si="1"/>
        <v>Alyson Ainsworth</v>
      </c>
      <c r="C201" s="69" t="str">
        <f t="shared" si="2"/>
        <v/>
      </c>
      <c r="D201" s="69" t="str">
        <f t="shared" si="3"/>
        <v/>
      </c>
      <c r="E201" s="69" t="str">
        <f t="shared" si="4"/>
        <v>Visual Ensemble</v>
      </c>
      <c r="F201" s="70" t="str">
        <f t="shared" si="5"/>
        <v/>
      </c>
      <c r="G201" s="71" t="str">
        <f t="shared" si="6"/>
        <v/>
      </c>
      <c r="H201" s="72" t="str">
        <f t="shared" si="7"/>
        <v/>
      </c>
      <c r="I201" s="73"/>
      <c r="J201" s="74"/>
      <c r="K201" s="74"/>
      <c r="L201" s="74"/>
      <c r="M201" s="75"/>
      <c r="N201" s="76"/>
      <c r="O201" s="87"/>
    </row>
    <row r="202" ht="21.0" hidden="1" customHeight="1">
      <c r="A202" s="78"/>
      <c r="B202" s="79" t="str">
        <f t="shared" si="1"/>
        <v>Mauricio Mago</v>
      </c>
      <c r="C202" s="79" t="str">
        <f t="shared" si="2"/>
        <v/>
      </c>
      <c r="D202" s="79" t="str">
        <f t="shared" si="3"/>
        <v/>
      </c>
      <c r="E202" s="79" t="str">
        <f t="shared" si="4"/>
        <v/>
      </c>
      <c r="F202" s="80">
        <f t="shared" si="5"/>
        <v>16</v>
      </c>
      <c r="G202" s="81" t="str">
        <f t="shared" si="6"/>
        <v/>
      </c>
      <c r="H202" s="82" t="str">
        <f t="shared" si="7"/>
        <v/>
      </c>
      <c r="I202" s="83"/>
      <c r="J202" s="84"/>
      <c r="K202" s="84"/>
      <c r="L202" s="84"/>
      <c r="M202" s="85"/>
      <c r="N202" s="76"/>
      <c r="O202" s="87"/>
    </row>
    <row r="203" ht="21.0" hidden="1" customHeight="1">
      <c r="A203" s="78"/>
      <c r="B203" s="69" t="str">
        <f t="shared" si="1"/>
        <v>Christopher Hernandez</v>
      </c>
      <c r="C203" s="69" t="str">
        <f t="shared" si="2"/>
        <v/>
      </c>
      <c r="D203" s="69" t="str">
        <f t="shared" si="3"/>
        <v/>
      </c>
      <c r="E203" s="69" t="str">
        <f t="shared" si="4"/>
        <v/>
      </c>
      <c r="F203" s="70">
        <f t="shared" si="5"/>
        <v>21</v>
      </c>
      <c r="G203" s="71" t="str">
        <f t="shared" si="6"/>
        <v/>
      </c>
      <c r="H203" s="72" t="str">
        <f t="shared" si="7"/>
        <v/>
      </c>
      <c r="I203" s="73"/>
      <c r="J203" s="74"/>
      <c r="K203" s="74"/>
      <c r="L203" s="74"/>
      <c r="M203" s="75"/>
      <c r="N203" s="76"/>
      <c r="O203" s="87"/>
    </row>
    <row r="204" ht="21.0" hidden="1" customHeight="1">
      <c r="A204" s="78"/>
      <c r="B204" s="79" t="str">
        <f t="shared" si="1"/>
        <v> </v>
      </c>
      <c r="C204" s="79" t="str">
        <f t="shared" si="2"/>
        <v/>
      </c>
      <c r="D204" s="79" t="str">
        <f t="shared" si="3"/>
        <v/>
      </c>
      <c r="E204" s="79" t="str">
        <f t="shared" si="4"/>
        <v/>
      </c>
      <c r="F204" s="80" t="str">
        <f t="shared" si="5"/>
        <v/>
      </c>
      <c r="G204" s="81" t="str">
        <f t="shared" si="6"/>
        <v/>
      </c>
      <c r="H204" s="82" t="str">
        <f t="shared" si="7"/>
        <v/>
      </c>
      <c r="I204" s="83"/>
      <c r="J204" s="84"/>
      <c r="K204" s="84"/>
      <c r="L204" s="84"/>
      <c r="M204" s="85"/>
      <c r="N204" s="76"/>
      <c r="O204" s="87"/>
    </row>
    <row r="205" ht="21.0" hidden="1" customHeight="1">
      <c r="A205" s="78"/>
      <c r="B205" s="95"/>
      <c r="C205" s="96"/>
      <c r="D205" s="96"/>
      <c r="E205" s="96"/>
      <c r="F205" s="95"/>
      <c r="G205" s="95"/>
      <c r="H205" s="97"/>
      <c r="I205" s="97"/>
      <c r="J205" s="97"/>
      <c r="K205" s="97"/>
      <c r="L205" s="97"/>
      <c r="M205" s="98"/>
      <c r="N205" s="99"/>
      <c r="O205" s="99"/>
    </row>
    <row r="206" ht="19.5" customHeight="1">
      <c r="A206" s="100"/>
      <c r="B206" s="101"/>
      <c r="C206" s="102"/>
      <c r="D206" s="102"/>
      <c r="E206" s="102"/>
      <c r="F206" s="103"/>
      <c r="G206" s="103"/>
      <c r="H206" s="104"/>
      <c r="I206" s="105"/>
      <c r="J206" s="104"/>
      <c r="K206" s="104"/>
      <c r="L206" s="104"/>
      <c r="M206" s="106"/>
      <c r="N206" s="107"/>
      <c r="O206" s="107"/>
    </row>
    <row r="207" ht="6.0" customHeight="1">
      <c r="A207" s="108"/>
      <c r="B207" s="108"/>
      <c r="C207" s="109"/>
      <c r="D207" s="109"/>
      <c r="E207" s="109"/>
      <c r="F207" s="110"/>
      <c r="G207" s="110"/>
      <c r="H207" s="110"/>
      <c r="I207" s="111"/>
      <c r="J207" s="112"/>
      <c r="K207" s="112"/>
      <c r="L207" s="112"/>
      <c r="M207" s="113"/>
      <c r="N207" s="108"/>
      <c r="O207" s="108"/>
    </row>
    <row r="208" ht="6.0" customHeight="1">
      <c r="A208" s="108"/>
      <c r="B208" s="108"/>
      <c r="C208" s="109"/>
      <c r="D208" s="109"/>
      <c r="E208" s="109"/>
      <c r="F208" s="110"/>
      <c r="G208" s="110"/>
      <c r="H208" s="110"/>
      <c r="I208" s="111"/>
      <c r="J208" s="112"/>
      <c r="K208" s="112"/>
      <c r="L208" s="112"/>
      <c r="M208" s="113"/>
      <c r="N208" s="108"/>
      <c r="O208" s="108"/>
    </row>
    <row r="209" ht="6.0" customHeight="1">
      <c r="A209" s="108"/>
      <c r="B209" s="108"/>
      <c r="C209" s="109"/>
      <c r="D209" s="109"/>
      <c r="E209" s="109"/>
      <c r="F209" s="110"/>
      <c r="G209" s="110"/>
      <c r="H209" s="110"/>
      <c r="I209" s="111"/>
      <c r="J209" s="112"/>
      <c r="K209" s="112"/>
      <c r="L209" s="112"/>
      <c r="M209" s="113"/>
      <c r="N209" s="108"/>
      <c r="O209" s="108"/>
    </row>
    <row r="210" ht="6.0" customHeight="1">
      <c r="A210" s="108"/>
      <c r="B210" s="108"/>
      <c r="C210" s="109"/>
      <c r="D210" s="109"/>
      <c r="E210" s="109"/>
      <c r="F210" s="110"/>
      <c r="G210" s="110"/>
      <c r="H210" s="110"/>
      <c r="I210" s="111"/>
      <c r="J210" s="112"/>
      <c r="K210" s="112"/>
      <c r="L210" s="112"/>
      <c r="M210" s="113"/>
      <c r="N210" s="108"/>
      <c r="O210" s="108"/>
    </row>
    <row r="211" ht="6.0" customHeight="1">
      <c r="A211" s="108"/>
      <c r="B211" s="108"/>
      <c r="C211" s="109"/>
      <c r="D211" s="109"/>
      <c r="E211" s="109"/>
      <c r="F211" s="110"/>
      <c r="G211" s="110"/>
      <c r="H211" s="110"/>
      <c r="I211" s="111"/>
      <c r="J211" s="112"/>
      <c r="K211" s="112"/>
      <c r="L211" s="112"/>
      <c r="M211" s="113"/>
      <c r="N211" s="108"/>
      <c r="O211" s="108"/>
    </row>
    <row r="212" ht="6.0" customHeight="1">
      <c r="A212" s="108"/>
      <c r="B212" s="108"/>
      <c r="C212" s="109"/>
      <c r="D212" s="109"/>
      <c r="E212" s="109"/>
      <c r="F212" s="110"/>
      <c r="G212" s="110"/>
      <c r="H212" s="110"/>
      <c r="I212" s="111"/>
      <c r="J212" s="112"/>
      <c r="K212" s="112"/>
      <c r="L212" s="112"/>
      <c r="M212" s="113"/>
      <c r="N212" s="108"/>
      <c r="O212" s="108"/>
    </row>
    <row r="213" ht="6.0" customHeight="1">
      <c r="A213" s="108"/>
      <c r="B213" s="108"/>
      <c r="C213" s="109"/>
      <c r="D213" s="109"/>
      <c r="E213" s="109"/>
      <c r="F213" s="110"/>
      <c r="G213" s="110"/>
      <c r="H213" s="110"/>
      <c r="I213" s="111"/>
      <c r="J213" s="112"/>
      <c r="K213" s="112"/>
      <c r="L213" s="112"/>
      <c r="M213" s="113"/>
      <c r="N213" s="108"/>
      <c r="O213" s="108"/>
    </row>
    <row r="214" ht="6.0" customHeight="1">
      <c r="A214" s="108"/>
      <c r="B214" s="108"/>
      <c r="C214" s="109"/>
      <c r="D214" s="109"/>
      <c r="E214" s="109"/>
      <c r="F214" s="110"/>
      <c r="G214" s="110"/>
      <c r="H214" s="110"/>
      <c r="I214" s="111"/>
      <c r="J214" s="112"/>
      <c r="K214" s="112"/>
      <c r="L214" s="112"/>
      <c r="M214" s="113"/>
      <c r="N214" s="108"/>
      <c r="O214" s="108"/>
    </row>
    <row r="215" ht="6.0" customHeight="1">
      <c r="A215" s="108"/>
      <c r="B215" s="108"/>
      <c r="C215" s="109"/>
      <c r="D215" s="109"/>
      <c r="E215" s="109"/>
      <c r="F215" s="110"/>
      <c r="G215" s="110"/>
      <c r="H215" s="110"/>
      <c r="I215" s="111"/>
      <c r="J215" s="112"/>
      <c r="K215" s="112"/>
      <c r="L215" s="112"/>
      <c r="M215" s="113"/>
      <c r="N215" s="108"/>
      <c r="O215" s="108"/>
    </row>
    <row r="216" ht="6.0" customHeight="1">
      <c r="A216" s="108"/>
      <c r="B216" s="108"/>
      <c r="C216" s="109"/>
      <c r="D216" s="109"/>
      <c r="E216" s="109"/>
      <c r="F216" s="110"/>
      <c r="G216" s="110"/>
      <c r="H216" s="110"/>
      <c r="I216" s="111"/>
      <c r="J216" s="112"/>
      <c r="K216" s="112"/>
      <c r="L216" s="112"/>
      <c r="M216" s="113"/>
      <c r="N216" s="108"/>
      <c r="O216" s="108"/>
    </row>
    <row r="217" ht="6.0" customHeight="1">
      <c r="A217" s="108"/>
      <c r="B217" s="108"/>
      <c r="C217" s="109"/>
      <c r="D217" s="109"/>
      <c r="E217" s="109"/>
      <c r="F217" s="110"/>
      <c r="G217" s="110"/>
      <c r="H217" s="110"/>
      <c r="I217" s="111"/>
      <c r="J217" s="112"/>
      <c r="K217" s="112"/>
      <c r="L217" s="112"/>
      <c r="M217" s="113"/>
      <c r="N217" s="108"/>
      <c r="O217" s="108"/>
    </row>
    <row r="218" ht="6.0" customHeight="1">
      <c r="A218" s="108"/>
      <c r="B218" s="108"/>
      <c r="C218" s="109"/>
      <c r="D218" s="109"/>
      <c r="E218" s="109"/>
      <c r="F218" s="110"/>
      <c r="G218" s="110"/>
      <c r="H218" s="110"/>
      <c r="I218" s="111"/>
      <c r="J218" s="112"/>
      <c r="K218" s="112"/>
      <c r="L218" s="112"/>
      <c r="M218" s="113"/>
      <c r="N218" s="108"/>
      <c r="O218" s="108"/>
    </row>
    <row r="219" ht="6.0" customHeight="1">
      <c r="A219" s="108"/>
      <c r="B219" s="108"/>
      <c r="C219" s="109"/>
      <c r="D219" s="109"/>
      <c r="E219" s="109"/>
      <c r="F219" s="110"/>
      <c r="G219" s="110"/>
      <c r="H219" s="110"/>
      <c r="I219" s="111"/>
      <c r="J219" s="112"/>
      <c r="K219" s="112"/>
      <c r="L219" s="112"/>
      <c r="M219" s="113"/>
      <c r="N219" s="108"/>
      <c r="O219" s="108"/>
    </row>
    <row r="220" ht="6.0" customHeight="1">
      <c r="A220" s="108"/>
      <c r="B220" s="108"/>
      <c r="C220" s="109"/>
      <c r="D220" s="109"/>
      <c r="E220" s="109"/>
      <c r="F220" s="110"/>
      <c r="G220" s="110"/>
      <c r="H220" s="110"/>
      <c r="I220" s="111"/>
      <c r="J220" s="112"/>
      <c r="K220" s="112"/>
      <c r="L220" s="112"/>
      <c r="M220" s="113"/>
      <c r="N220" s="108"/>
      <c r="O220" s="108"/>
    </row>
    <row r="221" ht="6.0" customHeight="1">
      <c r="A221" s="108"/>
      <c r="B221" s="108"/>
      <c r="C221" s="109"/>
      <c r="D221" s="109"/>
      <c r="E221" s="109"/>
      <c r="F221" s="110"/>
      <c r="G221" s="110"/>
      <c r="H221" s="110"/>
      <c r="I221" s="111"/>
      <c r="J221" s="112"/>
      <c r="K221" s="112"/>
      <c r="L221" s="112"/>
      <c r="M221" s="113"/>
      <c r="N221" s="108"/>
      <c r="O221" s="108"/>
    </row>
    <row r="222" ht="6.0" customHeight="1">
      <c r="A222" s="108"/>
      <c r="B222" s="108"/>
      <c r="C222" s="109"/>
      <c r="D222" s="109"/>
      <c r="E222" s="109"/>
      <c r="F222" s="110"/>
      <c r="G222" s="110"/>
      <c r="H222" s="110"/>
      <c r="I222" s="111"/>
      <c r="J222" s="112"/>
      <c r="K222" s="112"/>
      <c r="L222" s="112"/>
      <c r="M222" s="113"/>
      <c r="N222" s="108"/>
      <c r="O222" s="108"/>
    </row>
    <row r="223" ht="6.0" customHeight="1">
      <c r="A223" s="108"/>
      <c r="B223" s="108"/>
      <c r="C223" s="109"/>
      <c r="D223" s="109"/>
      <c r="E223" s="109"/>
      <c r="F223" s="110"/>
      <c r="G223" s="110"/>
      <c r="H223" s="110"/>
      <c r="I223" s="111"/>
      <c r="J223" s="112"/>
      <c r="K223" s="112"/>
      <c r="L223" s="112"/>
      <c r="M223" s="113"/>
      <c r="N223" s="108"/>
      <c r="O223" s="108"/>
    </row>
    <row r="224" ht="6.0" customHeight="1">
      <c r="A224" s="108"/>
      <c r="B224" s="108"/>
      <c r="C224" s="109"/>
      <c r="D224" s="109"/>
      <c r="E224" s="109"/>
      <c r="F224" s="110"/>
      <c r="G224" s="110"/>
      <c r="H224" s="110"/>
      <c r="I224" s="111"/>
      <c r="J224" s="112"/>
      <c r="K224" s="112"/>
      <c r="L224" s="112"/>
      <c r="M224" s="113"/>
      <c r="N224" s="108"/>
      <c r="O224" s="108"/>
    </row>
    <row r="225" ht="6.0" customHeight="1">
      <c r="A225" s="108"/>
      <c r="B225" s="108"/>
      <c r="C225" s="109"/>
      <c r="D225" s="109"/>
      <c r="E225" s="109"/>
      <c r="F225" s="110"/>
      <c r="G225" s="110"/>
      <c r="H225" s="110"/>
      <c r="I225" s="111"/>
      <c r="J225" s="112"/>
      <c r="K225" s="112"/>
      <c r="L225" s="112"/>
      <c r="M225" s="113"/>
      <c r="N225" s="108"/>
      <c r="O225" s="108"/>
    </row>
    <row r="226" ht="6.0" customHeight="1">
      <c r="A226" s="108"/>
      <c r="B226" s="108"/>
      <c r="C226" s="109"/>
      <c r="D226" s="109"/>
      <c r="E226" s="109"/>
      <c r="F226" s="110"/>
      <c r="G226" s="110"/>
      <c r="H226" s="110"/>
      <c r="I226" s="111"/>
      <c r="J226" s="112"/>
      <c r="K226" s="112"/>
      <c r="L226" s="112"/>
      <c r="M226" s="113"/>
      <c r="N226" s="108"/>
      <c r="O226" s="108"/>
    </row>
    <row r="227" ht="6.0" customHeight="1">
      <c r="A227" s="108"/>
      <c r="B227" s="108"/>
      <c r="C227" s="109"/>
      <c r="D227" s="109"/>
      <c r="E227" s="109"/>
      <c r="F227" s="110"/>
      <c r="G227" s="110"/>
      <c r="H227" s="110"/>
      <c r="I227" s="111"/>
      <c r="J227" s="112"/>
      <c r="K227" s="112"/>
      <c r="L227" s="112"/>
      <c r="M227" s="113"/>
      <c r="N227" s="108"/>
      <c r="O227" s="108"/>
    </row>
    <row r="228" ht="6.0" customHeight="1">
      <c r="A228" s="108"/>
      <c r="B228" s="108"/>
      <c r="C228" s="109"/>
      <c r="D228" s="109"/>
      <c r="E228" s="109"/>
      <c r="F228" s="110"/>
      <c r="G228" s="110"/>
      <c r="H228" s="110"/>
      <c r="I228" s="111"/>
      <c r="J228" s="112"/>
      <c r="K228" s="112"/>
      <c r="L228" s="112"/>
      <c r="M228" s="113"/>
      <c r="N228" s="108"/>
      <c r="O228" s="108"/>
    </row>
    <row r="229" ht="6.0" customHeight="1">
      <c r="A229" s="108"/>
      <c r="B229" s="108"/>
      <c r="C229" s="109"/>
      <c r="D229" s="109"/>
      <c r="E229" s="109"/>
      <c r="F229" s="110"/>
      <c r="G229" s="110"/>
      <c r="H229" s="110"/>
      <c r="I229" s="111"/>
      <c r="J229" s="112"/>
      <c r="K229" s="112"/>
      <c r="L229" s="112"/>
      <c r="M229" s="113"/>
      <c r="N229" s="108"/>
      <c r="O229" s="108"/>
    </row>
    <row r="230" ht="6.0" customHeight="1">
      <c r="A230" s="108"/>
      <c r="B230" s="108"/>
      <c r="C230" s="109"/>
      <c r="D230" s="109"/>
      <c r="E230" s="109"/>
      <c r="F230" s="110"/>
      <c r="G230" s="110"/>
      <c r="H230" s="110"/>
      <c r="I230" s="111"/>
      <c r="J230" s="112"/>
      <c r="K230" s="112"/>
      <c r="L230" s="112"/>
      <c r="M230" s="113"/>
      <c r="N230" s="108"/>
      <c r="O230" s="108"/>
    </row>
    <row r="231" ht="6.0" customHeight="1">
      <c r="A231" s="108"/>
      <c r="B231" s="108"/>
      <c r="C231" s="109"/>
      <c r="D231" s="109"/>
      <c r="E231" s="109"/>
      <c r="F231" s="110"/>
      <c r="G231" s="110"/>
      <c r="H231" s="110"/>
      <c r="I231" s="111"/>
      <c r="J231" s="112"/>
      <c r="K231" s="112"/>
      <c r="L231" s="112"/>
      <c r="M231" s="113"/>
      <c r="N231" s="108"/>
      <c r="O231" s="108"/>
    </row>
    <row r="232" ht="6.0" customHeight="1">
      <c r="A232" s="108"/>
      <c r="B232" s="108"/>
      <c r="C232" s="109"/>
      <c r="D232" s="109"/>
      <c r="E232" s="109"/>
      <c r="F232" s="110"/>
      <c r="G232" s="110"/>
      <c r="H232" s="110"/>
      <c r="I232" s="111"/>
      <c r="J232" s="112"/>
      <c r="K232" s="112"/>
      <c r="L232" s="112"/>
      <c r="M232" s="113"/>
      <c r="N232" s="108"/>
      <c r="O232" s="108"/>
    </row>
    <row r="233" ht="6.0" customHeight="1">
      <c r="A233" s="108"/>
      <c r="B233" s="108"/>
      <c r="C233" s="109"/>
      <c r="D233" s="109"/>
      <c r="E233" s="109"/>
      <c r="F233" s="110"/>
      <c r="G233" s="110"/>
      <c r="H233" s="110"/>
      <c r="I233" s="111"/>
      <c r="J233" s="112"/>
      <c r="K233" s="112"/>
      <c r="L233" s="112"/>
      <c r="M233" s="113"/>
      <c r="N233" s="108"/>
      <c r="O233" s="108"/>
    </row>
    <row r="234" ht="6.0" customHeight="1">
      <c r="A234" s="108"/>
      <c r="B234" s="108"/>
      <c r="C234" s="109"/>
      <c r="D234" s="109"/>
      <c r="E234" s="109"/>
      <c r="F234" s="110"/>
      <c r="G234" s="110"/>
      <c r="H234" s="110"/>
      <c r="I234" s="111"/>
      <c r="J234" s="112"/>
      <c r="K234" s="112"/>
      <c r="L234" s="112"/>
      <c r="M234" s="113"/>
      <c r="N234" s="108"/>
      <c r="O234" s="108"/>
    </row>
    <row r="235" ht="6.0" customHeight="1">
      <c r="A235" s="108"/>
      <c r="B235" s="108"/>
      <c r="C235" s="109"/>
      <c r="D235" s="109"/>
      <c r="E235" s="109"/>
      <c r="F235" s="110"/>
      <c r="G235" s="110"/>
      <c r="H235" s="110"/>
      <c r="I235" s="111"/>
      <c r="J235" s="112"/>
      <c r="K235" s="112"/>
      <c r="L235" s="112"/>
      <c r="M235" s="113"/>
      <c r="N235" s="108"/>
      <c r="O235" s="108"/>
    </row>
    <row r="236" ht="6.0" customHeight="1">
      <c r="A236" s="108"/>
      <c r="B236" s="108"/>
      <c r="C236" s="109"/>
      <c r="D236" s="109"/>
      <c r="E236" s="109"/>
      <c r="F236" s="110"/>
      <c r="G236" s="110"/>
      <c r="H236" s="110"/>
      <c r="I236" s="111"/>
      <c r="J236" s="112"/>
      <c r="K236" s="112"/>
      <c r="L236" s="112"/>
      <c r="M236" s="113"/>
      <c r="N236" s="108"/>
      <c r="O236" s="108"/>
    </row>
    <row r="237" ht="6.0" customHeight="1">
      <c r="A237" s="108"/>
      <c r="B237" s="108"/>
      <c r="C237" s="109"/>
      <c r="D237" s="109"/>
      <c r="E237" s="109"/>
      <c r="F237" s="110"/>
      <c r="G237" s="110"/>
      <c r="H237" s="110"/>
      <c r="I237" s="111"/>
      <c r="J237" s="112"/>
      <c r="K237" s="112"/>
      <c r="L237" s="112"/>
      <c r="M237" s="113"/>
      <c r="N237" s="108"/>
      <c r="O237" s="108"/>
    </row>
    <row r="238" ht="6.0" customHeight="1">
      <c r="A238" s="108"/>
      <c r="B238" s="108"/>
      <c r="C238" s="109"/>
      <c r="D238" s="109"/>
      <c r="E238" s="109"/>
      <c r="F238" s="110"/>
      <c r="G238" s="110"/>
      <c r="H238" s="110"/>
      <c r="I238" s="111"/>
      <c r="J238" s="112"/>
      <c r="K238" s="112"/>
      <c r="L238" s="112"/>
      <c r="M238" s="113"/>
      <c r="N238" s="108"/>
      <c r="O238" s="108"/>
    </row>
    <row r="239" ht="6.0" customHeight="1">
      <c r="A239" s="108"/>
      <c r="B239" s="108"/>
      <c r="C239" s="109"/>
      <c r="D239" s="109"/>
      <c r="E239" s="109"/>
      <c r="F239" s="110"/>
      <c r="G239" s="110"/>
      <c r="H239" s="110"/>
      <c r="I239" s="111"/>
      <c r="J239" s="112"/>
      <c r="K239" s="112"/>
      <c r="L239" s="112"/>
      <c r="M239" s="113"/>
      <c r="N239" s="108"/>
      <c r="O239" s="108"/>
    </row>
    <row r="240" ht="6.0" customHeight="1">
      <c r="A240" s="108"/>
      <c r="B240" s="108"/>
      <c r="C240" s="109"/>
      <c r="D240" s="109"/>
      <c r="E240" s="109"/>
      <c r="F240" s="110"/>
      <c r="G240" s="110"/>
      <c r="H240" s="110"/>
      <c r="I240" s="111"/>
      <c r="J240" s="112"/>
      <c r="K240" s="112"/>
      <c r="L240" s="112"/>
      <c r="M240" s="113"/>
      <c r="N240" s="108"/>
      <c r="O240" s="108"/>
    </row>
    <row r="241" ht="6.0" customHeight="1">
      <c r="A241" s="108"/>
      <c r="B241" s="108"/>
      <c r="C241" s="109"/>
      <c r="D241" s="109"/>
      <c r="E241" s="109"/>
      <c r="F241" s="110"/>
      <c r="G241" s="110"/>
      <c r="H241" s="110"/>
      <c r="I241" s="111"/>
      <c r="J241" s="112"/>
      <c r="K241" s="112"/>
      <c r="L241" s="112"/>
      <c r="M241" s="113"/>
      <c r="N241" s="108"/>
      <c r="O241" s="108"/>
    </row>
    <row r="242" ht="6.0" customHeight="1">
      <c r="A242" s="108"/>
      <c r="B242" s="108"/>
      <c r="C242" s="109"/>
      <c r="D242" s="109"/>
      <c r="E242" s="109"/>
      <c r="F242" s="110"/>
      <c r="G242" s="110"/>
      <c r="H242" s="110"/>
      <c r="I242" s="111"/>
      <c r="J242" s="112"/>
      <c r="K242" s="112"/>
      <c r="L242" s="112"/>
      <c r="M242" s="113"/>
      <c r="N242" s="108"/>
      <c r="O242" s="108"/>
    </row>
    <row r="243" ht="6.0" customHeight="1">
      <c r="A243" s="108"/>
      <c r="B243" s="108"/>
      <c r="C243" s="109"/>
      <c r="D243" s="109"/>
      <c r="E243" s="109"/>
      <c r="F243" s="110"/>
      <c r="G243" s="110"/>
      <c r="H243" s="110"/>
      <c r="I243" s="111"/>
      <c r="J243" s="112"/>
      <c r="K243" s="112"/>
      <c r="L243" s="112"/>
      <c r="M243" s="113"/>
      <c r="N243" s="108"/>
      <c r="O243" s="108"/>
    </row>
    <row r="244" ht="6.0" customHeight="1">
      <c r="A244" s="108"/>
      <c r="B244" s="108"/>
      <c r="C244" s="109"/>
      <c r="D244" s="109"/>
      <c r="E244" s="109"/>
      <c r="F244" s="110"/>
      <c r="G244" s="110"/>
      <c r="H244" s="110"/>
      <c r="I244" s="111"/>
      <c r="J244" s="112"/>
      <c r="K244" s="112"/>
      <c r="L244" s="112"/>
      <c r="M244" s="113"/>
      <c r="N244" s="108"/>
      <c r="O244" s="108"/>
    </row>
    <row r="245" ht="6.0" customHeight="1">
      <c r="A245" s="108"/>
      <c r="B245" s="108"/>
      <c r="C245" s="109"/>
      <c r="D245" s="109"/>
      <c r="E245" s="109"/>
      <c r="F245" s="110"/>
      <c r="G245" s="110"/>
      <c r="H245" s="110"/>
      <c r="I245" s="111"/>
      <c r="J245" s="112"/>
      <c r="K245" s="112"/>
      <c r="L245" s="112"/>
      <c r="M245" s="113"/>
      <c r="N245" s="108"/>
      <c r="O245" s="108"/>
    </row>
    <row r="246" ht="6.0" customHeight="1">
      <c r="A246" s="108"/>
      <c r="B246" s="108"/>
      <c r="C246" s="109"/>
      <c r="D246" s="109"/>
      <c r="E246" s="109"/>
      <c r="F246" s="110"/>
      <c r="G246" s="110"/>
      <c r="H246" s="110"/>
      <c r="I246" s="111"/>
      <c r="J246" s="112"/>
      <c r="K246" s="112"/>
      <c r="L246" s="112"/>
      <c r="M246" s="113"/>
      <c r="N246" s="108"/>
      <c r="O246" s="108"/>
    </row>
    <row r="247" ht="6.0" customHeight="1">
      <c r="A247" s="108"/>
      <c r="B247" s="108"/>
      <c r="C247" s="109"/>
      <c r="D247" s="109"/>
      <c r="E247" s="109"/>
      <c r="F247" s="110"/>
      <c r="G247" s="110"/>
      <c r="H247" s="110"/>
      <c r="I247" s="111"/>
      <c r="J247" s="112"/>
      <c r="K247" s="112"/>
      <c r="L247" s="112"/>
      <c r="M247" s="113"/>
      <c r="N247" s="108"/>
      <c r="O247" s="108"/>
    </row>
    <row r="248" ht="6.0" customHeight="1">
      <c r="A248" s="108"/>
      <c r="B248" s="108"/>
      <c r="C248" s="109"/>
      <c r="D248" s="109"/>
      <c r="E248" s="109"/>
      <c r="F248" s="110"/>
      <c r="G248" s="110"/>
      <c r="H248" s="110"/>
      <c r="I248" s="111"/>
      <c r="J248" s="112"/>
      <c r="K248" s="112"/>
      <c r="L248" s="112"/>
      <c r="M248" s="113"/>
      <c r="N248" s="108"/>
      <c r="O248" s="108"/>
    </row>
    <row r="249" ht="6.0" customHeight="1">
      <c r="A249" s="108"/>
      <c r="B249" s="108"/>
      <c r="C249" s="109"/>
      <c r="D249" s="109"/>
      <c r="E249" s="109"/>
      <c r="F249" s="110"/>
      <c r="G249" s="110"/>
      <c r="H249" s="110"/>
      <c r="I249" s="111"/>
      <c r="J249" s="112"/>
      <c r="K249" s="112"/>
      <c r="L249" s="112"/>
      <c r="M249" s="113"/>
      <c r="N249" s="108"/>
      <c r="O249" s="108"/>
    </row>
    <row r="250" ht="6.0" customHeight="1">
      <c r="A250" s="108"/>
      <c r="B250" s="108"/>
      <c r="C250" s="109"/>
      <c r="D250" s="109"/>
      <c r="E250" s="109"/>
      <c r="F250" s="110"/>
      <c r="G250" s="110"/>
      <c r="H250" s="110"/>
      <c r="I250" s="111"/>
      <c r="J250" s="112"/>
      <c r="K250" s="112"/>
      <c r="L250" s="112"/>
      <c r="M250" s="113"/>
      <c r="N250" s="108"/>
      <c r="O250" s="108"/>
    </row>
    <row r="251" ht="6.0" customHeight="1">
      <c r="A251" s="108"/>
      <c r="B251" s="108"/>
      <c r="C251" s="109"/>
      <c r="D251" s="109"/>
      <c r="E251" s="109"/>
      <c r="F251" s="110"/>
      <c r="G251" s="110"/>
      <c r="H251" s="110"/>
      <c r="I251" s="111"/>
      <c r="J251" s="112"/>
      <c r="K251" s="112"/>
      <c r="L251" s="112"/>
      <c r="M251" s="113"/>
      <c r="N251" s="108"/>
      <c r="O251" s="108"/>
    </row>
    <row r="252" ht="6.0" customHeight="1">
      <c r="A252" s="108"/>
      <c r="B252" s="108"/>
      <c r="C252" s="109"/>
      <c r="D252" s="109"/>
      <c r="E252" s="109"/>
      <c r="F252" s="110"/>
      <c r="G252" s="110"/>
      <c r="H252" s="110"/>
      <c r="I252" s="111"/>
      <c r="J252" s="112"/>
      <c r="K252" s="112"/>
      <c r="L252" s="112"/>
      <c r="M252" s="113"/>
      <c r="N252" s="108"/>
      <c r="O252" s="108"/>
    </row>
    <row r="253" ht="6.0" customHeight="1">
      <c r="A253" s="108"/>
      <c r="B253" s="108"/>
      <c r="C253" s="109"/>
      <c r="D253" s="109"/>
      <c r="E253" s="109"/>
      <c r="F253" s="110"/>
      <c r="G253" s="110"/>
      <c r="H253" s="110"/>
      <c r="I253" s="111"/>
      <c r="J253" s="112"/>
      <c r="K253" s="112"/>
      <c r="L253" s="112"/>
      <c r="M253" s="113"/>
      <c r="N253" s="108"/>
      <c r="O253" s="108"/>
    </row>
    <row r="254" ht="6.0" customHeight="1">
      <c r="A254" s="108"/>
      <c r="B254" s="108"/>
      <c r="C254" s="109"/>
      <c r="D254" s="109"/>
      <c r="E254" s="109"/>
      <c r="F254" s="110"/>
      <c r="G254" s="110"/>
      <c r="H254" s="110"/>
      <c r="I254" s="111"/>
      <c r="J254" s="112"/>
      <c r="K254" s="112"/>
      <c r="L254" s="112"/>
      <c r="M254" s="113"/>
      <c r="N254" s="108"/>
      <c r="O254" s="108"/>
    </row>
    <row r="255" ht="6.0" customHeight="1">
      <c r="A255" s="108"/>
      <c r="B255" s="108"/>
      <c r="C255" s="109"/>
      <c r="D255" s="109"/>
      <c r="E255" s="109"/>
      <c r="F255" s="110"/>
      <c r="G255" s="110"/>
      <c r="H255" s="110"/>
      <c r="I255" s="111"/>
      <c r="J255" s="112"/>
      <c r="K255" s="112"/>
      <c r="L255" s="112"/>
      <c r="M255" s="113"/>
      <c r="N255" s="108"/>
      <c r="O255" s="108"/>
    </row>
    <row r="256" ht="6.0" customHeight="1">
      <c r="A256" s="108"/>
      <c r="B256" s="108"/>
      <c r="C256" s="109"/>
      <c r="D256" s="109"/>
      <c r="E256" s="109"/>
      <c r="F256" s="110"/>
      <c r="G256" s="110"/>
      <c r="H256" s="110"/>
      <c r="I256" s="111"/>
      <c r="J256" s="112"/>
      <c r="K256" s="112"/>
      <c r="L256" s="112"/>
      <c r="M256" s="113"/>
      <c r="N256" s="108"/>
      <c r="O256" s="108"/>
    </row>
    <row r="257" ht="6.0" customHeight="1">
      <c r="A257" s="108"/>
      <c r="B257" s="108"/>
      <c r="C257" s="109"/>
      <c r="D257" s="109"/>
      <c r="E257" s="109"/>
      <c r="F257" s="110"/>
      <c r="G257" s="110"/>
      <c r="H257" s="110"/>
      <c r="I257" s="111"/>
      <c r="J257" s="112"/>
      <c r="K257" s="112"/>
      <c r="L257" s="112"/>
      <c r="M257" s="113"/>
      <c r="N257" s="108"/>
      <c r="O257" s="108"/>
    </row>
    <row r="258" ht="6.0" customHeight="1">
      <c r="A258" s="108"/>
      <c r="B258" s="108"/>
      <c r="C258" s="109"/>
      <c r="D258" s="109"/>
      <c r="E258" s="109"/>
      <c r="F258" s="110"/>
      <c r="G258" s="110"/>
      <c r="H258" s="110"/>
      <c r="I258" s="111"/>
      <c r="J258" s="112"/>
      <c r="K258" s="112"/>
      <c r="L258" s="112"/>
      <c r="M258" s="113"/>
      <c r="N258" s="108"/>
      <c r="O258" s="108"/>
    </row>
    <row r="259" ht="6.0" customHeight="1">
      <c r="A259" s="108"/>
      <c r="B259" s="108"/>
      <c r="C259" s="109"/>
      <c r="D259" s="109"/>
      <c r="E259" s="109"/>
      <c r="F259" s="110"/>
      <c r="G259" s="110"/>
      <c r="H259" s="110"/>
      <c r="I259" s="111"/>
      <c r="J259" s="112"/>
      <c r="K259" s="112"/>
      <c r="L259" s="112"/>
      <c r="M259" s="113"/>
      <c r="N259" s="108"/>
      <c r="O259" s="108"/>
    </row>
    <row r="260" ht="6.0" customHeight="1">
      <c r="A260" s="108"/>
      <c r="B260" s="108"/>
      <c r="C260" s="109"/>
      <c r="D260" s="109"/>
      <c r="E260" s="109"/>
      <c r="F260" s="110"/>
      <c r="G260" s="110"/>
      <c r="H260" s="110"/>
      <c r="I260" s="111"/>
      <c r="J260" s="112"/>
      <c r="K260" s="112"/>
      <c r="L260" s="112"/>
      <c r="M260" s="113"/>
      <c r="N260" s="108"/>
      <c r="O260" s="108"/>
    </row>
    <row r="261" ht="6.0" customHeight="1">
      <c r="A261" s="108"/>
      <c r="B261" s="108"/>
      <c r="C261" s="109"/>
      <c r="D261" s="109"/>
      <c r="E261" s="109"/>
      <c r="F261" s="110"/>
      <c r="G261" s="110"/>
      <c r="H261" s="110"/>
      <c r="I261" s="111"/>
      <c r="J261" s="112"/>
      <c r="K261" s="112"/>
      <c r="L261" s="112"/>
      <c r="M261" s="113"/>
      <c r="N261" s="108"/>
      <c r="O261" s="108"/>
    </row>
    <row r="262" ht="6.0" customHeight="1">
      <c r="A262" s="108"/>
      <c r="B262" s="108"/>
      <c r="C262" s="109"/>
      <c r="D262" s="109"/>
      <c r="E262" s="109"/>
      <c r="F262" s="110"/>
      <c r="G262" s="110"/>
      <c r="H262" s="110"/>
      <c r="I262" s="111"/>
      <c r="J262" s="112"/>
      <c r="K262" s="112"/>
      <c r="L262" s="112"/>
      <c r="M262" s="113"/>
      <c r="N262" s="108"/>
      <c r="O262" s="108"/>
    </row>
    <row r="263" ht="6.0" customHeight="1">
      <c r="A263" s="108"/>
      <c r="B263" s="108"/>
      <c r="C263" s="109"/>
      <c r="D263" s="109"/>
      <c r="E263" s="109"/>
      <c r="F263" s="110"/>
      <c r="G263" s="110"/>
      <c r="H263" s="110"/>
      <c r="I263" s="111"/>
      <c r="J263" s="112"/>
      <c r="K263" s="112"/>
      <c r="L263" s="112"/>
      <c r="M263" s="113"/>
      <c r="N263" s="108"/>
      <c r="O263" s="108"/>
    </row>
    <row r="264" ht="6.0" customHeight="1">
      <c r="A264" s="108"/>
      <c r="B264" s="108"/>
      <c r="C264" s="109"/>
      <c r="D264" s="109"/>
      <c r="E264" s="109"/>
      <c r="F264" s="110"/>
      <c r="G264" s="110"/>
      <c r="H264" s="110"/>
      <c r="I264" s="111"/>
      <c r="J264" s="112"/>
      <c r="K264" s="112"/>
      <c r="L264" s="112"/>
      <c r="M264" s="113"/>
      <c r="N264" s="108"/>
      <c r="O264" s="108"/>
    </row>
    <row r="265" ht="6.0" customHeight="1">
      <c r="A265" s="108"/>
      <c r="B265" s="108"/>
      <c r="C265" s="109"/>
      <c r="D265" s="109"/>
      <c r="E265" s="109"/>
      <c r="F265" s="110"/>
      <c r="G265" s="110"/>
      <c r="H265" s="110"/>
      <c r="I265" s="111"/>
      <c r="J265" s="112"/>
      <c r="K265" s="112"/>
      <c r="L265" s="112"/>
      <c r="M265" s="113"/>
      <c r="N265" s="108"/>
      <c r="O265" s="108"/>
    </row>
    <row r="266" ht="6.0" customHeight="1">
      <c r="A266" s="108"/>
      <c r="B266" s="108"/>
      <c r="C266" s="109"/>
      <c r="D266" s="109"/>
      <c r="E266" s="109"/>
      <c r="F266" s="110"/>
      <c r="G266" s="110"/>
      <c r="H266" s="110"/>
      <c r="I266" s="111"/>
      <c r="J266" s="112"/>
      <c r="K266" s="112"/>
      <c r="L266" s="112"/>
      <c r="M266" s="113"/>
      <c r="N266" s="108"/>
      <c r="O266" s="108"/>
    </row>
    <row r="267" ht="6.0" customHeight="1">
      <c r="A267" s="108"/>
      <c r="B267" s="108"/>
      <c r="C267" s="109"/>
      <c r="D267" s="109"/>
      <c r="E267" s="109"/>
      <c r="F267" s="110"/>
      <c r="G267" s="110"/>
      <c r="H267" s="110"/>
      <c r="I267" s="111"/>
      <c r="J267" s="112"/>
      <c r="K267" s="112"/>
      <c r="L267" s="112"/>
      <c r="M267" s="113"/>
      <c r="N267" s="108"/>
      <c r="O267" s="108"/>
    </row>
    <row r="268" ht="6.0" customHeight="1">
      <c r="A268" s="108"/>
      <c r="B268" s="108"/>
      <c r="C268" s="109"/>
      <c r="D268" s="109"/>
      <c r="E268" s="109"/>
      <c r="F268" s="110"/>
      <c r="G268" s="110"/>
      <c r="H268" s="110"/>
      <c r="I268" s="111"/>
      <c r="J268" s="112"/>
      <c r="K268" s="112"/>
      <c r="L268" s="112"/>
      <c r="M268" s="113"/>
      <c r="N268" s="108"/>
      <c r="O268" s="108"/>
    </row>
    <row r="269" ht="6.0" customHeight="1">
      <c r="A269" s="108"/>
      <c r="B269" s="108"/>
      <c r="C269" s="109"/>
      <c r="D269" s="109"/>
      <c r="E269" s="109"/>
      <c r="F269" s="110"/>
      <c r="G269" s="110"/>
      <c r="H269" s="110"/>
      <c r="I269" s="111"/>
      <c r="J269" s="112"/>
      <c r="K269" s="112"/>
      <c r="L269" s="112"/>
      <c r="M269" s="113"/>
      <c r="N269" s="108"/>
      <c r="O269" s="108"/>
    </row>
    <row r="270" ht="6.0" customHeight="1">
      <c r="A270" s="108"/>
      <c r="B270" s="108"/>
      <c r="C270" s="109"/>
      <c r="D270" s="109"/>
      <c r="E270" s="109"/>
      <c r="F270" s="110"/>
      <c r="G270" s="110"/>
      <c r="H270" s="110"/>
      <c r="I270" s="111"/>
      <c r="J270" s="112"/>
      <c r="K270" s="112"/>
      <c r="L270" s="112"/>
      <c r="M270" s="113"/>
      <c r="N270" s="108"/>
      <c r="O270" s="108"/>
    </row>
    <row r="271" ht="6.0" customHeight="1">
      <c r="A271" s="108"/>
      <c r="B271" s="108"/>
      <c r="C271" s="109"/>
      <c r="D271" s="109"/>
      <c r="E271" s="109"/>
      <c r="F271" s="110"/>
      <c r="G271" s="110"/>
      <c r="H271" s="110"/>
      <c r="I271" s="111"/>
      <c r="J271" s="112"/>
      <c r="K271" s="112"/>
      <c r="L271" s="112"/>
      <c r="M271" s="113"/>
      <c r="N271" s="108"/>
      <c r="O271" s="108"/>
    </row>
    <row r="272" ht="6.0" customHeight="1">
      <c r="A272" s="108"/>
      <c r="B272" s="108"/>
      <c r="C272" s="109"/>
      <c r="D272" s="109"/>
      <c r="E272" s="109"/>
      <c r="F272" s="110"/>
      <c r="G272" s="110"/>
      <c r="H272" s="110"/>
      <c r="I272" s="111"/>
      <c r="J272" s="112"/>
      <c r="K272" s="112"/>
      <c r="L272" s="112"/>
      <c r="M272" s="113"/>
      <c r="N272" s="108"/>
      <c r="O272" s="108"/>
    </row>
    <row r="273" ht="6.0" customHeight="1">
      <c r="A273" s="108"/>
      <c r="B273" s="108"/>
      <c r="C273" s="109"/>
      <c r="D273" s="109"/>
      <c r="E273" s="109"/>
      <c r="F273" s="110"/>
      <c r="G273" s="110"/>
      <c r="H273" s="110"/>
      <c r="I273" s="111"/>
      <c r="J273" s="112"/>
      <c r="K273" s="112"/>
      <c r="L273" s="112"/>
      <c r="M273" s="113"/>
      <c r="N273" s="108"/>
      <c r="O273" s="108"/>
    </row>
    <row r="274" ht="6.0" customHeight="1">
      <c r="A274" s="108"/>
      <c r="B274" s="108"/>
      <c r="C274" s="109"/>
      <c r="D274" s="109"/>
      <c r="E274" s="109"/>
      <c r="F274" s="110"/>
      <c r="G274" s="110"/>
      <c r="H274" s="110"/>
      <c r="I274" s="111"/>
      <c r="J274" s="112"/>
      <c r="K274" s="112"/>
      <c r="L274" s="112"/>
      <c r="M274" s="113"/>
      <c r="N274" s="108"/>
      <c r="O274" s="108"/>
    </row>
    <row r="275" ht="6.0" customHeight="1">
      <c r="A275" s="108"/>
      <c r="B275" s="108"/>
      <c r="C275" s="109"/>
      <c r="D275" s="109"/>
      <c r="E275" s="109"/>
      <c r="F275" s="110"/>
      <c r="G275" s="110"/>
      <c r="H275" s="110"/>
      <c r="I275" s="111"/>
      <c r="J275" s="112"/>
      <c r="K275" s="112"/>
      <c r="L275" s="112"/>
      <c r="M275" s="113"/>
      <c r="N275" s="108"/>
      <c r="O275" s="108"/>
    </row>
    <row r="276" ht="6.0" customHeight="1">
      <c r="A276" s="108"/>
      <c r="B276" s="108"/>
      <c r="C276" s="109"/>
      <c r="D276" s="109"/>
      <c r="E276" s="109"/>
      <c r="F276" s="110"/>
      <c r="G276" s="110"/>
      <c r="H276" s="110"/>
      <c r="I276" s="111"/>
      <c r="J276" s="112"/>
      <c r="K276" s="112"/>
      <c r="L276" s="112"/>
      <c r="M276" s="113"/>
      <c r="N276" s="108"/>
      <c r="O276" s="108"/>
    </row>
    <row r="277" ht="6.0" customHeight="1">
      <c r="A277" s="108"/>
      <c r="B277" s="108"/>
      <c r="C277" s="109"/>
      <c r="D277" s="109"/>
      <c r="E277" s="109"/>
      <c r="F277" s="110"/>
      <c r="G277" s="110"/>
      <c r="H277" s="110"/>
      <c r="I277" s="111"/>
      <c r="J277" s="112"/>
      <c r="K277" s="112"/>
      <c r="L277" s="112"/>
      <c r="M277" s="113"/>
      <c r="N277" s="108"/>
      <c r="O277" s="108"/>
    </row>
    <row r="278" ht="6.0" customHeight="1">
      <c r="A278" s="108"/>
      <c r="B278" s="108"/>
      <c r="C278" s="109"/>
      <c r="D278" s="109"/>
      <c r="E278" s="109"/>
      <c r="F278" s="110"/>
      <c r="G278" s="110"/>
      <c r="H278" s="110"/>
      <c r="I278" s="111"/>
      <c r="J278" s="112"/>
      <c r="K278" s="112"/>
      <c r="L278" s="112"/>
      <c r="M278" s="113"/>
      <c r="N278" s="108"/>
      <c r="O278" s="108"/>
    </row>
    <row r="279" ht="6.0" customHeight="1">
      <c r="A279" s="108"/>
      <c r="B279" s="108"/>
      <c r="C279" s="109"/>
      <c r="D279" s="109"/>
      <c r="E279" s="109"/>
      <c r="F279" s="110"/>
      <c r="G279" s="110"/>
      <c r="H279" s="110"/>
      <c r="I279" s="111"/>
      <c r="J279" s="112"/>
      <c r="K279" s="112"/>
      <c r="L279" s="112"/>
      <c r="M279" s="113"/>
      <c r="N279" s="108"/>
      <c r="O279" s="108"/>
    </row>
    <row r="280" ht="6.0" customHeight="1">
      <c r="A280" s="108"/>
      <c r="B280" s="108"/>
      <c r="C280" s="109"/>
      <c r="D280" s="109"/>
      <c r="E280" s="109"/>
      <c r="F280" s="110"/>
      <c r="G280" s="110"/>
      <c r="H280" s="110"/>
      <c r="I280" s="111"/>
      <c r="J280" s="112"/>
      <c r="K280" s="112"/>
      <c r="L280" s="112"/>
      <c r="M280" s="113"/>
      <c r="N280" s="108"/>
      <c r="O280" s="108"/>
    </row>
    <row r="281" ht="6.0" customHeight="1">
      <c r="A281" s="108"/>
      <c r="B281" s="108"/>
      <c r="C281" s="109"/>
      <c r="D281" s="109"/>
      <c r="E281" s="109"/>
      <c r="F281" s="110"/>
      <c r="G281" s="110"/>
      <c r="H281" s="110"/>
      <c r="I281" s="111"/>
      <c r="J281" s="112"/>
      <c r="K281" s="112"/>
      <c r="L281" s="112"/>
      <c r="M281" s="113"/>
      <c r="N281" s="108"/>
      <c r="O281" s="108"/>
    </row>
    <row r="282" ht="6.0" customHeight="1">
      <c r="A282" s="108"/>
      <c r="B282" s="108"/>
      <c r="C282" s="109"/>
      <c r="D282" s="109"/>
      <c r="E282" s="109"/>
      <c r="F282" s="110"/>
      <c r="G282" s="110"/>
      <c r="H282" s="110"/>
      <c r="I282" s="111"/>
      <c r="J282" s="112"/>
      <c r="K282" s="112"/>
      <c r="L282" s="112"/>
      <c r="M282" s="113"/>
      <c r="N282" s="108"/>
      <c r="O282" s="108"/>
    </row>
    <row r="283" ht="6.0" customHeight="1">
      <c r="A283" s="108"/>
      <c r="B283" s="108"/>
      <c r="C283" s="109"/>
      <c r="D283" s="109"/>
      <c r="E283" s="109"/>
      <c r="F283" s="110"/>
      <c r="G283" s="110"/>
      <c r="H283" s="110"/>
      <c r="I283" s="111"/>
      <c r="J283" s="112"/>
      <c r="K283" s="112"/>
      <c r="L283" s="112"/>
      <c r="M283" s="113"/>
      <c r="N283" s="108"/>
      <c r="O283" s="108"/>
    </row>
    <row r="284" ht="6.0" customHeight="1">
      <c r="A284" s="108"/>
      <c r="B284" s="108"/>
      <c r="C284" s="109"/>
      <c r="D284" s="109"/>
      <c r="E284" s="109"/>
      <c r="F284" s="110"/>
      <c r="G284" s="110"/>
      <c r="H284" s="110"/>
      <c r="I284" s="111"/>
      <c r="J284" s="112"/>
      <c r="K284" s="112"/>
      <c r="L284" s="112"/>
      <c r="M284" s="113"/>
      <c r="N284" s="108"/>
      <c r="O284" s="108"/>
    </row>
    <row r="285" ht="6.0" customHeight="1">
      <c r="A285" s="108"/>
      <c r="B285" s="108"/>
      <c r="C285" s="109"/>
      <c r="D285" s="109"/>
      <c r="E285" s="109"/>
      <c r="F285" s="110"/>
      <c r="G285" s="110"/>
      <c r="H285" s="110"/>
      <c r="I285" s="111"/>
      <c r="J285" s="112"/>
      <c r="K285" s="112"/>
      <c r="L285" s="112"/>
      <c r="M285" s="113"/>
      <c r="N285" s="108"/>
      <c r="O285" s="108"/>
    </row>
    <row r="286" ht="6.0" customHeight="1">
      <c r="A286" s="108"/>
      <c r="B286" s="108"/>
      <c r="C286" s="109"/>
      <c r="D286" s="109"/>
      <c r="E286" s="109"/>
      <c r="F286" s="110"/>
      <c r="G286" s="110"/>
      <c r="H286" s="110"/>
      <c r="I286" s="111"/>
      <c r="J286" s="112"/>
      <c r="K286" s="112"/>
      <c r="L286" s="112"/>
      <c r="M286" s="113"/>
      <c r="N286" s="108"/>
      <c r="O286" s="108"/>
    </row>
    <row r="287" ht="6.0" customHeight="1">
      <c r="A287" s="108"/>
      <c r="B287" s="108"/>
      <c r="C287" s="109"/>
      <c r="D287" s="109"/>
      <c r="E287" s="109"/>
      <c r="F287" s="110"/>
      <c r="G287" s="110"/>
      <c r="H287" s="110"/>
      <c r="I287" s="111"/>
      <c r="J287" s="112"/>
      <c r="K287" s="112"/>
      <c r="L287" s="112"/>
      <c r="M287" s="113"/>
      <c r="N287" s="108"/>
      <c r="O287" s="108"/>
    </row>
    <row r="288" ht="6.0" customHeight="1">
      <c r="A288" s="108"/>
      <c r="B288" s="108"/>
      <c r="C288" s="109"/>
      <c r="D288" s="109"/>
      <c r="E288" s="109"/>
      <c r="F288" s="110"/>
      <c r="G288" s="110"/>
      <c r="H288" s="110"/>
      <c r="I288" s="111"/>
      <c r="J288" s="112"/>
      <c r="K288" s="112"/>
      <c r="L288" s="112"/>
      <c r="M288" s="113"/>
      <c r="N288" s="108"/>
      <c r="O288" s="108"/>
    </row>
    <row r="289" ht="6.0" customHeight="1">
      <c r="A289" s="108"/>
      <c r="B289" s="108"/>
      <c r="C289" s="109"/>
      <c r="D289" s="109"/>
      <c r="E289" s="109"/>
      <c r="F289" s="110"/>
      <c r="G289" s="110"/>
      <c r="H289" s="110"/>
      <c r="I289" s="111"/>
      <c r="J289" s="112"/>
      <c r="K289" s="112"/>
      <c r="L289" s="112"/>
      <c r="M289" s="113"/>
      <c r="N289" s="108"/>
      <c r="O289" s="108"/>
    </row>
    <row r="290" ht="6.0" customHeight="1">
      <c r="A290" s="108"/>
      <c r="B290" s="108"/>
      <c r="C290" s="109"/>
      <c r="D290" s="109"/>
      <c r="E290" s="109"/>
      <c r="F290" s="110"/>
      <c r="G290" s="110"/>
      <c r="H290" s="110"/>
      <c r="I290" s="111"/>
      <c r="J290" s="112"/>
      <c r="K290" s="112"/>
      <c r="L290" s="112"/>
      <c r="M290" s="113"/>
      <c r="N290" s="108"/>
      <c r="O290" s="108"/>
    </row>
    <row r="291" ht="6.0" customHeight="1">
      <c r="A291" s="108"/>
      <c r="B291" s="108"/>
      <c r="C291" s="109"/>
      <c r="D291" s="109"/>
      <c r="E291" s="109"/>
      <c r="F291" s="110"/>
      <c r="G291" s="110"/>
      <c r="H291" s="110"/>
      <c r="I291" s="111"/>
      <c r="J291" s="112"/>
      <c r="K291" s="112"/>
      <c r="L291" s="112"/>
      <c r="M291" s="113"/>
      <c r="N291" s="108"/>
      <c r="O291" s="108"/>
    </row>
    <row r="292" ht="6.0" customHeight="1">
      <c r="A292" s="108"/>
      <c r="B292" s="108"/>
      <c r="C292" s="109"/>
      <c r="D292" s="109"/>
      <c r="E292" s="109"/>
      <c r="F292" s="110"/>
      <c r="G292" s="110"/>
      <c r="H292" s="110"/>
      <c r="I292" s="111"/>
      <c r="J292" s="112"/>
      <c r="K292" s="112"/>
      <c r="L292" s="112"/>
      <c r="M292" s="113"/>
      <c r="N292" s="108"/>
      <c r="O292" s="108"/>
    </row>
    <row r="293" ht="6.0" customHeight="1">
      <c r="A293" s="108"/>
      <c r="B293" s="108"/>
      <c r="C293" s="109"/>
      <c r="D293" s="109"/>
      <c r="E293" s="109"/>
      <c r="F293" s="110"/>
      <c r="G293" s="110"/>
      <c r="H293" s="110"/>
      <c r="I293" s="111"/>
      <c r="J293" s="112"/>
      <c r="K293" s="112"/>
      <c r="L293" s="112"/>
      <c r="M293" s="113"/>
      <c r="N293" s="108"/>
      <c r="O293" s="108"/>
    </row>
    <row r="294" ht="6.0" customHeight="1">
      <c r="A294" s="108"/>
      <c r="B294" s="108"/>
      <c r="C294" s="109"/>
      <c r="D294" s="109"/>
      <c r="E294" s="109"/>
      <c r="F294" s="110"/>
      <c r="G294" s="110"/>
      <c r="H294" s="110"/>
      <c r="I294" s="111"/>
      <c r="J294" s="112"/>
      <c r="K294" s="112"/>
      <c r="L294" s="112"/>
      <c r="M294" s="113"/>
      <c r="N294" s="108"/>
      <c r="O294" s="108"/>
    </row>
    <row r="295" ht="6.0" customHeight="1">
      <c r="A295" s="108"/>
      <c r="B295" s="108"/>
      <c r="C295" s="109"/>
      <c r="D295" s="109"/>
      <c r="E295" s="109"/>
      <c r="F295" s="110"/>
      <c r="G295" s="110"/>
      <c r="H295" s="110"/>
      <c r="I295" s="111"/>
      <c r="J295" s="112"/>
      <c r="K295" s="112"/>
      <c r="L295" s="112"/>
      <c r="M295" s="113"/>
      <c r="N295" s="108"/>
      <c r="O295" s="108"/>
    </row>
    <row r="296" ht="6.0" customHeight="1">
      <c r="A296" s="108"/>
      <c r="B296" s="108"/>
      <c r="C296" s="109"/>
      <c r="D296" s="109"/>
      <c r="E296" s="109"/>
      <c r="F296" s="110"/>
      <c r="G296" s="110"/>
      <c r="H296" s="110"/>
      <c r="I296" s="111"/>
      <c r="J296" s="112"/>
      <c r="K296" s="112"/>
      <c r="L296" s="112"/>
      <c r="M296" s="113"/>
      <c r="N296" s="108"/>
      <c r="O296" s="108"/>
    </row>
    <row r="297" ht="6.0" customHeight="1">
      <c r="A297" s="108"/>
      <c r="B297" s="108"/>
      <c r="C297" s="109"/>
      <c r="D297" s="109"/>
      <c r="E297" s="109"/>
      <c r="F297" s="110"/>
      <c r="G297" s="110"/>
      <c r="H297" s="110"/>
      <c r="I297" s="111"/>
      <c r="J297" s="112"/>
      <c r="K297" s="112"/>
      <c r="L297" s="112"/>
      <c r="M297" s="113"/>
      <c r="N297" s="108"/>
      <c r="O297" s="108"/>
    </row>
    <row r="298" ht="6.0" customHeight="1">
      <c r="A298" s="108"/>
      <c r="B298" s="108"/>
      <c r="C298" s="109"/>
      <c r="D298" s="109"/>
      <c r="E298" s="109"/>
      <c r="F298" s="110"/>
      <c r="G298" s="110"/>
      <c r="H298" s="110"/>
      <c r="I298" s="111"/>
      <c r="J298" s="112"/>
      <c r="K298" s="112"/>
      <c r="L298" s="112"/>
      <c r="M298" s="113"/>
      <c r="N298" s="108"/>
      <c r="O298" s="108"/>
    </row>
    <row r="299" ht="6.0" customHeight="1">
      <c r="A299" s="108"/>
      <c r="B299" s="108"/>
      <c r="C299" s="109"/>
      <c r="D299" s="109"/>
      <c r="E299" s="109"/>
      <c r="F299" s="110"/>
      <c r="G299" s="110"/>
      <c r="H299" s="110"/>
      <c r="I299" s="111"/>
      <c r="J299" s="112"/>
      <c r="K299" s="112"/>
      <c r="L299" s="112"/>
      <c r="M299" s="113"/>
      <c r="N299" s="108"/>
      <c r="O299" s="108"/>
    </row>
    <row r="300" ht="6.0" customHeight="1">
      <c r="A300" s="108"/>
      <c r="B300" s="108"/>
      <c r="C300" s="109"/>
      <c r="D300" s="109"/>
      <c r="E300" s="109"/>
      <c r="F300" s="110"/>
      <c r="G300" s="110"/>
      <c r="H300" s="110"/>
      <c r="I300" s="111"/>
      <c r="J300" s="112"/>
      <c r="K300" s="112"/>
      <c r="L300" s="112"/>
      <c r="M300" s="113"/>
      <c r="N300" s="108"/>
      <c r="O300" s="108"/>
    </row>
    <row r="301" ht="6.0" customHeight="1">
      <c r="A301" s="108"/>
      <c r="B301" s="108"/>
      <c r="C301" s="109"/>
      <c r="D301" s="109"/>
      <c r="E301" s="109"/>
      <c r="F301" s="110"/>
      <c r="G301" s="110"/>
      <c r="H301" s="110"/>
      <c r="I301" s="111"/>
      <c r="J301" s="112"/>
      <c r="K301" s="112"/>
      <c r="L301" s="112"/>
      <c r="M301" s="113"/>
      <c r="N301" s="108"/>
      <c r="O301" s="108"/>
    </row>
    <row r="302" ht="6.0" customHeight="1">
      <c r="A302" s="108"/>
      <c r="B302" s="108"/>
      <c r="C302" s="109"/>
      <c r="D302" s="109"/>
      <c r="E302" s="109"/>
      <c r="F302" s="110"/>
      <c r="G302" s="110"/>
      <c r="H302" s="110"/>
      <c r="I302" s="111"/>
      <c r="J302" s="112"/>
      <c r="K302" s="112"/>
      <c r="L302" s="112"/>
      <c r="M302" s="113"/>
      <c r="N302" s="108"/>
      <c r="O302" s="108"/>
    </row>
    <row r="303" ht="6.0" customHeight="1">
      <c r="A303" s="108"/>
      <c r="B303" s="108"/>
      <c r="C303" s="109"/>
      <c r="D303" s="109"/>
      <c r="E303" s="109"/>
      <c r="F303" s="110"/>
      <c r="G303" s="110"/>
      <c r="H303" s="110"/>
      <c r="I303" s="111"/>
      <c r="J303" s="112"/>
      <c r="K303" s="112"/>
      <c r="L303" s="112"/>
      <c r="M303" s="113"/>
      <c r="N303" s="108"/>
      <c r="O303" s="108"/>
    </row>
    <row r="304" ht="6.0" customHeight="1">
      <c r="A304" s="108"/>
      <c r="B304" s="108"/>
      <c r="C304" s="109"/>
      <c r="D304" s="109"/>
      <c r="E304" s="109"/>
      <c r="F304" s="110"/>
      <c r="G304" s="110"/>
      <c r="H304" s="110"/>
      <c r="I304" s="111"/>
      <c r="J304" s="112"/>
      <c r="K304" s="112"/>
      <c r="L304" s="112"/>
      <c r="M304" s="113"/>
      <c r="N304" s="108"/>
      <c r="O304" s="108"/>
    </row>
    <row r="305" ht="6.0" customHeight="1">
      <c r="A305" s="108"/>
      <c r="B305" s="108"/>
      <c r="C305" s="109"/>
      <c r="D305" s="109"/>
      <c r="E305" s="109"/>
      <c r="F305" s="110"/>
      <c r="G305" s="110"/>
      <c r="H305" s="110"/>
      <c r="I305" s="111"/>
      <c r="J305" s="112"/>
      <c r="K305" s="112"/>
      <c r="L305" s="112"/>
      <c r="M305" s="113"/>
      <c r="N305" s="108"/>
      <c r="O305" s="108"/>
    </row>
    <row r="306" ht="6.0" customHeight="1">
      <c r="A306" s="108"/>
      <c r="B306" s="108"/>
      <c r="C306" s="109"/>
      <c r="D306" s="109"/>
      <c r="E306" s="109"/>
      <c r="F306" s="110"/>
      <c r="G306" s="110"/>
      <c r="H306" s="110"/>
      <c r="I306" s="111"/>
      <c r="J306" s="112"/>
      <c r="K306" s="112"/>
      <c r="L306" s="112"/>
      <c r="M306" s="113"/>
      <c r="N306" s="108"/>
      <c r="O306" s="108"/>
    </row>
    <row r="307" ht="6.0" customHeight="1">
      <c r="A307" s="108"/>
      <c r="B307" s="108"/>
      <c r="C307" s="109"/>
      <c r="D307" s="109"/>
      <c r="E307" s="109"/>
      <c r="F307" s="110"/>
      <c r="G307" s="110"/>
      <c r="H307" s="110"/>
      <c r="I307" s="111"/>
      <c r="J307" s="112"/>
      <c r="K307" s="112"/>
      <c r="L307" s="112"/>
      <c r="M307" s="113"/>
      <c r="N307" s="108"/>
      <c r="O307" s="108"/>
    </row>
    <row r="308" ht="6.0" customHeight="1">
      <c r="A308" s="108"/>
      <c r="B308" s="108"/>
      <c r="C308" s="109"/>
      <c r="D308" s="109"/>
      <c r="E308" s="109"/>
      <c r="F308" s="110"/>
      <c r="G308" s="110"/>
      <c r="H308" s="110"/>
      <c r="I308" s="111"/>
      <c r="J308" s="112"/>
      <c r="K308" s="112"/>
      <c r="L308" s="112"/>
      <c r="M308" s="113"/>
      <c r="N308" s="108"/>
      <c r="O308" s="108"/>
    </row>
    <row r="309" ht="6.0" customHeight="1">
      <c r="A309" s="108"/>
      <c r="B309" s="108"/>
      <c r="C309" s="109"/>
      <c r="D309" s="109"/>
      <c r="E309" s="109"/>
      <c r="F309" s="110"/>
      <c r="G309" s="110"/>
      <c r="H309" s="110"/>
      <c r="I309" s="111"/>
      <c r="J309" s="112"/>
      <c r="K309" s="112"/>
      <c r="L309" s="112"/>
      <c r="M309" s="113"/>
      <c r="N309" s="108"/>
      <c r="O309" s="108"/>
    </row>
    <row r="310" ht="6.0" customHeight="1">
      <c r="A310" s="108"/>
      <c r="B310" s="108"/>
      <c r="C310" s="109"/>
      <c r="D310" s="109"/>
      <c r="E310" s="109"/>
      <c r="F310" s="110"/>
      <c r="G310" s="110"/>
      <c r="H310" s="110"/>
      <c r="I310" s="111"/>
      <c r="J310" s="112"/>
      <c r="K310" s="112"/>
      <c r="L310" s="112"/>
      <c r="M310" s="113"/>
      <c r="N310" s="108"/>
      <c r="O310" s="108"/>
    </row>
    <row r="311" ht="6.0" customHeight="1">
      <c r="A311" s="108"/>
      <c r="B311" s="108"/>
      <c r="C311" s="109"/>
      <c r="D311" s="109"/>
      <c r="E311" s="109"/>
      <c r="F311" s="110"/>
      <c r="G311" s="110"/>
      <c r="H311" s="110"/>
      <c r="I311" s="111"/>
      <c r="J311" s="112"/>
      <c r="K311" s="112"/>
      <c r="L311" s="112"/>
      <c r="M311" s="113"/>
      <c r="N311" s="108"/>
      <c r="O311" s="108"/>
    </row>
    <row r="312" ht="6.0" customHeight="1">
      <c r="A312" s="108"/>
      <c r="B312" s="108"/>
      <c r="C312" s="109"/>
      <c r="D312" s="109"/>
      <c r="E312" s="109"/>
      <c r="F312" s="110"/>
      <c r="G312" s="110"/>
      <c r="H312" s="110"/>
      <c r="I312" s="111"/>
      <c r="J312" s="112"/>
      <c r="K312" s="112"/>
      <c r="L312" s="112"/>
      <c r="M312" s="113"/>
      <c r="N312" s="108"/>
      <c r="O312" s="108"/>
    </row>
    <row r="313" ht="6.0" customHeight="1">
      <c r="A313" s="108"/>
      <c r="B313" s="108"/>
      <c r="C313" s="109"/>
      <c r="D313" s="109"/>
      <c r="E313" s="109"/>
      <c r="F313" s="110"/>
      <c r="G313" s="110"/>
      <c r="H313" s="110"/>
      <c r="I313" s="111"/>
      <c r="J313" s="112"/>
      <c r="K313" s="112"/>
      <c r="L313" s="112"/>
      <c r="M313" s="113"/>
      <c r="N313" s="108"/>
      <c r="O313" s="108"/>
    </row>
    <row r="314" ht="6.0" customHeight="1">
      <c r="A314" s="108"/>
      <c r="B314" s="108"/>
      <c r="C314" s="109"/>
      <c r="D314" s="109"/>
      <c r="E314" s="109"/>
      <c r="F314" s="110"/>
      <c r="G314" s="110"/>
      <c r="H314" s="110"/>
      <c r="I314" s="111"/>
      <c r="J314" s="112"/>
      <c r="K314" s="112"/>
      <c r="L314" s="112"/>
      <c r="M314" s="113"/>
      <c r="N314" s="108"/>
      <c r="O314" s="108"/>
    </row>
    <row r="315" ht="6.0" customHeight="1">
      <c r="A315" s="108"/>
      <c r="B315" s="108"/>
      <c r="C315" s="109"/>
      <c r="D315" s="109"/>
      <c r="E315" s="109"/>
      <c r="F315" s="110"/>
      <c r="G315" s="110"/>
      <c r="H315" s="110"/>
      <c r="I315" s="111"/>
      <c r="J315" s="112"/>
      <c r="K315" s="112"/>
      <c r="L315" s="112"/>
      <c r="M315" s="113"/>
      <c r="N315" s="108"/>
      <c r="O315" s="108"/>
    </row>
    <row r="316" ht="6.0" customHeight="1">
      <c r="A316" s="108"/>
      <c r="B316" s="108"/>
      <c r="C316" s="109"/>
      <c r="D316" s="109"/>
      <c r="E316" s="109"/>
      <c r="F316" s="110"/>
      <c r="G316" s="110"/>
      <c r="H316" s="110"/>
      <c r="I316" s="111"/>
      <c r="J316" s="112"/>
      <c r="K316" s="112"/>
      <c r="L316" s="112"/>
      <c r="M316" s="113"/>
      <c r="N316" s="108"/>
      <c r="O316" s="108"/>
    </row>
    <row r="317" ht="6.0" customHeight="1">
      <c r="A317" s="108"/>
      <c r="B317" s="108"/>
      <c r="C317" s="109"/>
      <c r="D317" s="109"/>
      <c r="E317" s="109"/>
      <c r="F317" s="110"/>
      <c r="G317" s="110"/>
      <c r="H317" s="110"/>
      <c r="I317" s="111"/>
      <c r="J317" s="112"/>
      <c r="K317" s="112"/>
      <c r="L317" s="112"/>
      <c r="M317" s="113"/>
      <c r="N317" s="108"/>
      <c r="O317" s="108"/>
    </row>
    <row r="318" ht="6.0" customHeight="1">
      <c r="A318" s="108"/>
      <c r="B318" s="108"/>
      <c r="C318" s="109"/>
      <c r="D318" s="109"/>
      <c r="E318" s="109"/>
      <c r="F318" s="110"/>
      <c r="G318" s="110"/>
      <c r="H318" s="110"/>
      <c r="I318" s="111"/>
      <c r="J318" s="112"/>
      <c r="K318" s="112"/>
      <c r="L318" s="112"/>
      <c r="M318" s="113"/>
      <c r="N318" s="108"/>
      <c r="O318" s="108"/>
    </row>
    <row r="319" ht="6.0" customHeight="1">
      <c r="A319" s="108"/>
      <c r="B319" s="108"/>
      <c r="C319" s="109"/>
      <c r="D319" s="109"/>
      <c r="E319" s="109"/>
      <c r="F319" s="110"/>
      <c r="G319" s="110"/>
      <c r="H319" s="110"/>
      <c r="I319" s="111"/>
      <c r="J319" s="112"/>
      <c r="K319" s="112"/>
      <c r="L319" s="112"/>
      <c r="M319" s="113"/>
      <c r="N319" s="108"/>
      <c r="O319" s="108"/>
    </row>
    <row r="320" ht="6.0" customHeight="1">
      <c r="A320" s="108"/>
      <c r="B320" s="108"/>
      <c r="C320" s="109"/>
      <c r="D320" s="109"/>
      <c r="E320" s="109"/>
      <c r="F320" s="110"/>
      <c r="G320" s="110"/>
      <c r="H320" s="110"/>
      <c r="I320" s="111"/>
      <c r="J320" s="112"/>
      <c r="K320" s="112"/>
      <c r="L320" s="112"/>
      <c r="M320" s="113"/>
      <c r="N320" s="108"/>
      <c r="O320" s="108"/>
    </row>
    <row r="321" ht="6.0" customHeight="1">
      <c r="A321" s="108"/>
      <c r="B321" s="108"/>
      <c r="C321" s="109"/>
      <c r="D321" s="109"/>
      <c r="E321" s="109"/>
      <c r="F321" s="110"/>
      <c r="G321" s="110"/>
      <c r="H321" s="110"/>
      <c r="I321" s="111"/>
      <c r="J321" s="112"/>
      <c r="K321" s="112"/>
      <c r="L321" s="112"/>
      <c r="M321" s="113"/>
      <c r="N321" s="108"/>
      <c r="O321" s="108"/>
    </row>
    <row r="322" ht="6.0" customHeight="1">
      <c r="A322" s="108"/>
      <c r="B322" s="108"/>
      <c r="C322" s="109"/>
      <c r="D322" s="109"/>
      <c r="E322" s="109"/>
      <c r="F322" s="110"/>
      <c r="G322" s="110"/>
      <c r="H322" s="110"/>
      <c r="I322" s="111"/>
      <c r="J322" s="112"/>
      <c r="K322" s="112"/>
      <c r="L322" s="112"/>
      <c r="M322" s="113"/>
      <c r="N322" s="108"/>
      <c r="O322" s="108"/>
    </row>
    <row r="323" ht="6.0" customHeight="1">
      <c r="A323" s="108"/>
      <c r="B323" s="108"/>
      <c r="C323" s="109"/>
      <c r="D323" s="109"/>
      <c r="E323" s="109"/>
      <c r="F323" s="110"/>
      <c r="G323" s="110"/>
      <c r="H323" s="110"/>
      <c r="I323" s="111"/>
      <c r="J323" s="112"/>
      <c r="K323" s="112"/>
      <c r="L323" s="112"/>
      <c r="M323" s="113"/>
      <c r="N323" s="108"/>
      <c r="O323" s="108"/>
    </row>
    <row r="324" ht="6.0" customHeight="1">
      <c r="A324" s="108"/>
      <c r="B324" s="108"/>
      <c r="C324" s="109"/>
      <c r="D324" s="109"/>
      <c r="E324" s="109"/>
      <c r="F324" s="110"/>
      <c r="G324" s="110"/>
      <c r="H324" s="110"/>
      <c r="I324" s="111"/>
      <c r="J324" s="112"/>
      <c r="K324" s="112"/>
      <c r="L324" s="112"/>
      <c r="M324" s="113"/>
      <c r="N324" s="108"/>
      <c r="O324" s="108"/>
    </row>
    <row r="325" ht="6.0" customHeight="1">
      <c r="A325" s="108"/>
      <c r="B325" s="108"/>
      <c r="C325" s="109"/>
      <c r="D325" s="109"/>
      <c r="E325" s="109"/>
      <c r="F325" s="110"/>
      <c r="G325" s="110"/>
      <c r="H325" s="110"/>
      <c r="I325" s="111"/>
      <c r="J325" s="112"/>
      <c r="K325" s="112"/>
      <c r="L325" s="112"/>
      <c r="M325" s="113"/>
      <c r="N325" s="108"/>
      <c r="O325" s="108"/>
    </row>
    <row r="326" ht="6.0" customHeight="1">
      <c r="A326" s="108"/>
      <c r="B326" s="108"/>
      <c r="C326" s="109"/>
      <c r="D326" s="109"/>
      <c r="E326" s="109"/>
      <c r="F326" s="110"/>
      <c r="G326" s="110"/>
      <c r="H326" s="110"/>
      <c r="I326" s="111"/>
      <c r="J326" s="112"/>
      <c r="K326" s="112"/>
      <c r="L326" s="112"/>
      <c r="M326" s="113"/>
      <c r="N326" s="108"/>
      <c r="O326" s="108"/>
    </row>
    <row r="327" ht="6.0" customHeight="1">
      <c r="A327" s="108"/>
      <c r="B327" s="108"/>
      <c r="C327" s="109"/>
      <c r="D327" s="109"/>
      <c r="E327" s="109"/>
      <c r="F327" s="110"/>
      <c r="G327" s="110"/>
      <c r="H327" s="110"/>
      <c r="I327" s="111"/>
      <c r="J327" s="112"/>
      <c r="K327" s="112"/>
      <c r="L327" s="112"/>
      <c r="M327" s="113"/>
      <c r="N327" s="108"/>
      <c r="O327" s="108"/>
    </row>
    <row r="328" ht="6.0" customHeight="1">
      <c r="A328" s="108"/>
      <c r="B328" s="108"/>
      <c r="C328" s="109"/>
      <c r="D328" s="109"/>
      <c r="E328" s="109"/>
      <c r="F328" s="110"/>
      <c r="G328" s="110"/>
      <c r="H328" s="110"/>
      <c r="I328" s="111"/>
      <c r="J328" s="112"/>
      <c r="K328" s="112"/>
      <c r="L328" s="112"/>
      <c r="M328" s="113"/>
      <c r="N328" s="108"/>
      <c r="O328" s="108"/>
    </row>
    <row r="329" ht="6.0" customHeight="1">
      <c r="A329" s="108"/>
      <c r="B329" s="108"/>
      <c r="C329" s="109"/>
      <c r="D329" s="109"/>
      <c r="E329" s="109"/>
      <c r="F329" s="110"/>
      <c r="G329" s="110"/>
      <c r="H329" s="110"/>
      <c r="I329" s="111"/>
      <c r="J329" s="112"/>
      <c r="K329" s="112"/>
      <c r="L329" s="112"/>
      <c r="M329" s="113"/>
      <c r="N329" s="108"/>
      <c r="O329" s="108"/>
    </row>
    <row r="330" ht="6.0" customHeight="1">
      <c r="A330" s="108"/>
      <c r="B330" s="108"/>
      <c r="C330" s="109"/>
      <c r="D330" s="109"/>
      <c r="E330" s="109"/>
      <c r="F330" s="110"/>
      <c r="G330" s="110"/>
      <c r="H330" s="110"/>
      <c r="I330" s="111"/>
      <c r="J330" s="112"/>
      <c r="K330" s="112"/>
      <c r="L330" s="112"/>
      <c r="M330" s="113"/>
      <c r="N330" s="108"/>
      <c r="O330" s="108"/>
    </row>
    <row r="331" ht="6.0" customHeight="1">
      <c r="A331" s="108"/>
      <c r="B331" s="108"/>
      <c r="C331" s="109"/>
      <c r="D331" s="109"/>
      <c r="E331" s="109"/>
      <c r="F331" s="110"/>
      <c r="G331" s="110"/>
      <c r="H331" s="110"/>
      <c r="I331" s="111"/>
      <c r="J331" s="112"/>
      <c r="K331" s="112"/>
      <c r="L331" s="112"/>
      <c r="M331" s="113"/>
      <c r="N331" s="108"/>
      <c r="O331" s="108"/>
    </row>
    <row r="332" ht="6.0" customHeight="1">
      <c r="A332" s="108"/>
      <c r="B332" s="108"/>
      <c r="C332" s="109"/>
      <c r="D332" s="109"/>
      <c r="E332" s="109"/>
      <c r="F332" s="110"/>
      <c r="G332" s="110"/>
      <c r="H332" s="110"/>
      <c r="I332" s="111"/>
      <c r="J332" s="112"/>
      <c r="K332" s="112"/>
      <c r="L332" s="112"/>
      <c r="M332" s="113"/>
      <c r="N332" s="108"/>
      <c r="O332" s="108"/>
    </row>
    <row r="333" ht="6.0" customHeight="1">
      <c r="A333" s="108"/>
      <c r="B333" s="108"/>
      <c r="C333" s="109"/>
      <c r="D333" s="109"/>
      <c r="E333" s="109"/>
      <c r="F333" s="110"/>
      <c r="G333" s="110"/>
      <c r="H333" s="110"/>
      <c r="I333" s="111"/>
      <c r="J333" s="112"/>
      <c r="K333" s="112"/>
      <c r="L333" s="112"/>
      <c r="M333" s="113"/>
      <c r="N333" s="108"/>
      <c r="O333" s="108"/>
    </row>
    <row r="334" ht="6.0" customHeight="1">
      <c r="A334" s="108"/>
      <c r="B334" s="108"/>
      <c r="C334" s="109"/>
      <c r="D334" s="109"/>
      <c r="E334" s="109"/>
      <c r="F334" s="110"/>
      <c r="G334" s="110"/>
      <c r="H334" s="110"/>
      <c r="I334" s="111"/>
      <c r="J334" s="112"/>
      <c r="K334" s="112"/>
      <c r="L334" s="112"/>
      <c r="M334" s="113"/>
      <c r="N334" s="108"/>
      <c r="O334" s="108"/>
    </row>
    <row r="335" ht="6.0" customHeight="1">
      <c r="A335" s="108"/>
      <c r="B335" s="108"/>
      <c r="C335" s="109"/>
      <c r="D335" s="109"/>
      <c r="E335" s="109"/>
      <c r="F335" s="110"/>
      <c r="G335" s="110"/>
      <c r="H335" s="110"/>
      <c r="I335" s="111"/>
      <c r="J335" s="112"/>
      <c r="K335" s="112"/>
      <c r="L335" s="112"/>
      <c r="M335" s="113"/>
      <c r="N335" s="108"/>
      <c r="O335" s="108"/>
    </row>
    <row r="336" ht="6.0" customHeight="1">
      <c r="A336" s="108"/>
      <c r="B336" s="108"/>
      <c r="C336" s="109"/>
      <c r="D336" s="109"/>
      <c r="E336" s="109"/>
      <c r="F336" s="110"/>
      <c r="G336" s="110"/>
      <c r="H336" s="110"/>
      <c r="I336" s="111"/>
      <c r="J336" s="112"/>
      <c r="K336" s="112"/>
      <c r="L336" s="112"/>
      <c r="M336" s="113"/>
      <c r="N336" s="108"/>
      <c r="O336" s="108"/>
    </row>
    <row r="337" ht="6.0" customHeight="1">
      <c r="A337" s="108"/>
      <c r="B337" s="108"/>
      <c r="C337" s="109"/>
      <c r="D337" s="109"/>
      <c r="E337" s="109"/>
      <c r="F337" s="110"/>
      <c r="G337" s="110"/>
      <c r="H337" s="110"/>
      <c r="I337" s="111"/>
      <c r="J337" s="112"/>
      <c r="K337" s="112"/>
      <c r="L337" s="112"/>
      <c r="M337" s="113"/>
      <c r="N337" s="108"/>
      <c r="O337" s="108"/>
    </row>
    <row r="338" ht="6.0" customHeight="1">
      <c r="A338" s="108"/>
      <c r="B338" s="108"/>
      <c r="C338" s="109"/>
      <c r="D338" s="109"/>
      <c r="E338" s="109"/>
      <c r="F338" s="110"/>
      <c r="G338" s="110"/>
      <c r="H338" s="110"/>
      <c r="I338" s="111"/>
      <c r="J338" s="112"/>
      <c r="K338" s="112"/>
      <c r="L338" s="112"/>
      <c r="M338" s="113"/>
      <c r="N338" s="108"/>
      <c r="O338" s="108"/>
    </row>
    <row r="339" ht="6.0" customHeight="1">
      <c r="A339" s="108"/>
      <c r="B339" s="108"/>
      <c r="C339" s="109"/>
      <c r="D339" s="109"/>
      <c r="E339" s="109"/>
      <c r="F339" s="110"/>
      <c r="G339" s="110"/>
      <c r="H339" s="110"/>
      <c r="I339" s="111"/>
      <c r="J339" s="112"/>
      <c r="K339" s="112"/>
      <c r="L339" s="112"/>
      <c r="M339" s="113"/>
      <c r="N339" s="108"/>
      <c r="O339" s="108"/>
    </row>
    <row r="340" ht="6.0" customHeight="1">
      <c r="A340" s="108"/>
      <c r="B340" s="108"/>
      <c r="C340" s="109"/>
      <c r="D340" s="109"/>
      <c r="E340" s="109"/>
      <c r="F340" s="110"/>
      <c r="G340" s="110"/>
      <c r="H340" s="110"/>
      <c r="I340" s="111"/>
      <c r="J340" s="112"/>
      <c r="K340" s="112"/>
      <c r="L340" s="112"/>
      <c r="M340" s="113"/>
      <c r="N340" s="108"/>
      <c r="O340" s="108"/>
    </row>
    <row r="341" ht="6.0" customHeight="1">
      <c r="A341" s="108"/>
      <c r="B341" s="108"/>
      <c r="C341" s="109"/>
      <c r="D341" s="109"/>
      <c r="E341" s="109"/>
      <c r="F341" s="110"/>
      <c r="G341" s="110"/>
      <c r="H341" s="110"/>
      <c r="I341" s="111"/>
      <c r="J341" s="112"/>
      <c r="K341" s="112"/>
      <c r="L341" s="112"/>
      <c r="M341" s="113"/>
      <c r="N341" s="108"/>
      <c r="O341" s="108"/>
    </row>
    <row r="342" ht="6.0" customHeight="1">
      <c r="A342" s="108"/>
      <c r="B342" s="108"/>
      <c r="C342" s="109"/>
      <c r="D342" s="109"/>
      <c r="E342" s="109"/>
      <c r="F342" s="110"/>
      <c r="G342" s="110"/>
      <c r="H342" s="110"/>
      <c r="I342" s="111"/>
      <c r="J342" s="112"/>
      <c r="K342" s="112"/>
      <c r="L342" s="112"/>
      <c r="M342" s="113"/>
      <c r="N342" s="108"/>
      <c r="O342" s="108"/>
    </row>
    <row r="343" ht="6.0" customHeight="1">
      <c r="A343" s="108"/>
      <c r="B343" s="108"/>
      <c r="C343" s="109"/>
      <c r="D343" s="109"/>
      <c r="E343" s="109"/>
      <c r="F343" s="110"/>
      <c r="G343" s="110"/>
      <c r="H343" s="110"/>
      <c r="I343" s="111"/>
      <c r="J343" s="112"/>
      <c r="K343" s="112"/>
      <c r="L343" s="112"/>
      <c r="M343" s="113"/>
      <c r="N343" s="108"/>
      <c r="O343" s="108"/>
    </row>
    <row r="344" ht="6.0" customHeight="1">
      <c r="A344" s="108"/>
      <c r="B344" s="108"/>
      <c r="C344" s="109"/>
      <c r="D344" s="109"/>
      <c r="E344" s="109"/>
      <c r="F344" s="110"/>
      <c r="G344" s="110"/>
      <c r="H344" s="110"/>
      <c r="I344" s="111"/>
      <c r="J344" s="112"/>
      <c r="K344" s="112"/>
      <c r="L344" s="112"/>
      <c r="M344" s="113"/>
      <c r="N344" s="108"/>
      <c r="O344" s="108"/>
    </row>
    <row r="345" ht="6.0" customHeight="1">
      <c r="A345" s="108"/>
      <c r="B345" s="108"/>
      <c r="C345" s="109"/>
      <c r="D345" s="109"/>
      <c r="E345" s="109"/>
      <c r="F345" s="110"/>
      <c r="G345" s="110"/>
      <c r="H345" s="110"/>
      <c r="I345" s="111"/>
      <c r="J345" s="112"/>
      <c r="K345" s="112"/>
      <c r="L345" s="112"/>
      <c r="M345" s="113"/>
      <c r="N345" s="108"/>
      <c r="O345" s="108"/>
    </row>
    <row r="346" ht="6.0" customHeight="1">
      <c r="A346" s="108"/>
      <c r="B346" s="108"/>
      <c r="C346" s="109"/>
      <c r="D346" s="109"/>
      <c r="E346" s="109"/>
      <c r="F346" s="110"/>
      <c r="G346" s="110"/>
      <c r="H346" s="110"/>
      <c r="I346" s="111"/>
      <c r="J346" s="112"/>
      <c r="K346" s="112"/>
      <c r="L346" s="112"/>
      <c r="M346" s="113"/>
      <c r="N346" s="108"/>
      <c r="O346" s="108"/>
    </row>
    <row r="347" ht="6.0" customHeight="1">
      <c r="A347" s="108"/>
      <c r="B347" s="108"/>
      <c r="C347" s="109"/>
      <c r="D347" s="109"/>
      <c r="E347" s="109"/>
      <c r="F347" s="110"/>
      <c r="G347" s="110"/>
      <c r="H347" s="110"/>
      <c r="I347" s="111"/>
      <c r="J347" s="112"/>
      <c r="K347" s="112"/>
      <c r="L347" s="112"/>
      <c r="M347" s="113"/>
      <c r="N347" s="108"/>
      <c r="O347" s="108"/>
    </row>
    <row r="348" ht="6.0" customHeight="1">
      <c r="A348" s="108"/>
      <c r="B348" s="108"/>
      <c r="C348" s="109"/>
      <c r="D348" s="109"/>
      <c r="E348" s="109"/>
      <c r="F348" s="110"/>
      <c r="G348" s="110"/>
      <c r="H348" s="110"/>
      <c r="I348" s="111"/>
      <c r="J348" s="112"/>
      <c r="K348" s="112"/>
      <c r="L348" s="112"/>
      <c r="M348" s="113"/>
      <c r="N348" s="108"/>
      <c r="O348" s="108"/>
    </row>
    <row r="349" ht="6.0" customHeight="1">
      <c r="A349" s="108"/>
      <c r="B349" s="108"/>
      <c r="C349" s="109"/>
      <c r="D349" s="109"/>
      <c r="E349" s="109"/>
      <c r="F349" s="110"/>
      <c r="G349" s="110"/>
      <c r="H349" s="110"/>
      <c r="I349" s="111"/>
      <c r="J349" s="112"/>
      <c r="K349" s="112"/>
      <c r="L349" s="112"/>
      <c r="M349" s="113"/>
      <c r="N349" s="108"/>
      <c r="O349" s="108"/>
    </row>
    <row r="350" ht="6.0" customHeight="1">
      <c r="A350" s="108"/>
      <c r="B350" s="108"/>
      <c r="C350" s="109"/>
      <c r="D350" s="109"/>
      <c r="E350" s="109"/>
      <c r="F350" s="110"/>
      <c r="G350" s="110"/>
      <c r="H350" s="110"/>
      <c r="I350" s="111"/>
      <c r="J350" s="112"/>
      <c r="K350" s="112"/>
      <c r="L350" s="112"/>
      <c r="M350" s="113"/>
      <c r="N350" s="108"/>
      <c r="O350" s="108"/>
    </row>
    <row r="351" ht="6.0" customHeight="1">
      <c r="A351" s="108"/>
      <c r="B351" s="108"/>
      <c r="C351" s="109"/>
      <c r="D351" s="109"/>
      <c r="E351" s="109"/>
      <c r="F351" s="110"/>
      <c r="G351" s="110"/>
      <c r="H351" s="110"/>
      <c r="I351" s="111"/>
      <c r="J351" s="112"/>
      <c r="K351" s="112"/>
      <c r="L351" s="112"/>
      <c r="M351" s="113"/>
      <c r="N351" s="108"/>
      <c r="O351" s="108"/>
    </row>
    <row r="352" ht="6.0" customHeight="1">
      <c r="A352" s="108"/>
      <c r="B352" s="108"/>
      <c r="C352" s="109"/>
      <c r="D352" s="109"/>
      <c r="E352" s="109"/>
      <c r="F352" s="110"/>
      <c r="G352" s="110"/>
      <c r="H352" s="110"/>
      <c r="I352" s="111"/>
      <c r="J352" s="112"/>
      <c r="K352" s="112"/>
      <c r="L352" s="112"/>
      <c r="M352" s="113"/>
      <c r="N352" s="108"/>
      <c r="O352" s="108"/>
    </row>
    <row r="353" ht="6.0" customHeight="1">
      <c r="A353" s="108"/>
      <c r="B353" s="108"/>
      <c r="C353" s="109"/>
      <c r="D353" s="109"/>
      <c r="E353" s="109"/>
      <c r="F353" s="110"/>
      <c r="G353" s="110"/>
      <c r="H353" s="110"/>
      <c r="I353" s="111"/>
      <c r="J353" s="112"/>
      <c r="K353" s="112"/>
      <c r="L353" s="112"/>
      <c r="M353" s="113"/>
      <c r="N353" s="108"/>
      <c r="O353" s="108"/>
    </row>
    <row r="354" ht="6.0" customHeight="1">
      <c r="A354" s="108"/>
      <c r="B354" s="108"/>
      <c r="C354" s="109"/>
      <c r="D354" s="109"/>
      <c r="E354" s="109"/>
      <c r="F354" s="110"/>
      <c r="G354" s="110"/>
      <c r="H354" s="110"/>
      <c r="I354" s="111"/>
      <c r="J354" s="112"/>
      <c r="K354" s="112"/>
      <c r="L354" s="112"/>
      <c r="M354" s="113"/>
      <c r="N354" s="108"/>
      <c r="O354" s="108"/>
    </row>
    <row r="355" ht="6.0" customHeight="1">
      <c r="A355" s="108"/>
      <c r="B355" s="108"/>
      <c r="C355" s="109"/>
      <c r="D355" s="109"/>
      <c r="E355" s="109"/>
      <c r="F355" s="110"/>
      <c r="G355" s="110"/>
      <c r="H355" s="110"/>
      <c r="I355" s="111"/>
      <c r="J355" s="112"/>
      <c r="K355" s="112"/>
      <c r="L355" s="112"/>
      <c r="M355" s="113"/>
      <c r="N355" s="108"/>
      <c r="O355" s="108"/>
    </row>
    <row r="356" ht="6.0" customHeight="1">
      <c r="A356" s="108"/>
      <c r="B356" s="108"/>
      <c r="C356" s="109"/>
      <c r="D356" s="109"/>
      <c r="E356" s="109"/>
      <c r="F356" s="110"/>
      <c r="G356" s="110"/>
      <c r="H356" s="110"/>
      <c r="I356" s="111"/>
      <c r="J356" s="112"/>
      <c r="K356" s="112"/>
      <c r="L356" s="112"/>
      <c r="M356" s="113"/>
      <c r="N356" s="108"/>
      <c r="O356" s="108"/>
    </row>
    <row r="357" ht="6.0" customHeight="1">
      <c r="A357" s="108"/>
      <c r="B357" s="108"/>
      <c r="C357" s="109"/>
      <c r="D357" s="109"/>
      <c r="E357" s="109"/>
      <c r="F357" s="110"/>
      <c r="G357" s="110"/>
      <c r="H357" s="110"/>
      <c r="I357" s="111"/>
      <c r="J357" s="112"/>
      <c r="K357" s="112"/>
      <c r="L357" s="112"/>
      <c r="M357" s="113"/>
      <c r="N357" s="108"/>
      <c r="O357" s="108"/>
    </row>
    <row r="358" ht="6.0" customHeight="1">
      <c r="A358" s="108"/>
      <c r="B358" s="108"/>
      <c r="C358" s="109"/>
      <c r="D358" s="109"/>
      <c r="E358" s="109"/>
      <c r="F358" s="110"/>
      <c r="G358" s="110"/>
      <c r="H358" s="110"/>
      <c r="I358" s="111"/>
      <c r="J358" s="112"/>
      <c r="K358" s="112"/>
      <c r="L358" s="112"/>
      <c r="M358" s="113"/>
      <c r="N358" s="108"/>
      <c r="O358" s="108"/>
    </row>
    <row r="359" ht="6.0" customHeight="1">
      <c r="A359" s="108"/>
      <c r="B359" s="108"/>
      <c r="C359" s="109"/>
      <c r="D359" s="109"/>
      <c r="E359" s="109"/>
      <c r="F359" s="110"/>
      <c r="G359" s="110"/>
      <c r="H359" s="110"/>
      <c r="I359" s="111"/>
      <c r="J359" s="112"/>
      <c r="K359" s="112"/>
      <c r="L359" s="112"/>
      <c r="M359" s="113"/>
      <c r="N359" s="108"/>
      <c r="O359" s="108"/>
    </row>
    <row r="360" ht="6.0" customHeight="1">
      <c r="A360" s="108"/>
      <c r="B360" s="108"/>
      <c r="C360" s="109"/>
      <c r="D360" s="109"/>
      <c r="E360" s="109"/>
      <c r="F360" s="110"/>
      <c r="G360" s="110"/>
      <c r="H360" s="110"/>
      <c r="I360" s="111"/>
      <c r="J360" s="112"/>
      <c r="K360" s="112"/>
      <c r="L360" s="112"/>
      <c r="M360" s="113"/>
      <c r="N360" s="108"/>
      <c r="O360" s="108"/>
    </row>
    <row r="361" ht="6.0" customHeight="1">
      <c r="A361" s="108"/>
      <c r="B361" s="108"/>
      <c r="C361" s="109"/>
      <c r="D361" s="109"/>
      <c r="E361" s="109"/>
      <c r="F361" s="110"/>
      <c r="G361" s="110"/>
      <c r="H361" s="110"/>
      <c r="I361" s="111"/>
      <c r="J361" s="112"/>
      <c r="K361" s="112"/>
      <c r="L361" s="112"/>
      <c r="M361" s="113"/>
      <c r="N361" s="108"/>
      <c r="O361" s="108"/>
    </row>
    <row r="362" ht="6.0" customHeight="1">
      <c r="A362" s="108"/>
      <c r="B362" s="108"/>
      <c r="C362" s="109"/>
      <c r="D362" s="109"/>
      <c r="E362" s="109"/>
      <c r="F362" s="110"/>
      <c r="G362" s="110"/>
      <c r="H362" s="110"/>
      <c r="I362" s="111"/>
      <c r="J362" s="112"/>
      <c r="K362" s="112"/>
      <c r="L362" s="112"/>
      <c r="M362" s="113"/>
      <c r="N362" s="108"/>
      <c r="O362" s="108"/>
    </row>
    <row r="363" ht="6.0" customHeight="1">
      <c r="A363" s="108"/>
      <c r="B363" s="108"/>
      <c r="C363" s="109"/>
      <c r="D363" s="109"/>
      <c r="E363" s="109"/>
      <c r="F363" s="110"/>
      <c r="G363" s="110"/>
      <c r="H363" s="110"/>
      <c r="I363" s="111"/>
      <c r="J363" s="112"/>
      <c r="K363" s="112"/>
      <c r="L363" s="112"/>
      <c r="M363" s="113"/>
      <c r="N363" s="108"/>
      <c r="O363" s="108"/>
    </row>
    <row r="364" ht="6.0" customHeight="1">
      <c r="A364" s="108"/>
      <c r="B364" s="108"/>
      <c r="C364" s="109"/>
      <c r="D364" s="109"/>
      <c r="E364" s="109"/>
      <c r="F364" s="110"/>
      <c r="G364" s="110"/>
      <c r="H364" s="110"/>
      <c r="I364" s="111"/>
      <c r="J364" s="112"/>
      <c r="K364" s="112"/>
      <c r="L364" s="112"/>
      <c r="M364" s="113"/>
      <c r="N364" s="108"/>
      <c r="O364" s="108"/>
    </row>
    <row r="365" ht="6.0" customHeight="1">
      <c r="A365" s="108"/>
      <c r="B365" s="108"/>
      <c r="C365" s="109"/>
      <c r="D365" s="109"/>
      <c r="E365" s="109"/>
      <c r="F365" s="110"/>
      <c r="G365" s="110"/>
      <c r="H365" s="110"/>
      <c r="I365" s="111"/>
      <c r="J365" s="112"/>
      <c r="K365" s="112"/>
      <c r="L365" s="112"/>
      <c r="M365" s="113"/>
      <c r="N365" s="108"/>
      <c r="O365" s="108"/>
    </row>
    <row r="366" ht="6.0" customHeight="1">
      <c r="A366" s="108"/>
      <c r="B366" s="108"/>
      <c r="C366" s="109"/>
      <c r="D366" s="109"/>
      <c r="E366" s="109"/>
      <c r="F366" s="110"/>
      <c r="G366" s="110"/>
      <c r="H366" s="110"/>
      <c r="I366" s="111"/>
      <c r="J366" s="112"/>
      <c r="K366" s="112"/>
      <c r="L366" s="112"/>
      <c r="M366" s="113"/>
      <c r="N366" s="108"/>
      <c r="O366" s="108"/>
    </row>
    <row r="367" ht="6.0" customHeight="1">
      <c r="A367" s="108"/>
      <c r="B367" s="108"/>
      <c r="C367" s="109"/>
      <c r="D367" s="109"/>
      <c r="E367" s="109"/>
      <c r="F367" s="110"/>
      <c r="G367" s="110"/>
      <c r="H367" s="110"/>
      <c r="I367" s="111"/>
      <c r="J367" s="112"/>
      <c r="K367" s="112"/>
      <c r="L367" s="112"/>
      <c r="M367" s="113"/>
      <c r="N367" s="108"/>
      <c r="O367" s="108"/>
    </row>
    <row r="368" ht="6.0" customHeight="1">
      <c r="A368" s="108"/>
      <c r="B368" s="108"/>
      <c r="C368" s="109"/>
      <c r="D368" s="109"/>
      <c r="E368" s="109"/>
      <c r="F368" s="110"/>
      <c r="G368" s="110"/>
      <c r="H368" s="110"/>
      <c r="I368" s="111"/>
      <c r="J368" s="112"/>
      <c r="K368" s="112"/>
      <c r="L368" s="112"/>
      <c r="M368" s="113"/>
      <c r="N368" s="108"/>
      <c r="O368" s="108"/>
    </row>
    <row r="369" ht="6.0" customHeight="1">
      <c r="A369" s="108"/>
      <c r="B369" s="108"/>
      <c r="C369" s="109"/>
      <c r="D369" s="109"/>
      <c r="E369" s="109"/>
      <c r="F369" s="110"/>
      <c r="G369" s="110"/>
      <c r="H369" s="110"/>
      <c r="I369" s="111"/>
      <c r="J369" s="112"/>
      <c r="K369" s="112"/>
      <c r="L369" s="112"/>
      <c r="M369" s="113"/>
      <c r="N369" s="108"/>
      <c r="O369" s="108"/>
    </row>
    <row r="370" ht="6.0" customHeight="1">
      <c r="A370" s="108"/>
      <c r="B370" s="108"/>
      <c r="C370" s="109"/>
      <c r="D370" s="109"/>
      <c r="E370" s="109"/>
      <c r="F370" s="110"/>
      <c r="G370" s="110"/>
      <c r="H370" s="110"/>
      <c r="I370" s="111"/>
      <c r="J370" s="112"/>
      <c r="K370" s="112"/>
      <c r="L370" s="112"/>
      <c r="M370" s="113"/>
      <c r="N370" s="108"/>
      <c r="O370" s="108"/>
    </row>
    <row r="371" ht="6.0" customHeight="1">
      <c r="A371" s="108"/>
      <c r="B371" s="108"/>
      <c r="C371" s="109"/>
      <c r="D371" s="109"/>
      <c r="E371" s="109"/>
      <c r="F371" s="110"/>
      <c r="G371" s="110"/>
      <c r="H371" s="110"/>
      <c r="I371" s="111"/>
      <c r="J371" s="112"/>
      <c r="K371" s="112"/>
      <c r="L371" s="112"/>
      <c r="M371" s="113"/>
      <c r="N371" s="108"/>
      <c r="O371" s="108"/>
    </row>
    <row r="372" ht="6.0" customHeight="1">
      <c r="A372" s="108"/>
      <c r="B372" s="108"/>
      <c r="C372" s="109"/>
      <c r="D372" s="109"/>
      <c r="E372" s="109"/>
      <c r="F372" s="110"/>
      <c r="G372" s="110"/>
      <c r="H372" s="110"/>
      <c r="I372" s="111"/>
      <c r="J372" s="112"/>
      <c r="K372" s="112"/>
      <c r="L372" s="112"/>
      <c r="M372" s="113"/>
      <c r="N372" s="108"/>
      <c r="O372" s="108"/>
    </row>
    <row r="373" ht="6.0" customHeight="1">
      <c r="A373" s="108"/>
      <c r="B373" s="108"/>
      <c r="C373" s="109"/>
      <c r="D373" s="109"/>
      <c r="E373" s="109"/>
      <c r="F373" s="110"/>
      <c r="G373" s="110"/>
      <c r="H373" s="110"/>
      <c r="I373" s="111"/>
      <c r="J373" s="112"/>
      <c r="K373" s="112"/>
      <c r="L373" s="112"/>
      <c r="M373" s="113"/>
      <c r="N373" s="108"/>
      <c r="O373" s="108"/>
    </row>
    <row r="374" ht="6.0" customHeight="1">
      <c r="A374" s="108"/>
      <c r="B374" s="108"/>
      <c r="C374" s="109"/>
      <c r="D374" s="109"/>
      <c r="E374" s="109"/>
      <c r="F374" s="110"/>
      <c r="G374" s="110"/>
      <c r="H374" s="110"/>
      <c r="I374" s="111"/>
      <c r="J374" s="112"/>
      <c r="K374" s="112"/>
      <c r="L374" s="112"/>
      <c r="M374" s="113"/>
      <c r="N374" s="108"/>
      <c r="O374" s="108"/>
    </row>
    <row r="375" ht="6.0" customHeight="1">
      <c r="A375" s="108"/>
      <c r="B375" s="108"/>
      <c r="C375" s="109"/>
      <c r="D375" s="109"/>
      <c r="E375" s="109"/>
      <c r="F375" s="110"/>
      <c r="G375" s="110"/>
      <c r="H375" s="110"/>
      <c r="I375" s="111"/>
      <c r="J375" s="112"/>
      <c r="K375" s="112"/>
      <c r="L375" s="112"/>
      <c r="M375" s="113"/>
      <c r="N375" s="108"/>
      <c r="O375" s="108"/>
    </row>
    <row r="376" ht="6.0" customHeight="1">
      <c r="A376" s="108"/>
      <c r="B376" s="108"/>
      <c r="C376" s="109"/>
      <c r="D376" s="109"/>
      <c r="E376" s="109"/>
      <c r="F376" s="110"/>
      <c r="G376" s="110"/>
      <c r="H376" s="110"/>
      <c r="I376" s="111"/>
      <c r="J376" s="112"/>
      <c r="K376" s="112"/>
      <c r="L376" s="112"/>
      <c r="M376" s="113"/>
      <c r="N376" s="108"/>
      <c r="O376" s="108"/>
    </row>
    <row r="377" ht="6.0" customHeight="1">
      <c r="A377" s="108"/>
      <c r="B377" s="108"/>
      <c r="C377" s="109"/>
      <c r="D377" s="109"/>
      <c r="E377" s="109"/>
      <c r="F377" s="110"/>
      <c r="G377" s="110"/>
      <c r="H377" s="110"/>
      <c r="I377" s="111"/>
      <c r="J377" s="112"/>
      <c r="K377" s="112"/>
      <c r="L377" s="112"/>
      <c r="M377" s="113"/>
      <c r="N377" s="108"/>
      <c r="O377" s="108"/>
    </row>
    <row r="378" ht="6.0" customHeight="1">
      <c r="A378" s="108"/>
      <c r="B378" s="108"/>
      <c r="C378" s="109"/>
      <c r="D378" s="109"/>
      <c r="E378" s="109"/>
      <c r="F378" s="110"/>
      <c r="G378" s="110"/>
      <c r="H378" s="110"/>
      <c r="I378" s="111"/>
      <c r="J378" s="112"/>
      <c r="K378" s="112"/>
      <c r="L378" s="112"/>
      <c r="M378" s="113"/>
      <c r="N378" s="108"/>
      <c r="O378" s="108"/>
    </row>
    <row r="379" ht="6.0" customHeight="1">
      <c r="A379" s="108"/>
      <c r="B379" s="108"/>
      <c r="C379" s="109"/>
      <c r="D379" s="109"/>
      <c r="E379" s="109"/>
      <c r="F379" s="110"/>
      <c r="G379" s="110"/>
      <c r="H379" s="110"/>
      <c r="I379" s="111"/>
      <c r="J379" s="112"/>
      <c r="K379" s="112"/>
      <c r="L379" s="112"/>
      <c r="M379" s="113"/>
      <c r="N379" s="108"/>
      <c r="O379" s="108"/>
    </row>
    <row r="380" ht="6.0" customHeight="1">
      <c r="A380" s="108"/>
      <c r="B380" s="108"/>
      <c r="C380" s="109"/>
      <c r="D380" s="109"/>
      <c r="E380" s="109"/>
      <c r="F380" s="110"/>
      <c r="G380" s="110"/>
      <c r="H380" s="110"/>
      <c r="I380" s="111"/>
      <c r="J380" s="112"/>
      <c r="K380" s="112"/>
      <c r="L380" s="112"/>
      <c r="M380" s="113"/>
      <c r="N380" s="108"/>
      <c r="O380" s="108"/>
    </row>
    <row r="381" ht="6.0" customHeight="1">
      <c r="A381" s="108"/>
      <c r="B381" s="108"/>
      <c r="C381" s="109"/>
      <c r="D381" s="109"/>
      <c r="E381" s="109"/>
      <c r="F381" s="110"/>
      <c r="G381" s="110"/>
      <c r="H381" s="110"/>
      <c r="I381" s="111"/>
      <c r="J381" s="112"/>
      <c r="K381" s="112"/>
      <c r="L381" s="112"/>
      <c r="M381" s="113"/>
      <c r="N381" s="108"/>
      <c r="O381" s="108"/>
    </row>
    <row r="382" ht="6.0" customHeight="1">
      <c r="A382" s="108"/>
      <c r="B382" s="108"/>
      <c r="C382" s="109"/>
      <c r="D382" s="109"/>
      <c r="E382" s="109"/>
      <c r="F382" s="110"/>
      <c r="G382" s="110"/>
      <c r="H382" s="110"/>
      <c r="I382" s="111"/>
      <c r="J382" s="112"/>
      <c r="K382" s="112"/>
      <c r="L382" s="112"/>
      <c r="M382" s="113"/>
      <c r="N382" s="108"/>
      <c r="O382" s="108"/>
    </row>
    <row r="383" ht="6.0" customHeight="1">
      <c r="A383" s="108"/>
      <c r="B383" s="108"/>
      <c r="C383" s="109"/>
      <c r="D383" s="109"/>
      <c r="E383" s="109"/>
      <c r="F383" s="110"/>
      <c r="G383" s="110"/>
      <c r="H383" s="110"/>
      <c r="I383" s="111"/>
      <c r="J383" s="112"/>
      <c r="K383" s="112"/>
      <c r="L383" s="112"/>
      <c r="M383" s="113"/>
      <c r="N383" s="108"/>
      <c r="O383" s="108"/>
    </row>
    <row r="384" ht="6.0" customHeight="1">
      <c r="A384" s="108"/>
      <c r="B384" s="108"/>
      <c r="C384" s="109"/>
      <c r="D384" s="109"/>
      <c r="E384" s="109"/>
      <c r="F384" s="110"/>
      <c r="G384" s="110"/>
      <c r="H384" s="110"/>
      <c r="I384" s="111"/>
      <c r="J384" s="112"/>
      <c r="K384" s="112"/>
      <c r="L384" s="112"/>
      <c r="M384" s="113"/>
      <c r="N384" s="108"/>
      <c r="O384" s="108"/>
    </row>
    <row r="385" ht="6.0" customHeight="1">
      <c r="A385" s="108"/>
      <c r="B385" s="108"/>
      <c r="C385" s="109"/>
      <c r="D385" s="109"/>
      <c r="E385" s="109"/>
      <c r="F385" s="110"/>
      <c r="G385" s="110"/>
      <c r="H385" s="110"/>
      <c r="I385" s="111"/>
      <c r="J385" s="112"/>
      <c r="K385" s="112"/>
      <c r="L385" s="112"/>
      <c r="M385" s="113"/>
      <c r="N385" s="108"/>
      <c r="O385" s="108"/>
    </row>
    <row r="386" ht="6.0" customHeight="1">
      <c r="A386" s="108"/>
      <c r="B386" s="108"/>
      <c r="C386" s="109"/>
      <c r="D386" s="109"/>
      <c r="E386" s="109"/>
      <c r="F386" s="110"/>
      <c r="G386" s="110"/>
      <c r="H386" s="110"/>
      <c r="I386" s="111"/>
      <c r="J386" s="112"/>
      <c r="K386" s="112"/>
      <c r="L386" s="112"/>
      <c r="M386" s="113"/>
      <c r="N386" s="108"/>
      <c r="O386" s="108"/>
    </row>
    <row r="387" ht="6.0" customHeight="1">
      <c r="A387" s="108"/>
      <c r="B387" s="108"/>
      <c r="C387" s="109"/>
      <c r="D387" s="109"/>
      <c r="E387" s="109"/>
      <c r="F387" s="110"/>
      <c r="G387" s="110"/>
      <c r="H387" s="110"/>
      <c r="I387" s="111"/>
      <c r="J387" s="112"/>
      <c r="K387" s="112"/>
      <c r="L387" s="112"/>
      <c r="M387" s="113"/>
      <c r="N387" s="108"/>
      <c r="O387" s="108"/>
    </row>
    <row r="388" ht="6.0" customHeight="1">
      <c r="A388" s="108"/>
      <c r="B388" s="108"/>
      <c r="C388" s="109"/>
      <c r="D388" s="109"/>
      <c r="E388" s="109"/>
      <c r="F388" s="110"/>
      <c r="G388" s="110"/>
      <c r="H388" s="110"/>
      <c r="I388" s="111"/>
      <c r="J388" s="112"/>
      <c r="K388" s="112"/>
      <c r="L388" s="112"/>
      <c r="M388" s="113"/>
      <c r="N388" s="108"/>
      <c r="O388" s="108"/>
    </row>
    <row r="389" ht="6.0" customHeight="1">
      <c r="A389" s="108"/>
      <c r="B389" s="108"/>
      <c r="C389" s="109"/>
      <c r="D389" s="109"/>
      <c r="E389" s="109"/>
      <c r="F389" s="110"/>
      <c r="G389" s="110"/>
      <c r="H389" s="110"/>
      <c r="I389" s="111"/>
      <c r="J389" s="112"/>
      <c r="K389" s="112"/>
      <c r="L389" s="112"/>
      <c r="M389" s="113"/>
      <c r="N389" s="108"/>
      <c r="O389" s="108"/>
    </row>
    <row r="390" ht="6.0" customHeight="1">
      <c r="A390" s="108"/>
      <c r="B390" s="108"/>
      <c r="C390" s="109"/>
      <c r="D390" s="109"/>
      <c r="E390" s="109"/>
      <c r="F390" s="110"/>
      <c r="G390" s="110"/>
      <c r="H390" s="110"/>
      <c r="I390" s="111"/>
      <c r="J390" s="112"/>
      <c r="K390" s="112"/>
      <c r="L390" s="112"/>
      <c r="M390" s="113"/>
      <c r="N390" s="108"/>
      <c r="O390" s="108"/>
    </row>
    <row r="391" ht="6.0" customHeight="1">
      <c r="A391" s="108"/>
      <c r="B391" s="108"/>
      <c r="C391" s="109"/>
      <c r="D391" s="109"/>
      <c r="E391" s="109"/>
      <c r="F391" s="110"/>
      <c r="G391" s="110"/>
      <c r="H391" s="110"/>
      <c r="I391" s="111"/>
      <c r="J391" s="112"/>
      <c r="K391" s="112"/>
      <c r="L391" s="112"/>
      <c r="M391" s="113"/>
      <c r="N391" s="108"/>
      <c r="O391" s="108"/>
    </row>
    <row r="392" ht="6.0" customHeight="1">
      <c r="A392" s="108"/>
      <c r="B392" s="108"/>
      <c r="C392" s="109"/>
      <c r="D392" s="109"/>
      <c r="E392" s="109"/>
      <c r="F392" s="110"/>
      <c r="G392" s="110"/>
      <c r="H392" s="110"/>
      <c r="I392" s="111"/>
      <c r="J392" s="112"/>
      <c r="K392" s="112"/>
      <c r="L392" s="112"/>
      <c r="M392" s="113"/>
      <c r="N392" s="108"/>
      <c r="O392" s="108"/>
    </row>
    <row r="393" ht="6.0" customHeight="1">
      <c r="A393" s="108"/>
      <c r="B393" s="108"/>
      <c r="C393" s="109"/>
      <c r="D393" s="109"/>
      <c r="E393" s="109"/>
      <c r="F393" s="110"/>
      <c r="G393" s="110"/>
      <c r="H393" s="110"/>
      <c r="I393" s="111"/>
      <c r="J393" s="112"/>
      <c r="K393" s="112"/>
      <c r="L393" s="112"/>
      <c r="M393" s="113"/>
      <c r="N393" s="108"/>
      <c r="O393" s="108"/>
    </row>
    <row r="394" ht="6.0" customHeight="1">
      <c r="A394" s="108"/>
      <c r="B394" s="108"/>
      <c r="C394" s="109"/>
      <c r="D394" s="109"/>
      <c r="E394" s="109"/>
      <c r="F394" s="110"/>
      <c r="G394" s="110"/>
      <c r="H394" s="110"/>
      <c r="I394" s="111"/>
      <c r="J394" s="112"/>
      <c r="K394" s="112"/>
      <c r="L394" s="112"/>
      <c r="M394" s="113"/>
      <c r="N394" s="108"/>
      <c r="O394" s="108"/>
    </row>
    <row r="395" ht="6.0" customHeight="1">
      <c r="A395" s="108"/>
      <c r="B395" s="108"/>
      <c r="C395" s="109"/>
      <c r="D395" s="109"/>
      <c r="E395" s="109"/>
      <c r="F395" s="110"/>
      <c r="G395" s="110"/>
      <c r="H395" s="110"/>
      <c r="I395" s="111"/>
      <c r="J395" s="112"/>
      <c r="K395" s="112"/>
      <c r="L395" s="112"/>
      <c r="M395" s="113"/>
      <c r="N395" s="108"/>
      <c r="O395" s="108"/>
    </row>
    <row r="396" ht="6.0" customHeight="1">
      <c r="A396" s="108"/>
      <c r="B396" s="108"/>
      <c r="C396" s="109"/>
      <c r="D396" s="109"/>
      <c r="E396" s="109"/>
      <c r="F396" s="110"/>
      <c r="G396" s="110"/>
      <c r="H396" s="110"/>
      <c r="I396" s="111"/>
      <c r="J396" s="112"/>
      <c r="K396" s="112"/>
      <c r="L396" s="112"/>
      <c r="M396" s="113"/>
      <c r="N396" s="108"/>
      <c r="O396" s="108"/>
    </row>
    <row r="397" ht="6.0" customHeight="1">
      <c r="A397" s="108"/>
      <c r="B397" s="108"/>
      <c r="C397" s="109"/>
      <c r="D397" s="109"/>
      <c r="E397" s="109"/>
      <c r="F397" s="110"/>
      <c r="G397" s="110"/>
      <c r="H397" s="110"/>
      <c r="I397" s="111"/>
      <c r="J397" s="112"/>
      <c r="K397" s="112"/>
      <c r="L397" s="112"/>
      <c r="M397" s="113"/>
      <c r="N397" s="108"/>
      <c r="O397" s="108"/>
    </row>
    <row r="398" ht="6.0" customHeight="1">
      <c r="A398" s="108"/>
      <c r="B398" s="108"/>
      <c r="C398" s="109"/>
      <c r="D398" s="109"/>
      <c r="E398" s="109"/>
      <c r="F398" s="110"/>
      <c r="G398" s="110"/>
      <c r="H398" s="110"/>
      <c r="I398" s="111"/>
      <c r="J398" s="112"/>
      <c r="K398" s="112"/>
      <c r="L398" s="112"/>
      <c r="M398" s="113"/>
      <c r="N398" s="108"/>
      <c r="O398" s="108"/>
    </row>
    <row r="399" ht="6.0" customHeight="1">
      <c r="A399" s="108"/>
      <c r="B399" s="108"/>
      <c r="C399" s="109"/>
      <c r="D399" s="109"/>
      <c r="E399" s="109"/>
      <c r="F399" s="110"/>
      <c r="G399" s="110"/>
      <c r="H399" s="110"/>
      <c r="I399" s="111"/>
      <c r="J399" s="112"/>
      <c r="K399" s="112"/>
      <c r="L399" s="112"/>
      <c r="M399" s="113"/>
      <c r="N399" s="108"/>
      <c r="O399" s="108"/>
    </row>
    <row r="400" ht="6.0" customHeight="1">
      <c r="A400" s="108"/>
      <c r="B400" s="108"/>
      <c r="C400" s="109"/>
      <c r="D400" s="109"/>
      <c r="E400" s="109"/>
      <c r="F400" s="110"/>
      <c r="G400" s="110"/>
      <c r="H400" s="110"/>
      <c r="I400" s="111"/>
      <c r="J400" s="112"/>
      <c r="K400" s="112"/>
      <c r="L400" s="112"/>
      <c r="M400" s="113"/>
      <c r="N400" s="108"/>
      <c r="O400" s="108"/>
    </row>
    <row r="401" ht="6.0" customHeight="1">
      <c r="A401" s="108"/>
      <c r="B401" s="108"/>
      <c r="C401" s="109"/>
      <c r="D401" s="109"/>
      <c r="E401" s="109"/>
      <c r="F401" s="110"/>
      <c r="G401" s="110"/>
      <c r="H401" s="110"/>
      <c r="I401" s="111"/>
      <c r="J401" s="112"/>
      <c r="K401" s="112"/>
      <c r="L401" s="112"/>
      <c r="M401" s="113"/>
      <c r="N401" s="108"/>
      <c r="O401" s="108"/>
    </row>
    <row r="402" ht="6.0" customHeight="1">
      <c r="A402" s="108"/>
      <c r="B402" s="108"/>
      <c r="C402" s="109"/>
      <c r="D402" s="109"/>
      <c r="E402" s="109"/>
      <c r="F402" s="110"/>
      <c r="G402" s="110"/>
      <c r="H402" s="110"/>
      <c r="I402" s="111"/>
      <c r="J402" s="112"/>
      <c r="K402" s="112"/>
      <c r="L402" s="112"/>
      <c r="M402" s="113"/>
      <c r="N402" s="108"/>
      <c r="O402" s="108"/>
    </row>
    <row r="403" ht="6.0" customHeight="1">
      <c r="A403" s="108"/>
      <c r="B403" s="108"/>
      <c r="C403" s="109"/>
      <c r="D403" s="109"/>
      <c r="E403" s="109"/>
      <c r="F403" s="110"/>
      <c r="G403" s="110"/>
      <c r="H403" s="110"/>
      <c r="I403" s="111"/>
      <c r="J403" s="112"/>
      <c r="K403" s="112"/>
      <c r="L403" s="112"/>
      <c r="M403" s="113"/>
      <c r="N403" s="108"/>
      <c r="O403" s="108"/>
    </row>
    <row r="404" ht="6.0" customHeight="1">
      <c r="A404" s="108"/>
      <c r="B404" s="108"/>
      <c r="C404" s="109"/>
      <c r="D404" s="109"/>
      <c r="E404" s="109"/>
      <c r="F404" s="110"/>
      <c r="G404" s="110"/>
      <c r="H404" s="110"/>
      <c r="I404" s="111"/>
      <c r="J404" s="112"/>
      <c r="K404" s="112"/>
      <c r="L404" s="112"/>
      <c r="M404" s="113"/>
      <c r="N404" s="108"/>
      <c r="O404" s="108"/>
    </row>
    <row r="405" ht="6.0" customHeight="1">
      <c r="A405" s="108"/>
      <c r="B405" s="108"/>
      <c r="C405" s="109"/>
      <c r="D405" s="109"/>
      <c r="E405" s="109"/>
      <c r="F405" s="110"/>
      <c r="G405" s="110"/>
      <c r="H405" s="110"/>
      <c r="I405" s="111"/>
      <c r="J405" s="112"/>
      <c r="K405" s="112"/>
      <c r="L405" s="112"/>
      <c r="M405" s="113"/>
      <c r="N405" s="108"/>
      <c r="O405" s="108"/>
    </row>
    <row r="406" ht="6.0" customHeight="1">
      <c r="A406" s="108"/>
      <c r="B406" s="108"/>
      <c r="C406" s="109"/>
      <c r="D406" s="109"/>
      <c r="E406" s="109"/>
      <c r="F406" s="110"/>
      <c r="G406" s="110"/>
      <c r="H406" s="110"/>
      <c r="I406" s="111"/>
      <c r="J406" s="112"/>
      <c r="K406" s="112"/>
      <c r="L406" s="112"/>
      <c r="M406" s="113"/>
      <c r="N406" s="108"/>
      <c r="O406" s="108"/>
    </row>
    <row r="407" ht="6.0" customHeight="1">
      <c r="A407" s="108"/>
      <c r="B407" s="108"/>
      <c r="C407" s="109"/>
      <c r="D407" s="109"/>
      <c r="E407" s="109"/>
      <c r="F407" s="110"/>
      <c r="G407" s="110"/>
      <c r="H407" s="110"/>
      <c r="I407" s="111"/>
      <c r="J407" s="112"/>
      <c r="K407" s="112"/>
      <c r="L407" s="112"/>
      <c r="M407" s="113"/>
      <c r="N407" s="108"/>
      <c r="O407" s="108"/>
    </row>
    <row r="408" ht="6.0" customHeight="1">
      <c r="A408" s="108"/>
      <c r="B408" s="108"/>
      <c r="C408" s="109"/>
      <c r="D408" s="109"/>
      <c r="E408" s="109"/>
      <c r="F408" s="110"/>
      <c r="G408" s="110"/>
      <c r="H408" s="110"/>
      <c r="I408" s="111"/>
      <c r="J408" s="112"/>
      <c r="K408" s="112"/>
      <c r="L408" s="112"/>
      <c r="M408" s="113"/>
      <c r="N408" s="108"/>
      <c r="O408" s="108"/>
    </row>
    <row r="409" ht="6.0" customHeight="1">
      <c r="A409" s="108"/>
      <c r="B409" s="108"/>
      <c r="C409" s="109"/>
      <c r="D409" s="109"/>
      <c r="E409" s="109"/>
      <c r="F409" s="110"/>
      <c r="G409" s="110"/>
      <c r="H409" s="110"/>
      <c r="I409" s="111"/>
      <c r="J409" s="112"/>
      <c r="K409" s="112"/>
      <c r="L409" s="112"/>
      <c r="M409" s="113"/>
      <c r="N409" s="108"/>
      <c r="O409" s="108"/>
    </row>
    <row r="410" ht="6.0" customHeight="1">
      <c r="A410" s="108"/>
      <c r="B410" s="108"/>
      <c r="C410" s="109"/>
      <c r="D410" s="109"/>
      <c r="E410" s="109"/>
      <c r="F410" s="110"/>
      <c r="G410" s="110"/>
      <c r="H410" s="110"/>
      <c r="I410" s="111"/>
      <c r="J410" s="112"/>
      <c r="K410" s="112"/>
      <c r="L410" s="112"/>
      <c r="M410" s="113"/>
      <c r="N410" s="108"/>
      <c r="O410" s="108"/>
    </row>
    <row r="411" ht="6.0" customHeight="1">
      <c r="A411" s="108"/>
      <c r="B411" s="108"/>
      <c r="C411" s="109"/>
      <c r="D411" s="109"/>
      <c r="E411" s="109"/>
      <c r="F411" s="110"/>
      <c r="G411" s="110"/>
      <c r="H411" s="110"/>
      <c r="I411" s="111"/>
      <c r="J411" s="112"/>
      <c r="K411" s="112"/>
      <c r="L411" s="112"/>
      <c r="M411" s="113"/>
      <c r="N411" s="108"/>
      <c r="O411" s="108"/>
    </row>
    <row r="412" ht="6.0" customHeight="1">
      <c r="A412" s="108"/>
      <c r="B412" s="108"/>
      <c r="C412" s="109"/>
      <c r="D412" s="109"/>
      <c r="E412" s="109"/>
      <c r="F412" s="110"/>
      <c r="G412" s="110"/>
      <c r="H412" s="110"/>
      <c r="I412" s="111"/>
      <c r="J412" s="112"/>
      <c r="K412" s="112"/>
      <c r="L412" s="112"/>
      <c r="M412" s="113"/>
      <c r="N412" s="108"/>
      <c r="O412" s="108"/>
    </row>
    <row r="413" ht="6.0" customHeight="1">
      <c r="A413" s="108"/>
      <c r="B413" s="108"/>
      <c r="C413" s="109"/>
      <c r="D413" s="109"/>
      <c r="E413" s="109"/>
      <c r="F413" s="110"/>
      <c r="G413" s="110"/>
      <c r="H413" s="110"/>
      <c r="I413" s="111"/>
      <c r="J413" s="112"/>
      <c r="K413" s="112"/>
      <c r="L413" s="112"/>
      <c r="M413" s="113"/>
      <c r="N413" s="108"/>
      <c r="O413" s="108"/>
    </row>
    <row r="414" ht="6.0" customHeight="1">
      <c r="A414" s="108"/>
      <c r="B414" s="108"/>
      <c r="C414" s="109"/>
      <c r="D414" s="109"/>
      <c r="E414" s="109"/>
      <c r="F414" s="110"/>
      <c r="G414" s="110"/>
      <c r="H414" s="110"/>
      <c r="I414" s="111"/>
      <c r="J414" s="112"/>
      <c r="K414" s="112"/>
      <c r="L414" s="112"/>
      <c r="M414" s="113"/>
      <c r="N414" s="108"/>
      <c r="O414" s="108"/>
    </row>
    <row r="415" ht="6.0" customHeight="1">
      <c r="A415" s="108"/>
      <c r="B415" s="108"/>
      <c r="C415" s="109"/>
      <c r="D415" s="109"/>
      <c r="E415" s="109"/>
      <c r="F415" s="110"/>
      <c r="G415" s="110"/>
      <c r="H415" s="110"/>
      <c r="I415" s="111"/>
      <c r="J415" s="112"/>
      <c r="K415" s="112"/>
      <c r="L415" s="112"/>
      <c r="M415" s="113"/>
      <c r="N415" s="108"/>
      <c r="O415" s="108"/>
    </row>
    <row r="416" ht="6.0" customHeight="1">
      <c r="A416" s="108"/>
      <c r="B416" s="108"/>
      <c r="C416" s="109"/>
      <c r="D416" s="109"/>
      <c r="E416" s="109"/>
      <c r="F416" s="110"/>
      <c r="G416" s="110"/>
      <c r="H416" s="110"/>
      <c r="I416" s="111"/>
      <c r="J416" s="112"/>
      <c r="K416" s="112"/>
      <c r="L416" s="112"/>
      <c r="M416" s="113"/>
      <c r="N416" s="108"/>
      <c r="O416" s="108"/>
    </row>
    <row r="417" ht="6.0" customHeight="1">
      <c r="A417" s="108"/>
      <c r="B417" s="108"/>
      <c r="C417" s="109"/>
      <c r="D417" s="109"/>
      <c r="E417" s="109"/>
      <c r="F417" s="110"/>
      <c r="G417" s="110"/>
      <c r="H417" s="110"/>
      <c r="I417" s="111"/>
      <c r="J417" s="112"/>
      <c r="K417" s="112"/>
      <c r="L417" s="112"/>
      <c r="M417" s="113"/>
      <c r="N417" s="108"/>
      <c r="O417" s="108"/>
    </row>
    <row r="418" ht="6.0" customHeight="1">
      <c r="A418" s="108"/>
      <c r="B418" s="108"/>
      <c r="C418" s="109"/>
      <c r="D418" s="109"/>
      <c r="E418" s="109"/>
      <c r="F418" s="110"/>
      <c r="G418" s="110"/>
      <c r="H418" s="110"/>
      <c r="I418" s="111"/>
      <c r="J418" s="112"/>
      <c r="K418" s="112"/>
      <c r="L418" s="112"/>
      <c r="M418" s="113"/>
      <c r="N418" s="108"/>
      <c r="O418" s="108"/>
    </row>
    <row r="419" ht="6.0" customHeight="1">
      <c r="A419" s="108"/>
      <c r="B419" s="108"/>
      <c r="C419" s="109"/>
      <c r="D419" s="109"/>
      <c r="E419" s="109"/>
      <c r="F419" s="110"/>
      <c r="G419" s="110"/>
      <c r="H419" s="110"/>
      <c r="I419" s="111"/>
      <c r="J419" s="112"/>
      <c r="K419" s="112"/>
      <c r="L419" s="112"/>
      <c r="M419" s="113"/>
      <c r="N419" s="108"/>
      <c r="O419" s="108"/>
    </row>
    <row r="420" ht="6.0" customHeight="1">
      <c r="A420" s="108"/>
      <c r="B420" s="108"/>
      <c r="C420" s="109"/>
      <c r="D420" s="109"/>
      <c r="E420" s="109"/>
      <c r="F420" s="110"/>
      <c r="G420" s="110"/>
      <c r="H420" s="110"/>
      <c r="I420" s="111"/>
      <c r="J420" s="112"/>
      <c r="K420" s="112"/>
      <c r="L420" s="112"/>
      <c r="M420" s="113"/>
      <c r="N420" s="108"/>
      <c r="O420" s="108"/>
    </row>
    <row r="421" ht="6.0" customHeight="1">
      <c r="A421" s="108"/>
      <c r="B421" s="108"/>
      <c r="C421" s="109"/>
      <c r="D421" s="109"/>
      <c r="E421" s="109"/>
      <c r="F421" s="110"/>
      <c r="G421" s="110"/>
      <c r="H421" s="110"/>
      <c r="I421" s="111"/>
      <c r="J421" s="112"/>
      <c r="K421" s="112"/>
      <c r="L421" s="112"/>
      <c r="M421" s="113"/>
      <c r="N421" s="108"/>
      <c r="O421" s="108"/>
    </row>
    <row r="422" ht="6.0" customHeight="1">
      <c r="A422" s="108"/>
      <c r="B422" s="108"/>
      <c r="C422" s="109"/>
      <c r="D422" s="109"/>
      <c r="E422" s="109"/>
      <c r="F422" s="110"/>
      <c r="G422" s="110"/>
      <c r="H422" s="110"/>
      <c r="I422" s="111"/>
      <c r="J422" s="112"/>
      <c r="K422" s="112"/>
      <c r="L422" s="112"/>
      <c r="M422" s="113"/>
      <c r="N422" s="108"/>
      <c r="O422" s="108"/>
    </row>
    <row r="423" ht="6.0" customHeight="1">
      <c r="A423" s="108"/>
      <c r="B423" s="108"/>
      <c r="C423" s="109"/>
      <c r="D423" s="109"/>
      <c r="E423" s="109"/>
      <c r="F423" s="110"/>
      <c r="G423" s="110"/>
      <c r="H423" s="110"/>
      <c r="I423" s="111"/>
      <c r="J423" s="112"/>
      <c r="K423" s="112"/>
      <c r="L423" s="112"/>
      <c r="M423" s="113"/>
      <c r="N423" s="108"/>
      <c r="O423" s="108"/>
    </row>
    <row r="424" ht="6.0" customHeight="1">
      <c r="A424" s="108"/>
      <c r="B424" s="108"/>
      <c r="C424" s="109"/>
      <c r="D424" s="109"/>
      <c r="E424" s="109"/>
      <c r="F424" s="110"/>
      <c r="G424" s="110"/>
      <c r="H424" s="110"/>
      <c r="I424" s="111"/>
      <c r="J424" s="112"/>
      <c r="K424" s="112"/>
      <c r="L424" s="112"/>
      <c r="M424" s="113"/>
      <c r="N424" s="108"/>
      <c r="O424" s="108"/>
    </row>
    <row r="425" ht="6.0" customHeight="1">
      <c r="A425" s="108"/>
      <c r="B425" s="108"/>
      <c r="C425" s="109"/>
      <c r="D425" s="109"/>
      <c r="E425" s="109"/>
      <c r="F425" s="110"/>
      <c r="G425" s="110"/>
      <c r="H425" s="110"/>
      <c r="I425" s="111"/>
      <c r="J425" s="112"/>
      <c r="K425" s="112"/>
      <c r="L425" s="112"/>
      <c r="M425" s="113"/>
      <c r="N425" s="108"/>
      <c r="O425" s="108"/>
    </row>
    <row r="426" ht="6.0" customHeight="1">
      <c r="A426" s="108"/>
      <c r="B426" s="108"/>
      <c r="C426" s="109"/>
      <c r="D426" s="109"/>
      <c r="E426" s="109"/>
      <c r="F426" s="110"/>
      <c r="G426" s="110"/>
      <c r="H426" s="110"/>
      <c r="I426" s="111"/>
      <c r="J426" s="112"/>
      <c r="K426" s="112"/>
      <c r="L426" s="112"/>
      <c r="M426" s="113"/>
      <c r="N426" s="108"/>
      <c r="O426" s="108"/>
    </row>
    <row r="427" ht="6.0" customHeight="1">
      <c r="A427" s="108"/>
      <c r="B427" s="108"/>
      <c r="C427" s="109"/>
      <c r="D427" s="109"/>
      <c r="E427" s="109"/>
      <c r="F427" s="110"/>
      <c r="G427" s="110"/>
      <c r="H427" s="110"/>
      <c r="I427" s="111"/>
      <c r="J427" s="112"/>
      <c r="K427" s="112"/>
      <c r="L427" s="112"/>
      <c r="M427" s="113"/>
      <c r="N427" s="108"/>
      <c r="O427" s="108"/>
    </row>
    <row r="428" ht="6.0" customHeight="1">
      <c r="A428" s="108"/>
      <c r="B428" s="108"/>
      <c r="C428" s="109"/>
      <c r="D428" s="109"/>
      <c r="E428" s="109"/>
      <c r="F428" s="110"/>
      <c r="G428" s="110"/>
      <c r="H428" s="110"/>
      <c r="I428" s="111"/>
      <c r="J428" s="112"/>
      <c r="K428" s="112"/>
      <c r="L428" s="112"/>
      <c r="M428" s="113"/>
      <c r="N428" s="108"/>
      <c r="O428" s="108"/>
    </row>
    <row r="429" ht="6.0" customHeight="1">
      <c r="A429" s="108"/>
      <c r="B429" s="108"/>
      <c r="C429" s="109"/>
      <c r="D429" s="109"/>
      <c r="E429" s="109"/>
      <c r="F429" s="110"/>
      <c r="G429" s="110"/>
      <c r="H429" s="110"/>
      <c r="I429" s="111"/>
      <c r="J429" s="112"/>
      <c r="K429" s="112"/>
      <c r="L429" s="112"/>
      <c r="M429" s="113"/>
      <c r="N429" s="108"/>
      <c r="O429" s="108"/>
    </row>
    <row r="430" ht="6.0" customHeight="1">
      <c r="A430" s="108"/>
      <c r="B430" s="108"/>
      <c r="C430" s="109"/>
      <c r="D430" s="109"/>
      <c r="E430" s="109"/>
      <c r="F430" s="110"/>
      <c r="G430" s="110"/>
      <c r="H430" s="110"/>
      <c r="I430" s="111"/>
      <c r="J430" s="112"/>
      <c r="K430" s="112"/>
      <c r="L430" s="112"/>
      <c r="M430" s="113"/>
      <c r="N430" s="108"/>
      <c r="O430" s="108"/>
    </row>
    <row r="431" ht="6.0" customHeight="1">
      <c r="A431" s="108"/>
      <c r="B431" s="108"/>
      <c r="C431" s="109"/>
      <c r="D431" s="109"/>
      <c r="E431" s="109"/>
      <c r="F431" s="110"/>
      <c r="G431" s="110"/>
      <c r="H431" s="110"/>
      <c r="I431" s="111"/>
      <c r="J431" s="112"/>
      <c r="K431" s="112"/>
      <c r="L431" s="112"/>
      <c r="M431" s="113"/>
      <c r="N431" s="108"/>
      <c r="O431" s="108"/>
    </row>
    <row r="432" ht="6.0" customHeight="1">
      <c r="A432" s="108"/>
      <c r="B432" s="108"/>
      <c r="C432" s="109"/>
      <c r="D432" s="109"/>
      <c r="E432" s="109"/>
      <c r="F432" s="110"/>
      <c r="G432" s="110"/>
      <c r="H432" s="110"/>
      <c r="I432" s="111"/>
      <c r="J432" s="112"/>
      <c r="K432" s="112"/>
      <c r="L432" s="112"/>
      <c r="M432" s="113"/>
      <c r="N432" s="108"/>
      <c r="O432" s="108"/>
    </row>
    <row r="433" ht="6.0" customHeight="1">
      <c r="A433" s="108"/>
      <c r="B433" s="108"/>
      <c r="C433" s="109"/>
      <c r="D433" s="109"/>
      <c r="E433" s="109"/>
      <c r="F433" s="110"/>
      <c r="G433" s="110"/>
      <c r="H433" s="110"/>
      <c r="I433" s="111"/>
      <c r="J433" s="112"/>
      <c r="K433" s="112"/>
      <c r="L433" s="112"/>
      <c r="M433" s="113"/>
      <c r="N433" s="108"/>
      <c r="O433" s="108"/>
    </row>
    <row r="434" ht="6.0" customHeight="1">
      <c r="A434" s="108"/>
      <c r="B434" s="108"/>
      <c r="C434" s="109"/>
      <c r="D434" s="109"/>
      <c r="E434" s="109"/>
      <c r="F434" s="110"/>
      <c r="G434" s="110"/>
      <c r="H434" s="110"/>
      <c r="I434" s="111"/>
      <c r="J434" s="112"/>
      <c r="K434" s="112"/>
      <c r="L434" s="112"/>
      <c r="M434" s="113"/>
      <c r="N434" s="108"/>
      <c r="O434" s="108"/>
    </row>
    <row r="435" ht="6.0" customHeight="1">
      <c r="A435" s="108"/>
      <c r="B435" s="108"/>
      <c r="C435" s="109"/>
      <c r="D435" s="109"/>
      <c r="E435" s="109"/>
      <c r="F435" s="110"/>
      <c r="G435" s="110"/>
      <c r="H435" s="110"/>
      <c r="I435" s="111"/>
      <c r="J435" s="112"/>
      <c r="K435" s="112"/>
      <c r="L435" s="112"/>
      <c r="M435" s="113"/>
      <c r="N435" s="108"/>
      <c r="O435" s="108"/>
    </row>
    <row r="436" ht="6.0" customHeight="1">
      <c r="A436" s="108"/>
      <c r="B436" s="108"/>
      <c r="C436" s="109"/>
      <c r="D436" s="109"/>
      <c r="E436" s="109"/>
      <c r="F436" s="110"/>
      <c r="G436" s="110"/>
      <c r="H436" s="110"/>
      <c r="I436" s="111"/>
      <c r="J436" s="112"/>
      <c r="K436" s="112"/>
      <c r="L436" s="112"/>
      <c r="M436" s="113"/>
      <c r="N436" s="108"/>
      <c r="O436" s="108"/>
    </row>
    <row r="437" ht="6.0" customHeight="1">
      <c r="A437" s="108"/>
      <c r="B437" s="108"/>
      <c r="C437" s="109"/>
      <c r="D437" s="109"/>
      <c r="E437" s="109"/>
      <c r="F437" s="110"/>
      <c r="G437" s="110"/>
      <c r="H437" s="110"/>
      <c r="I437" s="111"/>
      <c r="J437" s="112"/>
      <c r="K437" s="112"/>
      <c r="L437" s="112"/>
      <c r="M437" s="113"/>
      <c r="N437" s="108"/>
      <c r="O437" s="108"/>
    </row>
    <row r="438" ht="6.0" customHeight="1">
      <c r="A438" s="108"/>
      <c r="B438" s="108"/>
      <c r="C438" s="109"/>
      <c r="D438" s="109"/>
      <c r="E438" s="109"/>
      <c r="F438" s="110"/>
      <c r="G438" s="110"/>
      <c r="H438" s="110"/>
      <c r="I438" s="111"/>
      <c r="J438" s="112"/>
      <c r="K438" s="112"/>
      <c r="L438" s="112"/>
      <c r="M438" s="113"/>
      <c r="N438" s="108"/>
      <c r="O438" s="108"/>
    </row>
    <row r="439" ht="6.0" customHeight="1">
      <c r="A439" s="108"/>
      <c r="B439" s="108"/>
      <c r="C439" s="109"/>
      <c r="D439" s="109"/>
      <c r="E439" s="109"/>
      <c r="F439" s="110"/>
      <c r="G439" s="110"/>
      <c r="H439" s="110"/>
      <c r="I439" s="111"/>
      <c r="J439" s="112"/>
      <c r="K439" s="112"/>
      <c r="L439" s="112"/>
      <c r="M439" s="113"/>
      <c r="N439" s="108"/>
      <c r="O439" s="108"/>
    </row>
    <row r="440" ht="6.0" customHeight="1">
      <c r="A440" s="108"/>
      <c r="B440" s="108"/>
      <c r="C440" s="109"/>
      <c r="D440" s="109"/>
      <c r="E440" s="109"/>
      <c r="F440" s="110"/>
      <c r="G440" s="110"/>
      <c r="H440" s="110"/>
      <c r="I440" s="111"/>
      <c r="J440" s="112"/>
      <c r="K440" s="112"/>
      <c r="L440" s="112"/>
      <c r="M440" s="113"/>
      <c r="N440" s="108"/>
      <c r="O440" s="108"/>
    </row>
    <row r="441" ht="6.0" customHeight="1">
      <c r="A441" s="108"/>
      <c r="B441" s="108"/>
      <c r="C441" s="109"/>
      <c r="D441" s="109"/>
      <c r="E441" s="109"/>
      <c r="F441" s="110"/>
      <c r="G441" s="110"/>
      <c r="H441" s="110"/>
      <c r="I441" s="111"/>
      <c r="J441" s="112"/>
      <c r="K441" s="112"/>
      <c r="L441" s="112"/>
      <c r="M441" s="113"/>
      <c r="N441" s="108"/>
      <c r="O441" s="108"/>
    </row>
    <row r="442" ht="6.0" customHeight="1">
      <c r="A442" s="108"/>
      <c r="B442" s="108"/>
      <c r="C442" s="109"/>
      <c r="D442" s="109"/>
      <c r="E442" s="109"/>
      <c r="F442" s="110"/>
      <c r="G442" s="110"/>
      <c r="H442" s="110"/>
      <c r="I442" s="111"/>
      <c r="J442" s="112"/>
      <c r="K442" s="112"/>
      <c r="L442" s="112"/>
      <c r="M442" s="113"/>
      <c r="N442" s="108"/>
      <c r="O442" s="108"/>
    </row>
    <row r="443" ht="6.0" customHeight="1">
      <c r="A443" s="108"/>
      <c r="B443" s="108"/>
      <c r="C443" s="109"/>
      <c r="D443" s="109"/>
      <c r="E443" s="109"/>
      <c r="F443" s="110"/>
      <c r="G443" s="110"/>
      <c r="H443" s="110"/>
      <c r="I443" s="111"/>
      <c r="J443" s="112"/>
      <c r="K443" s="112"/>
      <c r="L443" s="112"/>
      <c r="M443" s="113"/>
      <c r="N443" s="108"/>
      <c r="O443" s="108"/>
    </row>
    <row r="444" ht="6.0" customHeight="1">
      <c r="A444" s="108"/>
      <c r="B444" s="108"/>
      <c r="C444" s="109"/>
      <c r="D444" s="109"/>
      <c r="E444" s="109"/>
      <c r="F444" s="110"/>
      <c r="G444" s="110"/>
      <c r="H444" s="110"/>
      <c r="I444" s="111"/>
      <c r="J444" s="112"/>
      <c r="K444" s="112"/>
      <c r="L444" s="112"/>
      <c r="M444" s="113"/>
      <c r="N444" s="108"/>
      <c r="O444" s="108"/>
    </row>
    <row r="445" ht="6.0" customHeight="1">
      <c r="A445" s="108"/>
      <c r="B445" s="108"/>
      <c r="C445" s="109"/>
      <c r="D445" s="109"/>
      <c r="E445" s="109"/>
      <c r="F445" s="110"/>
      <c r="G445" s="110"/>
      <c r="H445" s="110"/>
      <c r="I445" s="111"/>
      <c r="J445" s="112"/>
      <c r="K445" s="112"/>
      <c r="L445" s="112"/>
      <c r="M445" s="113"/>
      <c r="N445" s="108"/>
      <c r="O445" s="108"/>
    </row>
    <row r="446" ht="6.0" customHeight="1">
      <c r="A446" s="108"/>
      <c r="B446" s="108"/>
      <c r="C446" s="109"/>
      <c r="D446" s="109"/>
      <c r="E446" s="109"/>
      <c r="F446" s="110"/>
      <c r="G446" s="110"/>
      <c r="H446" s="110"/>
      <c r="I446" s="111"/>
      <c r="J446" s="112"/>
      <c r="K446" s="112"/>
      <c r="L446" s="112"/>
      <c r="M446" s="113"/>
      <c r="N446" s="108"/>
      <c r="O446" s="108"/>
    </row>
    <row r="447" ht="6.0" customHeight="1">
      <c r="A447" s="108"/>
      <c r="B447" s="108"/>
      <c r="C447" s="109"/>
      <c r="D447" s="109"/>
      <c r="E447" s="109"/>
      <c r="F447" s="110"/>
      <c r="G447" s="110"/>
      <c r="H447" s="110"/>
      <c r="I447" s="111"/>
      <c r="J447" s="112"/>
      <c r="K447" s="112"/>
      <c r="L447" s="112"/>
      <c r="M447" s="113"/>
      <c r="N447" s="108"/>
      <c r="O447" s="108"/>
    </row>
    <row r="448" ht="6.0" customHeight="1">
      <c r="A448" s="108"/>
      <c r="B448" s="108"/>
      <c r="C448" s="109"/>
      <c r="D448" s="109"/>
      <c r="E448" s="109"/>
      <c r="F448" s="110"/>
      <c r="G448" s="110"/>
      <c r="H448" s="110"/>
      <c r="I448" s="111"/>
      <c r="J448" s="112"/>
      <c r="K448" s="112"/>
      <c r="L448" s="112"/>
      <c r="M448" s="113"/>
      <c r="N448" s="108"/>
      <c r="O448" s="108"/>
    </row>
    <row r="449" ht="6.0" customHeight="1">
      <c r="A449" s="108"/>
      <c r="B449" s="108"/>
      <c r="C449" s="109"/>
      <c r="D449" s="109"/>
      <c r="E449" s="109"/>
      <c r="F449" s="110"/>
      <c r="G449" s="110"/>
      <c r="H449" s="110"/>
      <c r="I449" s="111"/>
      <c r="J449" s="112"/>
      <c r="K449" s="112"/>
      <c r="L449" s="112"/>
      <c r="M449" s="113"/>
      <c r="N449" s="108"/>
      <c r="O449" s="108"/>
    </row>
    <row r="450" ht="6.0" customHeight="1">
      <c r="A450" s="108"/>
      <c r="B450" s="108"/>
      <c r="C450" s="109"/>
      <c r="D450" s="109"/>
      <c r="E450" s="109"/>
      <c r="F450" s="110"/>
      <c r="G450" s="110"/>
      <c r="H450" s="110"/>
      <c r="I450" s="111"/>
      <c r="J450" s="112"/>
      <c r="K450" s="112"/>
      <c r="L450" s="112"/>
      <c r="M450" s="113"/>
      <c r="N450" s="108"/>
      <c r="O450" s="108"/>
    </row>
    <row r="451" ht="6.0" customHeight="1">
      <c r="A451" s="108"/>
      <c r="B451" s="108"/>
      <c r="C451" s="109"/>
      <c r="D451" s="109"/>
      <c r="E451" s="109"/>
      <c r="F451" s="110"/>
      <c r="G451" s="110"/>
      <c r="H451" s="110"/>
      <c r="I451" s="111"/>
      <c r="J451" s="112"/>
      <c r="K451" s="112"/>
      <c r="L451" s="112"/>
      <c r="M451" s="113"/>
      <c r="N451" s="108"/>
      <c r="O451" s="108"/>
    </row>
    <row r="452" ht="6.0" customHeight="1">
      <c r="A452" s="108"/>
      <c r="B452" s="108"/>
      <c r="C452" s="109"/>
      <c r="D452" s="109"/>
      <c r="E452" s="109"/>
      <c r="F452" s="110"/>
      <c r="G452" s="110"/>
      <c r="H452" s="110"/>
      <c r="I452" s="111"/>
      <c r="J452" s="112"/>
      <c r="K452" s="112"/>
      <c r="L452" s="112"/>
      <c r="M452" s="113"/>
      <c r="N452" s="108"/>
      <c r="O452" s="108"/>
    </row>
    <row r="453" ht="6.0" customHeight="1">
      <c r="A453" s="108"/>
      <c r="B453" s="108"/>
      <c r="C453" s="109"/>
      <c r="D453" s="109"/>
      <c r="E453" s="109"/>
      <c r="F453" s="110"/>
      <c r="G453" s="110"/>
      <c r="H453" s="110"/>
      <c r="I453" s="111"/>
      <c r="J453" s="112"/>
      <c r="K453" s="112"/>
      <c r="L453" s="112"/>
      <c r="M453" s="113"/>
      <c r="N453" s="108"/>
      <c r="O453" s="108"/>
    </row>
    <row r="454" ht="6.0" customHeight="1">
      <c r="A454" s="108"/>
      <c r="B454" s="108"/>
      <c r="C454" s="109"/>
      <c r="D454" s="109"/>
      <c r="E454" s="109"/>
      <c r="F454" s="110"/>
      <c r="G454" s="110"/>
      <c r="H454" s="110"/>
      <c r="I454" s="111"/>
      <c r="J454" s="112"/>
      <c r="K454" s="112"/>
      <c r="L454" s="112"/>
      <c r="M454" s="113"/>
      <c r="N454" s="108"/>
      <c r="O454" s="108"/>
    </row>
    <row r="455" ht="6.0" customHeight="1">
      <c r="A455" s="108"/>
      <c r="B455" s="108"/>
      <c r="C455" s="109"/>
      <c r="D455" s="109"/>
      <c r="E455" s="109"/>
      <c r="F455" s="110"/>
      <c r="G455" s="110"/>
      <c r="H455" s="110"/>
      <c r="I455" s="111"/>
      <c r="J455" s="112"/>
      <c r="K455" s="112"/>
      <c r="L455" s="112"/>
      <c r="M455" s="113"/>
      <c r="N455" s="108"/>
      <c r="O455" s="108"/>
    </row>
    <row r="456" ht="6.0" customHeight="1">
      <c r="A456" s="108"/>
      <c r="B456" s="108"/>
      <c r="C456" s="109"/>
      <c r="D456" s="109"/>
      <c r="E456" s="109"/>
      <c r="F456" s="110"/>
      <c r="G456" s="110"/>
      <c r="H456" s="110"/>
      <c r="I456" s="111"/>
      <c r="J456" s="112"/>
      <c r="K456" s="112"/>
      <c r="L456" s="112"/>
      <c r="M456" s="113"/>
      <c r="N456" s="108"/>
      <c r="O456" s="108"/>
    </row>
    <row r="457" ht="6.0" customHeight="1">
      <c r="A457" s="108"/>
      <c r="B457" s="108"/>
      <c r="C457" s="109"/>
      <c r="D457" s="109"/>
      <c r="E457" s="109"/>
      <c r="F457" s="110"/>
      <c r="G457" s="110"/>
      <c r="H457" s="110"/>
      <c r="I457" s="111"/>
      <c r="J457" s="112"/>
      <c r="K457" s="112"/>
      <c r="L457" s="112"/>
      <c r="M457" s="113"/>
      <c r="N457" s="108"/>
      <c r="O457" s="108"/>
    </row>
    <row r="458" ht="6.0" customHeight="1">
      <c r="A458" s="108"/>
      <c r="B458" s="108"/>
      <c r="C458" s="109"/>
      <c r="D458" s="109"/>
      <c r="E458" s="109"/>
      <c r="F458" s="110"/>
      <c r="G458" s="110"/>
      <c r="H458" s="110"/>
      <c r="I458" s="111"/>
      <c r="J458" s="112"/>
      <c r="K458" s="112"/>
      <c r="L458" s="112"/>
      <c r="M458" s="113"/>
      <c r="N458" s="108"/>
      <c r="O458" s="108"/>
    </row>
    <row r="459" ht="6.0" customHeight="1">
      <c r="A459" s="108"/>
      <c r="B459" s="108"/>
      <c r="C459" s="109"/>
      <c r="D459" s="109"/>
      <c r="E459" s="109"/>
      <c r="F459" s="110"/>
      <c r="G459" s="110"/>
      <c r="H459" s="110"/>
      <c r="I459" s="111"/>
      <c r="J459" s="112"/>
      <c r="K459" s="112"/>
      <c r="L459" s="112"/>
      <c r="M459" s="113"/>
      <c r="N459" s="108"/>
      <c r="O459" s="108"/>
    </row>
    <row r="460" ht="6.0" customHeight="1">
      <c r="A460" s="108"/>
      <c r="B460" s="108"/>
      <c r="C460" s="109"/>
      <c r="D460" s="109"/>
      <c r="E460" s="109"/>
      <c r="F460" s="110"/>
      <c r="G460" s="110"/>
      <c r="H460" s="110"/>
      <c r="I460" s="111"/>
      <c r="J460" s="112"/>
      <c r="K460" s="112"/>
      <c r="L460" s="112"/>
      <c r="M460" s="113"/>
      <c r="N460" s="108"/>
      <c r="O460" s="108"/>
    </row>
    <row r="461" ht="6.0" customHeight="1">
      <c r="A461" s="108"/>
      <c r="B461" s="108"/>
      <c r="C461" s="109"/>
      <c r="D461" s="109"/>
      <c r="E461" s="109"/>
      <c r="F461" s="110"/>
      <c r="G461" s="110"/>
      <c r="H461" s="110"/>
      <c r="I461" s="111"/>
      <c r="J461" s="112"/>
      <c r="K461" s="112"/>
      <c r="L461" s="112"/>
      <c r="M461" s="113"/>
      <c r="N461" s="108"/>
      <c r="O461" s="108"/>
    </row>
    <row r="462" ht="6.0" customHeight="1">
      <c r="A462" s="108"/>
      <c r="B462" s="108"/>
      <c r="C462" s="109"/>
      <c r="D462" s="109"/>
      <c r="E462" s="109"/>
      <c r="F462" s="110"/>
      <c r="G462" s="110"/>
      <c r="H462" s="110"/>
      <c r="I462" s="111"/>
      <c r="J462" s="112"/>
      <c r="K462" s="112"/>
      <c r="L462" s="112"/>
      <c r="M462" s="113"/>
      <c r="N462" s="108"/>
      <c r="O462" s="108"/>
    </row>
    <row r="463" ht="6.0" customHeight="1">
      <c r="A463" s="108"/>
      <c r="B463" s="108"/>
      <c r="C463" s="109"/>
      <c r="D463" s="109"/>
      <c r="E463" s="109"/>
      <c r="F463" s="110"/>
      <c r="G463" s="110"/>
      <c r="H463" s="110"/>
      <c r="I463" s="111"/>
      <c r="J463" s="112"/>
      <c r="K463" s="112"/>
      <c r="L463" s="112"/>
      <c r="M463" s="113"/>
      <c r="N463" s="108"/>
      <c r="O463" s="108"/>
    </row>
    <row r="464" ht="6.0" customHeight="1">
      <c r="A464" s="108"/>
      <c r="B464" s="108"/>
      <c r="C464" s="109"/>
      <c r="D464" s="109"/>
      <c r="E464" s="109"/>
      <c r="F464" s="110"/>
      <c r="G464" s="110"/>
      <c r="H464" s="110"/>
      <c r="I464" s="111"/>
      <c r="J464" s="112"/>
      <c r="K464" s="112"/>
      <c r="L464" s="112"/>
      <c r="M464" s="113"/>
      <c r="N464" s="108"/>
      <c r="O464" s="108"/>
    </row>
    <row r="465" ht="6.0" customHeight="1">
      <c r="A465" s="108"/>
      <c r="B465" s="108"/>
      <c r="C465" s="109"/>
      <c r="D465" s="109"/>
      <c r="E465" s="109"/>
      <c r="F465" s="110"/>
      <c r="G465" s="110"/>
      <c r="H465" s="110"/>
      <c r="I465" s="111"/>
      <c r="J465" s="112"/>
      <c r="K465" s="112"/>
      <c r="L465" s="112"/>
      <c r="M465" s="113"/>
      <c r="N465" s="108"/>
      <c r="O465" s="108"/>
    </row>
    <row r="466" ht="6.0" customHeight="1">
      <c r="A466" s="108"/>
      <c r="B466" s="108"/>
      <c r="C466" s="109"/>
      <c r="D466" s="109"/>
      <c r="E466" s="109"/>
      <c r="F466" s="110"/>
      <c r="G466" s="110"/>
      <c r="H466" s="110"/>
      <c r="I466" s="111"/>
      <c r="J466" s="112"/>
      <c r="K466" s="112"/>
      <c r="L466" s="112"/>
      <c r="M466" s="113"/>
      <c r="N466" s="108"/>
      <c r="O466" s="108"/>
    </row>
    <row r="467" ht="6.0" customHeight="1">
      <c r="A467" s="108"/>
      <c r="B467" s="108"/>
      <c r="C467" s="109"/>
      <c r="D467" s="109"/>
      <c r="E467" s="109"/>
      <c r="F467" s="110"/>
      <c r="G467" s="110"/>
      <c r="H467" s="110"/>
      <c r="I467" s="111"/>
      <c r="J467" s="112"/>
      <c r="K467" s="112"/>
      <c r="L467" s="112"/>
      <c r="M467" s="113"/>
      <c r="N467" s="108"/>
      <c r="O467" s="108"/>
    </row>
    <row r="468" ht="6.0" customHeight="1">
      <c r="A468" s="108"/>
      <c r="B468" s="108"/>
      <c r="C468" s="109"/>
      <c r="D468" s="109"/>
      <c r="E468" s="109"/>
      <c r="F468" s="110"/>
      <c r="G468" s="110"/>
      <c r="H468" s="110"/>
      <c r="I468" s="111"/>
      <c r="J468" s="112"/>
      <c r="K468" s="112"/>
      <c r="L468" s="112"/>
      <c r="M468" s="113"/>
      <c r="N468" s="108"/>
      <c r="O468" s="108"/>
    </row>
    <row r="469" ht="6.0" customHeight="1">
      <c r="A469" s="108"/>
      <c r="B469" s="108"/>
      <c r="C469" s="109"/>
      <c r="D469" s="109"/>
      <c r="E469" s="109"/>
      <c r="F469" s="110"/>
      <c r="G469" s="110"/>
      <c r="H469" s="110"/>
      <c r="I469" s="111"/>
      <c r="J469" s="112"/>
      <c r="K469" s="112"/>
      <c r="L469" s="112"/>
      <c r="M469" s="113"/>
      <c r="N469" s="108"/>
      <c r="O469" s="108"/>
    </row>
    <row r="470" ht="6.0" customHeight="1">
      <c r="A470" s="108"/>
      <c r="B470" s="108"/>
      <c r="C470" s="109"/>
      <c r="D470" s="109"/>
      <c r="E470" s="109"/>
      <c r="F470" s="110"/>
      <c r="G470" s="110"/>
      <c r="H470" s="110"/>
      <c r="I470" s="111"/>
      <c r="J470" s="112"/>
      <c r="K470" s="112"/>
      <c r="L470" s="112"/>
      <c r="M470" s="113"/>
      <c r="N470" s="108"/>
      <c r="O470" s="108"/>
    </row>
    <row r="471" ht="6.0" customHeight="1">
      <c r="A471" s="108"/>
      <c r="B471" s="108"/>
      <c r="C471" s="109"/>
      <c r="D471" s="109"/>
      <c r="E471" s="109"/>
      <c r="F471" s="110"/>
      <c r="G471" s="110"/>
      <c r="H471" s="110"/>
      <c r="I471" s="111"/>
      <c r="J471" s="112"/>
      <c r="K471" s="112"/>
      <c r="L471" s="112"/>
      <c r="M471" s="113"/>
      <c r="N471" s="108"/>
      <c r="O471" s="108"/>
    </row>
    <row r="472" ht="6.0" customHeight="1">
      <c r="A472" s="108"/>
      <c r="B472" s="108"/>
      <c r="C472" s="109"/>
      <c r="D472" s="109"/>
      <c r="E472" s="109"/>
      <c r="F472" s="110"/>
      <c r="G472" s="110"/>
      <c r="H472" s="110"/>
      <c r="I472" s="111"/>
      <c r="J472" s="112"/>
      <c r="K472" s="112"/>
      <c r="L472" s="112"/>
      <c r="M472" s="113"/>
      <c r="N472" s="108"/>
      <c r="O472" s="108"/>
    </row>
    <row r="473" ht="6.0" customHeight="1">
      <c r="A473" s="108"/>
      <c r="B473" s="108"/>
      <c r="C473" s="109"/>
      <c r="D473" s="109"/>
      <c r="E473" s="109"/>
      <c r="F473" s="110"/>
      <c r="G473" s="110"/>
      <c r="H473" s="110"/>
      <c r="I473" s="111"/>
      <c r="J473" s="112"/>
      <c r="K473" s="112"/>
      <c r="L473" s="112"/>
      <c r="M473" s="113"/>
      <c r="N473" s="108"/>
      <c r="O473" s="108"/>
    </row>
    <row r="474" ht="6.0" customHeight="1">
      <c r="A474" s="108"/>
      <c r="B474" s="108"/>
      <c r="C474" s="109"/>
      <c r="D474" s="109"/>
      <c r="E474" s="109"/>
      <c r="F474" s="110"/>
      <c r="G474" s="110"/>
      <c r="H474" s="110"/>
      <c r="I474" s="111"/>
      <c r="J474" s="112"/>
      <c r="K474" s="112"/>
      <c r="L474" s="112"/>
      <c r="M474" s="113"/>
      <c r="N474" s="108"/>
      <c r="O474" s="108"/>
    </row>
    <row r="475" ht="6.0" customHeight="1">
      <c r="A475" s="108"/>
      <c r="B475" s="108"/>
      <c r="C475" s="109"/>
      <c r="D475" s="109"/>
      <c r="E475" s="109"/>
      <c r="F475" s="110"/>
      <c r="G475" s="110"/>
      <c r="H475" s="110"/>
      <c r="I475" s="111"/>
      <c r="J475" s="112"/>
      <c r="K475" s="112"/>
      <c r="L475" s="112"/>
      <c r="M475" s="113"/>
      <c r="N475" s="108"/>
      <c r="O475" s="108"/>
    </row>
    <row r="476" ht="6.0" customHeight="1">
      <c r="A476" s="108"/>
      <c r="B476" s="108"/>
      <c r="C476" s="109"/>
      <c r="D476" s="109"/>
      <c r="E476" s="109"/>
      <c r="F476" s="110"/>
      <c r="G476" s="110"/>
      <c r="H476" s="110"/>
      <c r="I476" s="111"/>
      <c r="J476" s="112"/>
      <c r="K476" s="112"/>
      <c r="L476" s="112"/>
      <c r="M476" s="113"/>
      <c r="N476" s="108"/>
      <c r="O476" s="108"/>
    </row>
    <row r="477" ht="6.0" customHeight="1">
      <c r="A477" s="108"/>
      <c r="B477" s="108"/>
      <c r="C477" s="109"/>
      <c r="D477" s="109"/>
      <c r="E477" s="109"/>
      <c r="F477" s="110"/>
      <c r="G477" s="110"/>
      <c r="H477" s="110"/>
      <c r="I477" s="111"/>
      <c r="J477" s="112"/>
      <c r="K477" s="112"/>
      <c r="L477" s="112"/>
      <c r="M477" s="113"/>
      <c r="N477" s="108"/>
      <c r="O477" s="108"/>
    </row>
    <row r="478" ht="6.0" customHeight="1">
      <c r="A478" s="108"/>
      <c r="B478" s="108"/>
      <c r="C478" s="109"/>
      <c r="D478" s="109"/>
      <c r="E478" s="109"/>
      <c r="F478" s="110"/>
      <c r="G478" s="110"/>
      <c r="H478" s="110"/>
      <c r="I478" s="111"/>
      <c r="J478" s="112"/>
      <c r="K478" s="112"/>
      <c r="L478" s="112"/>
      <c r="M478" s="113"/>
      <c r="N478" s="108"/>
      <c r="O478" s="108"/>
    </row>
    <row r="479" ht="6.0" customHeight="1">
      <c r="A479" s="108"/>
      <c r="B479" s="108"/>
      <c r="C479" s="109"/>
      <c r="D479" s="109"/>
      <c r="E479" s="109"/>
      <c r="F479" s="110"/>
      <c r="G479" s="110"/>
      <c r="H479" s="110"/>
      <c r="I479" s="111"/>
      <c r="J479" s="112"/>
      <c r="K479" s="112"/>
      <c r="L479" s="112"/>
      <c r="M479" s="113"/>
      <c r="N479" s="108"/>
      <c r="O479" s="108"/>
    </row>
    <row r="480" ht="6.0" customHeight="1">
      <c r="A480" s="108"/>
      <c r="B480" s="108"/>
      <c r="C480" s="109"/>
      <c r="D480" s="109"/>
      <c r="E480" s="109"/>
      <c r="F480" s="110"/>
      <c r="G480" s="110"/>
      <c r="H480" s="110"/>
      <c r="I480" s="111"/>
      <c r="J480" s="112"/>
      <c r="K480" s="112"/>
      <c r="L480" s="112"/>
      <c r="M480" s="113"/>
      <c r="N480" s="108"/>
      <c r="O480" s="108"/>
    </row>
    <row r="481" ht="6.0" customHeight="1">
      <c r="A481" s="108"/>
      <c r="B481" s="108"/>
      <c r="C481" s="109"/>
      <c r="D481" s="109"/>
      <c r="E481" s="109"/>
      <c r="F481" s="110"/>
      <c r="G481" s="110"/>
      <c r="H481" s="110"/>
      <c r="I481" s="111"/>
      <c r="J481" s="112"/>
      <c r="K481" s="112"/>
      <c r="L481" s="112"/>
      <c r="M481" s="113"/>
      <c r="N481" s="108"/>
      <c r="O481" s="108"/>
    </row>
    <row r="482" ht="6.0" customHeight="1">
      <c r="A482" s="108"/>
      <c r="B482" s="108"/>
      <c r="C482" s="109"/>
      <c r="D482" s="109"/>
      <c r="E482" s="109"/>
      <c r="F482" s="110"/>
      <c r="G482" s="110"/>
      <c r="H482" s="110"/>
      <c r="I482" s="111"/>
      <c r="J482" s="112"/>
      <c r="K482" s="112"/>
      <c r="L482" s="112"/>
      <c r="M482" s="113"/>
      <c r="N482" s="108"/>
      <c r="O482" s="108"/>
    </row>
    <row r="483" ht="6.0" customHeight="1">
      <c r="A483" s="108"/>
      <c r="B483" s="108"/>
      <c r="C483" s="109"/>
      <c r="D483" s="109"/>
      <c r="E483" s="109"/>
      <c r="F483" s="110"/>
      <c r="G483" s="110"/>
      <c r="H483" s="110"/>
      <c r="I483" s="111"/>
      <c r="J483" s="112"/>
      <c r="K483" s="112"/>
      <c r="L483" s="112"/>
      <c r="M483" s="113"/>
      <c r="N483" s="108"/>
      <c r="O483" s="108"/>
    </row>
    <row r="484" ht="6.0" customHeight="1">
      <c r="A484" s="108"/>
      <c r="B484" s="108"/>
      <c r="C484" s="109"/>
      <c r="D484" s="109"/>
      <c r="E484" s="109"/>
      <c r="F484" s="110"/>
      <c r="G484" s="110"/>
      <c r="H484" s="110"/>
      <c r="I484" s="111"/>
      <c r="J484" s="112"/>
      <c r="K484" s="112"/>
      <c r="L484" s="112"/>
      <c r="M484" s="113"/>
      <c r="N484" s="108"/>
      <c r="O484" s="108"/>
    </row>
    <row r="485" ht="6.0" customHeight="1">
      <c r="A485" s="108"/>
      <c r="B485" s="108"/>
      <c r="C485" s="109"/>
      <c r="D485" s="109"/>
      <c r="E485" s="109"/>
      <c r="F485" s="110"/>
      <c r="G485" s="110"/>
      <c r="H485" s="110"/>
      <c r="I485" s="111"/>
      <c r="J485" s="112"/>
      <c r="K485" s="112"/>
      <c r="L485" s="112"/>
      <c r="M485" s="113"/>
      <c r="N485" s="108"/>
      <c r="O485" s="108"/>
    </row>
    <row r="486" ht="6.0" customHeight="1">
      <c r="A486" s="108"/>
      <c r="B486" s="108"/>
      <c r="C486" s="109"/>
      <c r="D486" s="109"/>
      <c r="E486" s="109"/>
      <c r="F486" s="110"/>
      <c r="G486" s="110"/>
      <c r="H486" s="110"/>
      <c r="I486" s="111"/>
      <c r="J486" s="112"/>
      <c r="K486" s="112"/>
      <c r="L486" s="112"/>
      <c r="M486" s="113"/>
      <c r="N486" s="108"/>
      <c r="O486" s="108"/>
    </row>
    <row r="487" ht="6.0" customHeight="1">
      <c r="A487" s="108"/>
      <c r="B487" s="108"/>
      <c r="C487" s="109"/>
      <c r="D487" s="109"/>
      <c r="E487" s="109"/>
      <c r="F487" s="110"/>
      <c r="G487" s="110"/>
      <c r="H487" s="110"/>
      <c r="I487" s="111"/>
      <c r="J487" s="112"/>
      <c r="K487" s="112"/>
      <c r="L487" s="112"/>
      <c r="M487" s="113"/>
      <c r="N487" s="108"/>
      <c r="O487" s="108"/>
    </row>
    <row r="488" ht="6.0" customHeight="1">
      <c r="A488" s="108"/>
      <c r="B488" s="108"/>
      <c r="C488" s="109"/>
      <c r="D488" s="109"/>
      <c r="E488" s="109"/>
      <c r="F488" s="110"/>
      <c r="G488" s="110"/>
      <c r="H488" s="110"/>
      <c r="I488" s="111"/>
      <c r="J488" s="112"/>
      <c r="K488" s="112"/>
      <c r="L488" s="112"/>
      <c r="M488" s="113"/>
      <c r="N488" s="108"/>
      <c r="O488" s="108"/>
    </row>
    <row r="489" ht="6.0" customHeight="1">
      <c r="A489" s="108"/>
      <c r="B489" s="108"/>
      <c r="C489" s="109"/>
      <c r="D489" s="109"/>
      <c r="E489" s="109"/>
      <c r="F489" s="110"/>
      <c r="G489" s="110"/>
      <c r="H489" s="110"/>
      <c r="I489" s="111"/>
      <c r="J489" s="112"/>
      <c r="K489" s="112"/>
      <c r="L489" s="112"/>
      <c r="M489" s="113"/>
      <c r="N489" s="108"/>
      <c r="O489" s="108"/>
    </row>
    <row r="490" ht="6.0" customHeight="1">
      <c r="A490" s="108"/>
      <c r="B490" s="108"/>
      <c r="C490" s="109"/>
      <c r="D490" s="109"/>
      <c r="E490" s="109"/>
      <c r="F490" s="110"/>
      <c r="G490" s="110"/>
      <c r="H490" s="110"/>
      <c r="I490" s="111"/>
      <c r="J490" s="112"/>
      <c r="K490" s="112"/>
      <c r="L490" s="112"/>
      <c r="M490" s="113"/>
      <c r="N490" s="108"/>
      <c r="O490" s="108"/>
    </row>
    <row r="491" ht="6.0" customHeight="1">
      <c r="A491" s="108"/>
      <c r="B491" s="108"/>
      <c r="C491" s="109"/>
      <c r="D491" s="109"/>
      <c r="E491" s="109"/>
      <c r="F491" s="110"/>
      <c r="G491" s="110"/>
      <c r="H491" s="110"/>
      <c r="I491" s="111"/>
      <c r="J491" s="112"/>
      <c r="K491" s="112"/>
      <c r="L491" s="112"/>
      <c r="M491" s="113"/>
      <c r="N491" s="108"/>
      <c r="O491" s="108"/>
    </row>
    <row r="492" ht="6.0" customHeight="1">
      <c r="A492" s="108"/>
      <c r="B492" s="108"/>
      <c r="C492" s="109"/>
      <c r="D492" s="109"/>
      <c r="E492" s="109"/>
      <c r="F492" s="110"/>
      <c r="G492" s="110"/>
      <c r="H492" s="110"/>
      <c r="I492" s="111"/>
      <c r="J492" s="112"/>
      <c r="K492" s="112"/>
      <c r="L492" s="112"/>
      <c r="M492" s="113"/>
      <c r="N492" s="108"/>
      <c r="O492" s="108"/>
    </row>
    <row r="493" ht="6.0" customHeight="1">
      <c r="A493" s="108"/>
      <c r="B493" s="108"/>
      <c r="C493" s="109"/>
      <c r="D493" s="109"/>
      <c r="E493" s="109"/>
      <c r="F493" s="110"/>
      <c r="G493" s="110"/>
      <c r="H493" s="110"/>
      <c r="I493" s="111"/>
      <c r="J493" s="112"/>
      <c r="K493" s="112"/>
      <c r="L493" s="112"/>
      <c r="M493" s="113"/>
      <c r="N493" s="108"/>
      <c r="O493" s="108"/>
    </row>
    <row r="494" ht="6.0" customHeight="1">
      <c r="A494" s="108"/>
      <c r="B494" s="108"/>
      <c r="C494" s="109"/>
      <c r="D494" s="109"/>
      <c r="E494" s="109"/>
      <c r="F494" s="110"/>
      <c r="G494" s="110"/>
      <c r="H494" s="110"/>
      <c r="I494" s="111"/>
      <c r="J494" s="112"/>
      <c r="K494" s="112"/>
      <c r="L494" s="112"/>
      <c r="M494" s="113"/>
      <c r="N494" s="108"/>
      <c r="O494" s="108"/>
    </row>
    <row r="495" ht="6.0" customHeight="1">
      <c r="A495" s="108"/>
      <c r="B495" s="108"/>
      <c r="C495" s="109"/>
      <c r="D495" s="109"/>
      <c r="E495" s="109"/>
      <c r="F495" s="110"/>
      <c r="G495" s="110"/>
      <c r="H495" s="110"/>
      <c r="I495" s="111"/>
      <c r="J495" s="112"/>
      <c r="K495" s="112"/>
      <c r="L495" s="112"/>
      <c r="M495" s="113"/>
      <c r="N495" s="108"/>
      <c r="O495" s="108"/>
    </row>
    <row r="496" ht="6.0" customHeight="1">
      <c r="A496" s="108"/>
      <c r="B496" s="108"/>
      <c r="C496" s="109"/>
      <c r="D496" s="109"/>
      <c r="E496" s="109"/>
      <c r="F496" s="110"/>
      <c r="G496" s="110"/>
      <c r="H496" s="110"/>
      <c r="I496" s="111"/>
      <c r="J496" s="112"/>
      <c r="K496" s="112"/>
      <c r="L496" s="112"/>
      <c r="M496" s="113"/>
      <c r="N496" s="108"/>
      <c r="O496" s="108"/>
    </row>
    <row r="497" ht="6.0" customHeight="1">
      <c r="A497" s="108"/>
      <c r="B497" s="108"/>
      <c r="C497" s="109"/>
      <c r="D497" s="109"/>
      <c r="E497" s="109"/>
      <c r="F497" s="110"/>
      <c r="G497" s="110"/>
      <c r="H497" s="110"/>
      <c r="I497" s="111"/>
      <c r="J497" s="112"/>
      <c r="K497" s="112"/>
      <c r="L497" s="112"/>
      <c r="M497" s="113"/>
      <c r="N497" s="108"/>
      <c r="O497" s="108"/>
    </row>
    <row r="498" ht="6.0" customHeight="1">
      <c r="A498" s="108"/>
      <c r="B498" s="108"/>
      <c r="C498" s="109"/>
      <c r="D498" s="109"/>
      <c r="E498" s="109"/>
      <c r="F498" s="110"/>
      <c r="G498" s="110"/>
      <c r="H498" s="110"/>
      <c r="I498" s="111"/>
      <c r="J498" s="112"/>
      <c r="K498" s="112"/>
      <c r="L498" s="112"/>
      <c r="M498" s="113"/>
      <c r="N498" s="108"/>
      <c r="O498" s="108"/>
    </row>
    <row r="499" ht="6.0" customHeight="1">
      <c r="A499" s="108"/>
      <c r="B499" s="108"/>
      <c r="C499" s="109"/>
      <c r="D499" s="109"/>
      <c r="E499" s="109"/>
      <c r="F499" s="110"/>
      <c r="G499" s="110"/>
      <c r="H499" s="110"/>
      <c r="I499" s="111"/>
      <c r="J499" s="112"/>
      <c r="K499" s="112"/>
      <c r="L499" s="112"/>
      <c r="M499" s="113"/>
      <c r="N499" s="108"/>
      <c r="O499" s="108"/>
    </row>
    <row r="500" ht="6.0" customHeight="1">
      <c r="A500" s="108"/>
      <c r="B500" s="108"/>
      <c r="C500" s="109"/>
      <c r="D500" s="109"/>
      <c r="E500" s="109"/>
      <c r="F500" s="110"/>
      <c r="G500" s="110"/>
      <c r="H500" s="110"/>
      <c r="I500" s="111"/>
      <c r="J500" s="112"/>
      <c r="K500" s="112"/>
      <c r="L500" s="112"/>
      <c r="M500" s="113"/>
      <c r="N500" s="108"/>
      <c r="O500" s="108"/>
    </row>
    <row r="501" ht="6.0" customHeight="1">
      <c r="A501" s="108"/>
      <c r="B501" s="108"/>
      <c r="C501" s="109"/>
      <c r="D501" s="109"/>
      <c r="E501" s="109"/>
      <c r="F501" s="110"/>
      <c r="G501" s="110"/>
      <c r="H501" s="110"/>
      <c r="I501" s="111"/>
      <c r="J501" s="112"/>
      <c r="K501" s="112"/>
      <c r="L501" s="112"/>
      <c r="M501" s="113"/>
      <c r="N501" s="108"/>
      <c r="O501" s="108"/>
    </row>
    <row r="502" ht="6.0" customHeight="1">
      <c r="A502" s="108"/>
      <c r="B502" s="108"/>
      <c r="C502" s="109"/>
      <c r="D502" s="109"/>
      <c r="E502" s="109"/>
      <c r="F502" s="110"/>
      <c r="G502" s="110"/>
      <c r="H502" s="110"/>
      <c r="I502" s="111"/>
      <c r="J502" s="112"/>
      <c r="K502" s="112"/>
      <c r="L502" s="112"/>
      <c r="M502" s="113"/>
      <c r="N502" s="108"/>
      <c r="O502" s="108"/>
    </row>
    <row r="503" ht="6.0" customHeight="1">
      <c r="A503" s="108"/>
      <c r="B503" s="108"/>
      <c r="C503" s="109"/>
      <c r="D503" s="109"/>
      <c r="E503" s="109"/>
      <c r="F503" s="110"/>
      <c r="G503" s="110"/>
      <c r="H503" s="110"/>
      <c r="I503" s="111"/>
      <c r="J503" s="112"/>
      <c r="K503" s="112"/>
      <c r="L503" s="112"/>
      <c r="M503" s="113"/>
      <c r="N503" s="108"/>
      <c r="O503" s="108"/>
    </row>
    <row r="504" ht="6.0" customHeight="1">
      <c r="A504" s="108"/>
      <c r="B504" s="108"/>
      <c r="C504" s="109"/>
      <c r="D504" s="109"/>
      <c r="E504" s="109"/>
      <c r="F504" s="110"/>
      <c r="G504" s="110"/>
      <c r="H504" s="110"/>
      <c r="I504" s="111"/>
      <c r="J504" s="112"/>
      <c r="K504" s="112"/>
      <c r="L504" s="112"/>
      <c r="M504" s="113"/>
      <c r="N504" s="108"/>
      <c r="O504" s="108"/>
    </row>
    <row r="505" ht="6.0" customHeight="1">
      <c r="A505" s="108"/>
      <c r="B505" s="108"/>
      <c r="C505" s="109"/>
      <c r="D505" s="109"/>
      <c r="E505" s="109"/>
      <c r="F505" s="110"/>
      <c r="G505" s="110"/>
      <c r="H505" s="110"/>
      <c r="I505" s="111"/>
      <c r="J505" s="112"/>
      <c r="K505" s="112"/>
      <c r="L505" s="112"/>
      <c r="M505" s="113"/>
      <c r="N505" s="108"/>
      <c r="O505" s="108"/>
    </row>
    <row r="506" ht="6.0" customHeight="1">
      <c r="A506" s="108"/>
      <c r="B506" s="108"/>
      <c r="C506" s="109"/>
      <c r="D506" s="109"/>
      <c r="E506" s="109"/>
      <c r="F506" s="110"/>
      <c r="G506" s="110"/>
      <c r="H506" s="110"/>
      <c r="I506" s="111"/>
      <c r="J506" s="112"/>
      <c r="K506" s="112"/>
      <c r="L506" s="112"/>
      <c r="M506" s="113"/>
      <c r="N506" s="108"/>
      <c r="O506" s="108"/>
    </row>
    <row r="507" ht="6.0" customHeight="1">
      <c r="A507" s="108"/>
      <c r="B507" s="108"/>
      <c r="C507" s="109"/>
      <c r="D507" s="109"/>
      <c r="E507" s="109"/>
      <c r="F507" s="110"/>
      <c r="G507" s="110"/>
      <c r="H507" s="110"/>
      <c r="I507" s="111"/>
      <c r="J507" s="112"/>
      <c r="K507" s="112"/>
      <c r="L507" s="112"/>
      <c r="M507" s="113"/>
      <c r="N507" s="108"/>
      <c r="O507" s="108"/>
    </row>
    <row r="508" ht="6.0" customHeight="1">
      <c r="A508" s="108"/>
      <c r="B508" s="108"/>
      <c r="C508" s="109"/>
      <c r="D508" s="109"/>
      <c r="E508" s="109"/>
      <c r="F508" s="110"/>
      <c r="G508" s="110"/>
      <c r="H508" s="110"/>
      <c r="I508" s="111"/>
      <c r="J508" s="112"/>
      <c r="K508" s="112"/>
      <c r="L508" s="112"/>
      <c r="M508" s="113"/>
      <c r="N508" s="108"/>
      <c r="O508" s="108"/>
    </row>
    <row r="509" ht="6.0" customHeight="1">
      <c r="A509" s="108"/>
      <c r="B509" s="108"/>
      <c r="C509" s="109"/>
      <c r="D509" s="109"/>
      <c r="E509" s="109"/>
      <c r="F509" s="110"/>
      <c r="G509" s="110"/>
      <c r="H509" s="110"/>
      <c r="I509" s="111"/>
      <c r="J509" s="112"/>
      <c r="K509" s="112"/>
      <c r="L509" s="112"/>
      <c r="M509" s="113"/>
      <c r="N509" s="108"/>
      <c r="O509" s="108"/>
    </row>
    <row r="510" ht="6.0" customHeight="1">
      <c r="A510" s="108"/>
      <c r="B510" s="108"/>
      <c r="C510" s="109"/>
      <c r="D510" s="109"/>
      <c r="E510" s="109"/>
      <c r="F510" s="110"/>
      <c r="G510" s="110"/>
      <c r="H510" s="110"/>
      <c r="I510" s="111"/>
      <c r="J510" s="112"/>
      <c r="K510" s="112"/>
      <c r="L510" s="112"/>
      <c r="M510" s="113"/>
      <c r="N510" s="108"/>
      <c r="O510" s="108"/>
    </row>
    <row r="511" ht="6.0" customHeight="1">
      <c r="A511" s="108"/>
      <c r="B511" s="108"/>
      <c r="C511" s="109"/>
      <c r="D511" s="109"/>
      <c r="E511" s="109"/>
      <c r="F511" s="110"/>
      <c r="G511" s="110"/>
      <c r="H511" s="110"/>
      <c r="I511" s="111"/>
      <c r="J511" s="112"/>
      <c r="K511" s="112"/>
      <c r="L511" s="112"/>
      <c r="M511" s="113"/>
      <c r="N511" s="108"/>
      <c r="O511" s="108"/>
    </row>
    <row r="512" ht="6.0" customHeight="1">
      <c r="A512" s="108"/>
      <c r="B512" s="108"/>
      <c r="C512" s="109"/>
      <c r="D512" s="109"/>
      <c r="E512" s="109"/>
      <c r="F512" s="110"/>
      <c r="G512" s="110"/>
      <c r="H512" s="110"/>
      <c r="I512" s="111"/>
      <c r="J512" s="112"/>
      <c r="K512" s="112"/>
      <c r="L512" s="112"/>
      <c r="M512" s="113"/>
      <c r="N512" s="108"/>
      <c r="O512" s="108"/>
    </row>
    <row r="513" ht="6.0" customHeight="1">
      <c r="A513" s="108"/>
      <c r="B513" s="108"/>
      <c r="C513" s="109"/>
      <c r="D513" s="109"/>
      <c r="E513" s="109"/>
      <c r="F513" s="110"/>
      <c r="G513" s="110"/>
      <c r="H513" s="110"/>
      <c r="I513" s="111"/>
      <c r="J513" s="112"/>
      <c r="K513" s="112"/>
      <c r="L513" s="112"/>
      <c r="M513" s="113"/>
      <c r="N513" s="108"/>
      <c r="O513" s="108"/>
    </row>
    <row r="514" ht="6.0" customHeight="1">
      <c r="A514" s="108"/>
      <c r="B514" s="108"/>
      <c r="C514" s="109"/>
      <c r="D514" s="109"/>
      <c r="E514" s="109"/>
      <c r="F514" s="110"/>
      <c r="G514" s="110"/>
      <c r="H514" s="110"/>
      <c r="I514" s="111"/>
      <c r="J514" s="112"/>
      <c r="K514" s="112"/>
      <c r="L514" s="112"/>
      <c r="M514" s="113"/>
      <c r="N514" s="108"/>
      <c r="O514" s="108"/>
    </row>
    <row r="515" ht="6.0" customHeight="1">
      <c r="A515" s="108"/>
      <c r="B515" s="108"/>
      <c r="C515" s="109"/>
      <c r="D515" s="109"/>
      <c r="E515" s="109"/>
      <c r="F515" s="110"/>
      <c r="G515" s="110"/>
      <c r="H515" s="110"/>
      <c r="I515" s="111"/>
      <c r="J515" s="112"/>
      <c r="K515" s="112"/>
      <c r="L515" s="112"/>
      <c r="M515" s="113"/>
      <c r="N515" s="108"/>
      <c r="O515" s="108"/>
    </row>
    <row r="516" ht="6.0" customHeight="1">
      <c r="A516" s="108"/>
      <c r="B516" s="108"/>
      <c r="C516" s="109"/>
      <c r="D516" s="109"/>
      <c r="E516" s="109"/>
      <c r="F516" s="110"/>
      <c r="G516" s="110"/>
      <c r="H516" s="110"/>
      <c r="I516" s="111"/>
      <c r="J516" s="112"/>
      <c r="K516" s="112"/>
      <c r="L516" s="112"/>
      <c r="M516" s="113"/>
      <c r="N516" s="108"/>
      <c r="O516" s="108"/>
    </row>
    <row r="517" ht="6.0" customHeight="1">
      <c r="A517" s="108"/>
      <c r="B517" s="108"/>
      <c r="C517" s="109"/>
      <c r="D517" s="109"/>
      <c r="E517" s="109"/>
      <c r="F517" s="110"/>
      <c r="G517" s="110"/>
      <c r="H517" s="110"/>
      <c r="I517" s="111"/>
      <c r="J517" s="112"/>
      <c r="K517" s="112"/>
      <c r="L517" s="112"/>
      <c r="M517" s="113"/>
      <c r="N517" s="108"/>
      <c r="O517" s="108"/>
    </row>
    <row r="518" ht="6.0" customHeight="1">
      <c r="A518" s="108"/>
      <c r="B518" s="108"/>
      <c r="C518" s="109"/>
      <c r="D518" s="109"/>
      <c r="E518" s="109"/>
      <c r="F518" s="110"/>
      <c r="G518" s="110"/>
      <c r="H518" s="110"/>
      <c r="I518" s="111"/>
      <c r="J518" s="112"/>
      <c r="K518" s="112"/>
      <c r="L518" s="112"/>
      <c r="M518" s="113"/>
      <c r="N518" s="108"/>
      <c r="O518" s="108"/>
    </row>
    <row r="519" ht="6.0" customHeight="1">
      <c r="A519" s="108"/>
      <c r="B519" s="108"/>
      <c r="C519" s="109"/>
      <c r="D519" s="109"/>
      <c r="E519" s="109"/>
      <c r="F519" s="110"/>
      <c r="G519" s="110"/>
      <c r="H519" s="110"/>
      <c r="I519" s="111"/>
      <c r="J519" s="112"/>
      <c r="K519" s="112"/>
      <c r="L519" s="112"/>
      <c r="M519" s="113"/>
      <c r="N519" s="108"/>
      <c r="O519" s="108"/>
    </row>
    <row r="520" ht="6.0" customHeight="1">
      <c r="A520" s="108"/>
      <c r="B520" s="108"/>
      <c r="C520" s="109"/>
      <c r="D520" s="109"/>
      <c r="E520" s="109"/>
      <c r="F520" s="110"/>
      <c r="G520" s="110"/>
      <c r="H520" s="110"/>
      <c r="I520" s="111"/>
      <c r="J520" s="112"/>
      <c r="K520" s="112"/>
      <c r="L520" s="112"/>
      <c r="M520" s="113"/>
      <c r="N520" s="108"/>
      <c r="O520" s="108"/>
    </row>
    <row r="521" ht="6.0" customHeight="1">
      <c r="A521" s="108"/>
      <c r="B521" s="108"/>
      <c r="C521" s="109"/>
      <c r="D521" s="109"/>
      <c r="E521" s="109"/>
      <c r="F521" s="110"/>
      <c r="G521" s="110"/>
      <c r="H521" s="110"/>
      <c r="I521" s="111"/>
      <c r="J521" s="112"/>
      <c r="K521" s="112"/>
      <c r="L521" s="112"/>
      <c r="M521" s="113"/>
      <c r="N521" s="108"/>
      <c r="O521" s="108"/>
    </row>
    <row r="522" ht="6.0" customHeight="1">
      <c r="A522" s="108"/>
      <c r="B522" s="108"/>
      <c r="C522" s="109"/>
      <c r="D522" s="109"/>
      <c r="E522" s="109"/>
      <c r="F522" s="110"/>
      <c r="G522" s="110"/>
      <c r="H522" s="110"/>
      <c r="I522" s="111"/>
      <c r="J522" s="112"/>
      <c r="K522" s="112"/>
      <c r="L522" s="112"/>
      <c r="M522" s="113"/>
      <c r="N522" s="108"/>
      <c r="O522" s="108"/>
    </row>
    <row r="523" ht="6.0" customHeight="1">
      <c r="A523" s="108"/>
      <c r="B523" s="108"/>
      <c r="C523" s="109"/>
      <c r="D523" s="109"/>
      <c r="E523" s="109"/>
      <c r="F523" s="110"/>
      <c r="G523" s="110"/>
      <c r="H523" s="110"/>
      <c r="I523" s="111"/>
      <c r="J523" s="112"/>
      <c r="K523" s="112"/>
      <c r="L523" s="112"/>
      <c r="M523" s="113"/>
      <c r="N523" s="108"/>
      <c r="O523" s="108"/>
    </row>
    <row r="524" ht="6.0" customHeight="1">
      <c r="A524" s="108"/>
      <c r="B524" s="108"/>
      <c r="C524" s="109"/>
      <c r="D524" s="109"/>
      <c r="E524" s="109"/>
      <c r="F524" s="110"/>
      <c r="G524" s="110"/>
      <c r="H524" s="110"/>
      <c r="I524" s="111"/>
      <c r="J524" s="112"/>
      <c r="K524" s="112"/>
      <c r="L524" s="112"/>
      <c r="M524" s="113"/>
      <c r="N524" s="108"/>
      <c r="O524" s="108"/>
    </row>
    <row r="525" ht="6.0" customHeight="1">
      <c r="A525" s="108"/>
      <c r="B525" s="108"/>
      <c r="C525" s="109"/>
      <c r="D525" s="109"/>
      <c r="E525" s="109"/>
      <c r="F525" s="110"/>
      <c r="G525" s="110"/>
      <c r="H525" s="110"/>
      <c r="I525" s="111"/>
      <c r="J525" s="112"/>
      <c r="K525" s="112"/>
      <c r="L525" s="112"/>
      <c r="M525" s="113"/>
      <c r="N525" s="108"/>
      <c r="O525" s="108"/>
    </row>
    <row r="526" ht="6.0" customHeight="1">
      <c r="A526" s="108"/>
      <c r="B526" s="108"/>
      <c r="C526" s="109"/>
      <c r="D526" s="109"/>
      <c r="E526" s="109"/>
      <c r="F526" s="110"/>
      <c r="G526" s="110"/>
      <c r="H526" s="110"/>
      <c r="I526" s="111"/>
      <c r="J526" s="112"/>
      <c r="K526" s="112"/>
      <c r="L526" s="112"/>
      <c r="M526" s="113"/>
      <c r="N526" s="108"/>
      <c r="O526" s="108"/>
    </row>
    <row r="527" ht="6.0" customHeight="1">
      <c r="A527" s="108"/>
      <c r="B527" s="108"/>
      <c r="C527" s="109"/>
      <c r="D527" s="109"/>
      <c r="E527" s="109"/>
      <c r="F527" s="110"/>
      <c r="G527" s="110"/>
      <c r="H527" s="110"/>
      <c r="I527" s="111"/>
      <c r="J527" s="112"/>
      <c r="K527" s="112"/>
      <c r="L527" s="112"/>
      <c r="M527" s="113"/>
      <c r="N527" s="108"/>
      <c r="O527" s="108"/>
    </row>
    <row r="528" ht="6.0" customHeight="1">
      <c r="A528" s="108"/>
      <c r="B528" s="108"/>
      <c r="C528" s="109"/>
      <c r="D528" s="109"/>
      <c r="E528" s="109"/>
      <c r="F528" s="110"/>
      <c r="G528" s="110"/>
      <c r="H528" s="110"/>
      <c r="I528" s="111"/>
      <c r="J528" s="112"/>
      <c r="K528" s="112"/>
      <c r="L528" s="112"/>
      <c r="M528" s="113"/>
      <c r="N528" s="108"/>
      <c r="O528" s="108"/>
    </row>
    <row r="529" ht="6.0" customHeight="1">
      <c r="A529" s="108"/>
      <c r="B529" s="108"/>
      <c r="C529" s="109"/>
      <c r="D529" s="109"/>
      <c r="E529" s="109"/>
      <c r="F529" s="110"/>
      <c r="G529" s="110"/>
      <c r="H529" s="110"/>
      <c r="I529" s="111"/>
      <c r="J529" s="112"/>
      <c r="K529" s="112"/>
      <c r="L529" s="112"/>
      <c r="M529" s="113"/>
      <c r="N529" s="108"/>
      <c r="O529" s="108"/>
    </row>
    <row r="530" ht="6.0" customHeight="1">
      <c r="A530" s="108"/>
      <c r="B530" s="108"/>
      <c r="C530" s="109"/>
      <c r="D530" s="109"/>
      <c r="E530" s="109"/>
      <c r="F530" s="110"/>
      <c r="G530" s="110"/>
      <c r="H530" s="110"/>
      <c r="I530" s="111"/>
      <c r="J530" s="112"/>
      <c r="K530" s="112"/>
      <c r="L530" s="112"/>
      <c r="M530" s="113"/>
      <c r="N530" s="108"/>
      <c r="O530" s="108"/>
    </row>
    <row r="531" ht="6.0" customHeight="1">
      <c r="A531" s="108"/>
      <c r="B531" s="108"/>
      <c r="C531" s="109"/>
      <c r="D531" s="109"/>
      <c r="E531" s="109"/>
      <c r="F531" s="110"/>
      <c r="G531" s="110"/>
      <c r="H531" s="110"/>
      <c r="I531" s="111"/>
      <c r="J531" s="112"/>
      <c r="K531" s="112"/>
      <c r="L531" s="112"/>
      <c r="M531" s="113"/>
      <c r="N531" s="108"/>
      <c r="O531" s="108"/>
    </row>
    <row r="532" ht="6.0" customHeight="1">
      <c r="A532" s="108"/>
      <c r="B532" s="108"/>
      <c r="C532" s="109"/>
      <c r="D532" s="109"/>
      <c r="E532" s="109"/>
      <c r="F532" s="110"/>
      <c r="G532" s="110"/>
      <c r="H532" s="110"/>
      <c r="I532" s="111"/>
      <c r="J532" s="112"/>
      <c r="K532" s="112"/>
      <c r="L532" s="112"/>
      <c r="M532" s="113"/>
      <c r="N532" s="108"/>
      <c r="O532" s="108"/>
    </row>
    <row r="533" ht="6.0" customHeight="1">
      <c r="A533" s="108"/>
      <c r="B533" s="108"/>
      <c r="C533" s="109"/>
      <c r="D533" s="109"/>
      <c r="E533" s="109"/>
      <c r="F533" s="110"/>
      <c r="G533" s="110"/>
      <c r="H533" s="110"/>
      <c r="I533" s="111"/>
      <c r="J533" s="112"/>
      <c r="K533" s="112"/>
      <c r="L533" s="112"/>
      <c r="M533" s="113"/>
      <c r="N533" s="108"/>
      <c r="O533" s="108"/>
    </row>
    <row r="534" ht="6.0" customHeight="1">
      <c r="A534" s="108"/>
      <c r="B534" s="108"/>
      <c r="C534" s="109"/>
      <c r="D534" s="109"/>
      <c r="E534" s="109"/>
      <c r="F534" s="110"/>
      <c r="G534" s="110"/>
      <c r="H534" s="110"/>
      <c r="I534" s="111"/>
      <c r="J534" s="112"/>
      <c r="K534" s="112"/>
      <c r="L534" s="112"/>
      <c r="M534" s="113"/>
      <c r="N534" s="108"/>
      <c r="O534" s="108"/>
    </row>
    <row r="535" ht="6.0" customHeight="1">
      <c r="A535" s="108"/>
      <c r="B535" s="108"/>
      <c r="C535" s="109"/>
      <c r="D535" s="109"/>
      <c r="E535" s="109"/>
      <c r="F535" s="110"/>
      <c r="G535" s="110"/>
      <c r="H535" s="110"/>
      <c r="I535" s="111"/>
      <c r="J535" s="112"/>
      <c r="K535" s="112"/>
      <c r="L535" s="112"/>
      <c r="M535" s="113"/>
      <c r="N535" s="108"/>
      <c r="O535" s="108"/>
    </row>
    <row r="536" ht="6.0" customHeight="1">
      <c r="A536" s="108"/>
      <c r="B536" s="108"/>
      <c r="C536" s="109"/>
      <c r="D536" s="109"/>
      <c r="E536" s="109"/>
      <c r="F536" s="110"/>
      <c r="G536" s="110"/>
      <c r="H536" s="110"/>
      <c r="I536" s="111"/>
      <c r="J536" s="112"/>
      <c r="K536" s="112"/>
      <c r="L536" s="112"/>
      <c r="M536" s="113"/>
      <c r="N536" s="108"/>
      <c r="O536" s="108"/>
    </row>
    <row r="537" ht="6.0" customHeight="1">
      <c r="A537" s="108"/>
      <c r="B537" s="108"/>
      <c r="C537" s="109"/>
      <c r="D537" s="109"/>
      <c r="E537" s="109"/>
      <c r="F537" s="110"/>
      <c r="G537" s="110"/>
      <c r="H537" s="110"/>
      <c r="I537" s="111"/>
      <c r="J537" s="112"/>
      <c r="K537" s="112"/>
      <c r="L537" s="112"/>
      <c r="M537" s="113"/>
      <c r="N537" s="108"/>
      <c r="O537" s="108"/>
    </row>
    <row r="538" ht="6.0" customHeight="1">
      <c r="A538" s="108"/>
      <c r="B538" s="108"/>
      <c r="C538" s="109"/>
      <c r="D538" s="109"/>
      <c r="E538" s="109"/>
      <c r="F538" s="110"/>
      <c r="G538" s="110"/>
      <c r="H538" s="110"/>
      <c r="I538" s="111"/>
      <c r="J538" s="112"/>
      <c r="K538" s="112"/>
      <c r="L538" s="112"/>
      <c r="M538" s="113"/>
      <c r="N538" s="108"/>
      <c r="O538" s="108"/>
    </row>
    <row r="539" ht="6.0" customHeight="1">
      <c r="A539" s="108"/>
      <c r="B539" s="108"/>
      <c r="C539" s="109"/>
      <c r="D539" s="109"/>
      <c r="E539" s="109"/>
      <c r="F539" s="110"/>
      <c r="G539" s="110"/>
      <c r="H539" s="110"/>
      <c r="I539" s="111"/>
      <c r="J539" s="112"/>
      <c r="K539" s="112"/>
      <c r="L539" s="112"/>
      <c r="M539" s="113"/>
      <c r="N539" s="108"/>
      <c r="O539" s="108"/>
    </row>
    <row r="540" ht="6.0" customHeight="1">
      <c r="A540" s="108"/>
      <c r="B540" s="108"/>
      <c r="C540" s="109"/>
      <c r="D540" s="109"/>
      <c r="E540" s="109"/>
      <c r="F540" s="110"/>
      <c r="G540" s="110"/>
      <c r="H540" s="110"/>
      <c r="I540" s="111"/>
      <c r="J540" s="112"/>
      <c r="K540" s="112"/>
      <c r="L540" s="112"/>
      <c r="M540" s="113"/>
      <c r="N540" s="108"/>
      <c r="O540" s="108"/>
    </row>
    <row r="541" ht="6.0" customHeight="1">
      <c r="A541" s="108"/>
      <c r="B541" s="108"/>
      <c r="C541" s="109"/>
      <c r="D541" s="109"/>
      <c r="E541" s="109"/>
      <c r="F541" s="110"/>
      <c r="G541" s="110"/>
      <c r="H541" s="110"/>
      <c r="I541" s="111"/>
      <c r="J541" s="112"/>
      <c r="K541" s="112"/>
      <c r="L541" s="112"/>
      <c r="M541" s="113"/>
      <c r="N541" s="108"/>
      <c r="O541" s="108"/>
    </row>
    <row r="542" ht="6.0" customHeight="1">
      <c r="A542" s="108"/>
      <c r="B542" s="108"/>
      <c r="C542" s="109"/>
      <c r="D542" s="109"/>
      <c r="E542" s="109"/>
      <c r="F542" s="110"/>
      <c r="G542" s="110"/>
      <c r="H542" s="110"/>
      <c r="I542" s="111"/>
      <c r="J542" s="112"/>
      <c r="K542" s="112"/>
      <c r="L542" s="112"/>
      <c r="M542" s="113"/>
      <c r="N542" s="108"/>
      <c r="O542" s="108"/>
    </row>
    <row r="543" ht="6.0" customHeight="1">
      <c r="A543" s="108"/>
      <c r="B543" s="108"/>
      <c r="C543" s="109"/>
      <c r="D543" s="109"/>
      <c r="E543" s="109"/>
      <c r="F543" s="110"/>
      <c r="G543" s="110"/>
      <c r="H543" s="110"/>
      <c r="I543" s="111"/>
      <c r="J543" s="112"/>
      <c r="K543" s="112"/>
      <c r="L543" s="112"/>
      <c r="M543" s="113"/>
      <c r="N543" s="108"/>
      <c r="O543" s="108"/>
    </row>
    <row r="544" ht="6.0" customHeight="1">
      <c r="A544" s="108"/>
      <c r="B544" s="108"/>
      <c r="C544" s="109"/>
      <c r="D544" s="109"/>
      <c r="E544" s="109"/>
      <c r="F544" s="110"/>
      <c r="G544" s="110"/>
      <c r="H544" s="110"/>
      <c r="I544" s="111"/>
      <c r="J544" s="112"/>
      <c r="K544" s="112"/>
      <c r="L544" s="112"/>
      <c r="M544" s="113"/>
      <c r="N544" s="108"/>
      <c r="O544" s="108"/>
    </row>
    <row r="545" ht="6.0" customHeight="1">
      <c r="A545" s="108"/>
      <c r="B545" s="108"/>
      <c r="C545" s="109"/>
      <c r="D545" s="109"/>
      <c r="E545" s="109"/>
      <c r="F545" s="110"/>
      <c r="G545" s="110"/>
      <c r="H545" s="110"/>
      <c r="I545" s="111"/>
      <c r="J545" s="112"/>
      <c r="K545" s="112"/>
      <c r="L545" s="112"/>
      <c r="M545" s="113"/>
      <c r="N545" s="108"/>
      <c r="O545" s="108"/>
    </row>
    <row r="546" ht="6.0" customHeight="1">
      <c r="A546" s="108"/>
      <c r="B546" s="108"/>
      <c r="C546" s="109"/>
      <c r="D546" s="109"/>
      <c r="E546" s="109"/>
      <c r="F546" s="110"/>
      <c r="G546" s="110"/>
      <c r="H546" s="110"/>
      <c r="I546" s="111"/>
      <c r="J546" s="112"/>
      <c r="K546" s="112"/>
      <c r="L546" s="112"/>
      <c r="M546" s="113"/>
      <c r="N546" s="108"/>
      <c r="O546" s="108"/>
    </row>
    <row r="547" ht="6.0" customHeight="1">
      <c r="A547" s="108"/>
      <c r="B547" s="108"/>
      <c r="C547" s="109"/>
      <c r="D547" s="109"/>
      <c r="E547" s="109"/>
      <c r="F547" s="110"/>
      <c r="G547" s="110"/>
      <c r="H547" s="110"/>
      <c r="I547" s="111"/>
      <c r="J547" s="112"/>
      <c r="K547" s="112"/>
      <c r="L547" s="112"/>
      <c r="M547" s="113"/>
      <c r="N547" s="108"/>
      <c r="O547" s="108"/>
    </row>
    <row r="548" ht="6.0" customHeight="1">
      <c r="A548" s="108"/>
      <c r="B548" s="108"/>
      <c r="C548" s="109"/>
      <c r="D548" s="109"/>
      <c r="E548" s="109"/>
      <c r="F548" s="110"/>
      <c r="G548" s="110"/>
      <c r="H548" s="110"/>
      <c r="I548" s="111"/>
      <c r="J548" s="112"/>
      <c r="K548" s="112"/>
      <c r="L548" s="112"/>
      <c r="M548" s="113"/>
      <c r="N548" s="108"/>
      <c r="O548" s="108"/>
    </row>
    <row r="549" ht="6.0" customHeight="1">
      <c r="A549" s="108"/>
      <c r="B549" s="108"/>
      <c r="C549" s="109"/>
      <c r="D549" s="109"/>
      <c r="E549" s="109"/>
      <c r="F549" s="110"/>
      <c r="G549" s="110"/>
      <c r="H549" s="110"/>
      <c r="I549" s="111"/>
      <c r="J549" s="112"/>
      <c r="K549" s="112"/>
      <c r="L549" s="112"/>
      <c r="M549" s="113"/>
      <c r="N549" s="108"/>
      <c r="O549" s="108"/>
    </row>
    <row r="550" ht="6.0" customHeight="1">
      <c r="A550" s="108"/>
      <c r="B550" s="108"/>
      <c r="C550" s="109"/>
      <c r="D550" s="109"/>
      <c r="E550" s="109"/>
      <c r="F550" s="110"/>
      <c r="G550" s="110"/>
      <c r="H550" s="110"/>
      <c r="I550" s="111"/>
      <c r="J550" s="112"/>
      <c r="K550" s="112"/>
      <c r="L550" s="112"/>
      <c r="M550" s="113"/>
      <c r="N550" s="108"/>
      <c r="O550" s="108"/>
    </row>
    <row r="551" ht="6.0" customHeight="1">
      <c r="A551" s="108"/>
      <c r="B551" s="108"/>
      <c r="C551" s="109"/>
      <c r="D551" s="109"/>
      <c r="E551" s="109"/>
      <c r="F551" s="110"/>
      <c r="G551" s="110"/>
      <c r="H551" s="110"/>
      <c r="I551" s="111"/>
      <c r="J551" s="112"/>
      <c r="K551" s="112"/>
      <c r="L551" s="112"/>
      <c r="M551" s="113"/>
      <c r="N551" s="108"/>
      <c r="O551" s="108"/>
    </row>
    <row r="552" ht="6.0" customHeight="1">
      <c r="A552" s="108"/>
      <c r="B552" s="108"/>
      <c r="C552" s="109"/>
      <c r="D552" s="109"/>
      <c r="E552" s="109"/>
      <c r="F552" s="110"/>
      <c r="G552" s="110"/>
      <c r="H552" s="110"/>
      <c r="I552" s="111"/>
      <c r="J552" s="112"/>
      <c r="K552" s="112"/>
      <c r="L552" s="112"/>
      <c r="M552" s="113"/>
      <c r="N552" s="108"/>
      <c r="O552" s="108"/>
    </row>
    <row r="553" ht="6.0" customHeight="1">
      <c r="A553" s="108"/>
      <c r="B553" s="108"/>
      <c r="C553" s="109"/>
      <c r="D553" s="109"/>
      <c r="E553" s="109"/>
      <c r="F553" s="110"/>
      <c r="G553" s="110"/>
      <c r="H553" s="110"/>
      <c r="I553" s="111"/>
      <c r="J553" s="112"/>
      <c r="K553" s="112"/>
      <c r="L553" s="112"/>
      <c r="M553" s="113"/>
      <c r="N553" s="108"/>
      <c r="O553" s="108"/>
    </row>
    <row r="554" ht="6.0" customHeight="1">
      <c r="A554" s="108"/>
      <c r="B554" s="108"/>
      <c r="C554" s="109"/>
      <c r="D554" s="109"/>
      <c r="E554" s="109"/>
      <c r="F554" s="110"/>
      <c r="G554" s="110"/>
      <c r="H554" s="110"/>
      <c r="I554" s="111"/>
      <c r="J554" s="112"/>
      <c r="K554" s="112"/>
      <c r="L554" s="112"/>
      <c r="M554" s="113"/>
      <c r="N554" s="108"/>
      <c r="O554" s="108"/>
    </row>
    <row r="555" ht="6.0" customHeight="1">
      <c r="A555" s="108"/>
      <c r="B555" s="108"/>
      <c r="C555" s="109"/>
      <c r="D555" s="109"/>
      <c r="E555" s="109"/>
      <c r="F555" s="110"/>
      <c r="G555" s="110"/>
      <c r="H555" s="110"/>
      <c r="I555" s="111"/>
      <c r="J555" s="112"/>
      <c r="K555" s="112"/>
      <c r="L555" s="112"/>
      <c r="M555" s="113"/>
      <c r="N555" s="108"/>
      <c r="O555" s="108"/>
    </row>
    <row r="556" ht="6.0" customHeight="1">
      <c r="A556" s="108"/>
      <c r="B556" s="108"/>
      <c r="C556" s="109"/>
      <c r="D556" s="109"/>
      <c r="E556" s="109"/>
      <c r="F556" s="110"/>
      <c r="G556" s="110"/>
      <c r="H556" s="110"/>
      <c r="I556" s="111"/>
      <c r="J556" s="112"/>
      <c r="K556" s="112"/>
      <c r="L556" s="112"/>
      <c r="M556" s="113"/>
      <c r="N556" s="108"/>
      <c r="O556" s="108"/>
    </row>
    <row r="557" ht="6.0" customHeight="1">
      <c r="A557" s="108"/>
      <c r="B557" s="108"/>
      <c r="C557" s="109"/>
      <c r="D557" s="109"/>
      <c r="E557" s="109"/>
      <c r="F557" s="110"/>
      <c r="G557" s="110"/>
      <c r="H557" s="110"/>
      <c r="I557" s="111"/>
      <c r="J557" s="112"/>
      <c r="K557" s="112"/>
      <c r="L557" s="112"/>
      <c r="M557" s="113"/>
      <c r="N557" s="108"/>
      <c r="O557" s="108"/>
    </row>
    <row r="558" ht="6.0" customHeight="1">
      <c r="A558" s="108"/>
      <c r="B558" s="108"/>
      <c r="C558" s="109"/>
      <c r="D558" s="109"/>
      <c r="E558" s="109"/>
      <c r="F558" s="110"/>
      <c r="G558" s="110"/>
      <c r="H558" s="110"/>
      <c r="I558" s="111"/>
      <c r="J558" s="112"/>
      <c r="K558" s="112"/>
      <c r="L558" s="112"/>
      <c r="M558" s="113"/>
      <c r="N558" s="108"/>
      <c r="O558" s="108"/>
    </row>
    <row r="559" ht="6.0" customHeight="1">
      <c r="A559" s="108"/>
      <c r="B559" s="108"/>
      <c r="C559" s="109"/>
      <c r="D559" s="109"/>
      <c r="E559" s="109"/>
      <c r="F559" s="110"/>
      <c r="G559" s="110"/>
      <c r="H559" s="110"/>
      <c r="I559" s="111"/>
      <c r="J559" s="112"/>
      <c r="K559" s="112"/>
      <c r="L559" s="112"/>
      <c r="M559" s="113"/>
      <c r="N559" s="108"/>
      <c r="O559" s="108"/>
    </row>
    <row r="560" ht="6.0" customHeight="1">
      <c r="A560" s="108"/>
      <c r="B560" s="108"/>
      <c r="C560" s="109"/>
      <c r="D560" s="109"/>
      <c r="E560" s="109"/>
      <c r="F560" s="110"/>
      <c r="G560" s="110"/>
      <c r="H560" s="110"/>
      <c r="I560" s="111"/>
      <c r="J560" s="112"/>
      <c r="K560" s="112"/>
      <c r="L560" s="112"/>
      <c r="M560" s="113"/>
      <c r="N560" s="108"/>
      <c r="O560" s="108"/>
    </row>
    <row r="561" ht="6.0" customHeight="1">
      <c r="A561" s="108"/>
      <c r="B561" s="108"/>
      <c r="C561" s="109"/>
      <c r="D561" s="109"/>
      <c r="E561" s="109"/>
      <c r="F561" s="110"/>
      <c r="G561" s="110"/>
      <c r="H561" s="110"/>
      <c r="I561" s="111"/>
      <c r="J561" s="112"/>
      <c r="K561" s="112"/>
      <c r="L561" s="112"/>
      <c r="M561" s="113"/>
      <c r="N561" s="108"/>
      <c r="O561" s="108"/>
    </row>
    <row r="562" ht="6.0" customHeight="1">
      <c r="A562" s="108"/>
      <c r="B562" s="108"/>
      <c r="C562" s="109"/>
      <c r="D562" s="109"/>
      <c r="E562" s="109"/>
      <c r="F562" s="110"/>
      <c r="G562" s="110"/>
      <c r="H562" s="110"/>
      <c r="I562" s="111"/>
      <c r="J562" s="112"/>
      <c r="K562" s="112"/>
      <c r="L562" s="112"/>
      <c r="M562" s="113"/>
      <c r="N562" s="108"/>
      <c r="O562" s="108"/>
    </row>
    <row r="563" ht="6.0" customHeight="1">
      <c r="A563" s="108"/>
      <c r="B563" s="108"/>
      <c r="C563" s="109"/>
      <c r="D563" s="109"/>
      <c r="E563" s="109"/>
      <c r="F563" s="110"/>
      <c r="G563" s="110"/>
      <c r="H563" s="110"/>
      <c r="I563" s="111"/>
      <c r="J563" s="112"/>
      <c r="K563" s="112"/>
      <c r="L563" s="112"/>
      <c r="M563" s="113"/>
      <c r="N563" s="108"/>
      <c r="O563" s="108"/>
    </row>
    <row r="564" ht="6.0" customHeight="1">
      <c r="A564" s="108"/>
      <c r="B564" s="108"/>
      <c r="C564" s="109"/>
      <c r="D564" s="109"/>
      <c r="E564" s="109"/>
      <c r="F564" s="110"/>
      <c r="G564" s="110"/>
      <c r="H564" s="110"/>
      <c r="I564" s="111"/>
      <c r="J564" s="112"/>
      <c r="K564" s="112"/>
      <c r="L564" s="112"/>
      <c r="M564" s="113"/>
      <c r="N564" s="108"/>
      <c r="O564" s="108"/>
    </row>
    <row r="565" ht="6.0" customHeight="1">
      <c r="A565" s="108"/>
      <c r="B565" s="108"/>
      <c r="C565" s="109"/>
      <c r="D565" s="109"/>
      <c r="E565" s="109"/>
      <c r="F565" s="110"/>
      <c r="G565" s="110"/>
      <c r="H565" s="110"/>
      <c r="I565" s="111"/>
      <c r="J565" s="112"/>
      <c r="K565" s="112"/>
      <c r="L565" s="112"/>
      <c r="M565" s="113"/>
      <c r="N565" s="108"/>
      <c r="O565" s="108"/>
    </row>
    <row r="566" ht="6.0" customHeight="1">
      <c r="A566" s="108"/>
      <c r="B566" s="108"/>
      <c r="C566" s="109"/>
      <c r="D566" s="109"/>
      <c r="E566" s="109"/>
      <c r="F566" s="110"/>
      <c r="G566" s="110"/>
      <c r="H566" s="110"/>
      <c r="I566" s="111"/>
      <c r="J566" s="112"/>
      <c r="K566" s="112"/>
      <c r="L566" s="112"/>
      <c r="M566" s="113"/>
      <c r="N566" s="108"/>
      <c r="O566" s="108"/>
    </row>
    <row r="567" ht="6.0" customHeight="1">
      <c r="A567" s="108"/>
      <c r="B567" s="108"/>
      <c r="C567" s="109"/>
      <c r="D567" s="109"/>
      <c r="E567" s="109"/>
      <c r="F567" s="110"/>
      <c r="G567" s="110"/>
      <c r="H567" s="110"/>
      <c r="I567" s="111"/>
      <c r="J567" s="112"/>
      <c r="K567" s="112"/>
      <c r="L567" s="112"/>
      <c r="M567" s="113"/>
      <c r="N567" s="108"/>
      <c r="O567" s="108"/>
    </row>
    <row r="568" ht="6.0" customHeight="1">
      <c r="A568" s="108"/>
      <c r="B568" s="108"/>
      <c r="C568" s="109"/>
      <c r="D568" s="109"/>
      <c r="E568" s="109"/>
      <c r="F568" s="110"/>
      <c r="G568" s="110"/>
      <c r="H568" s="110"/>
      <c r="I568" s="111"/>
      <c r="J568" s="112"/>
      <c r="K568" s="112"/>
      <c r="L568" s="112"/>
      <c r="M568" s="113"/>
      <c r="N568" s="108"/>
      <c r="O568" s="108"/>
    </row>
    <row r="569" ht="6.0" customHeight="1">
      <c r="A569" s="108"/>
      <c r="B569" s="108"/>
      <c r="C569" s="109"/>
      <c r="D569" s="109"/>
      <c r="E569" s="109"/>
      <c r="F569" s="110"/>
      <c r="G569" s="110"/>
      <c r="H569" s="110"/>
      <c r="I569" s="111"/>
      <c r="J569" s="112"/>
      <c r="K569" s="112"/>
      <c r="L569" s="112"/>
      <c r="M569" s="113"/>
      <c r="N569" s="108"/>
      <c r="O569" s="108"/>
    </row>
    <row r="570" ht="6.0" customHeight="1">
      <c r="A570" s="108"/>
      <c r="B570" s="108"/>
      <c r="C570" s="109"/>
      <c r="D570" s="109"/>
      <c r="E570" s="109"/>
      <c r="F570" s="110"/>
      <c r="G570" s="110"/>
      <c r="H570" s="110"/>
      <c r="I570" s="111"/>
      <c r="J570" s="112"/>
      <c r="K570" s="112"/>
      <c r="L570" s="112"/>
      <c r="M570" s="113"/>
      <c r="N570" s="108"/>
      <c r="O570" s="108"/>
    </row>
    <row r="571" ht="6.0" customHeight="1">
      <c r="A571" s="108"/>
      <c r="B571" s="108"/>
      <c r="C571" s="109"/>
      <c r="D571" s="109"/>
      <c r="E571" s="109"/>
      <c r="F571" s="110"/>
      <c r="G571" s="110"/>
      <c r="H571" s="110"/>
      <c r="I571" s="111"/>
      <c r="J571" s="112"/>
      <c r="K571" s="112"/>
      <c r="L571" s="112"/>
      <c r="M571" s="113"/>
      <c r="N571" s="108"/>
      <c r="O571" s="108"/>
    </row>
    <row r="572" ht="6.0" customHeight="1">
      <c r="A572" s="108"/>
      <c r="B572" s="108"/>
      <c r="C572" s="109"/>
      <c r="D572" s="109"/>
      <c r="E572" s="109"/>
      <c r="F572" s="110"/>
      <c r="G572" s="110"/>
      <c r="H572" s="110"/>
      <c r="I572" s="111"/>
      <c r="J572" s="112"/>
      <c r="K572" s="112"/>
      <c r="L572" s="112"/>
      <c r="M572" s="113"/>
      <c r="N572" s="108"/>
      <c r="O572" s="108"/>
    </row>
    <row r="573" ht="6.0" customHeight="1">
      <c r="A573" s="108"/>
      <c r="B573" s="108"/>
      <c r="C573" s="109"/>
      <c r="D573" s="109"/>
      <c r="E573" s="109"/>
      <c r="F573" s="110"/>
      <c r="G573" s="110"/>
      <c r="H573" s="110"/>
      <c r="I573" s="111"/>
      <c r="J573" s="112"/>
      <c r="K573" s="112"/>
      <c r="L573" s="112"/>
      <c r="M573" s="113"/>
      <c r="N573" s="108"/>
      <c r="O573" s="108"/>
    </row>
    <row r="574" ht="6.0" customHeight="1">
      <c r="A574" s="108"/>
      <c r="B574" s="108"/>
      <c r="C574" s="109"/>
      <c r="D574" s="109"/>
      <c r="E574" s="109"/>
      <c r="F574" s="110"/>
      <c r="G574" s="110"/>
      <c r="H574" s="110"/>
      <c r="I574" s="111"/>
      <c r="J574" s="112"/>
      <c r="K574" s="112"/>
      <c r="L574" s="112"/>
      <c r="M574" s="113"/>
      <c r="N574" s="108"/>
      <c r="O574" s="108"/>
    </row>
    <row r="575" ht="6.0" customHeight="1">
      <c r="A575" s="108"/>
      <c r="B575" s="108"/>
      <c r="C575" s="109"/>
      <c r="D575" s="109"/>
      <c r="E575" s="109"/>
      <c r="F575" s="110"/>
      <c r="G575" s="110"/>
      <c r="H575" s="110"/>
      <c r="I575" s="111"/>
      <c r="J575" s="112"/>
      <c r="K575" s="112"/>
      <c r="L575" s="112"/>
      <c r="M575" s="113"/>
      <c r="N575" s="108"/>
      <c r="O575" s="108"/>
    </row>
    <row r="576" ht="6.0" customHeight="1">
      <c r="A576" s="108"/>
      <c r="B576" s="108"/>
      <c r="C576" s="109"/>
      <c r="D576" s="109"/>
      <c r="E576" s="109"/>
      <c r="F576" s="110"/>
      <c r="G576" s="110"/>
      <c r="H576" s="110"/>
      <c r="I576" s="111"/>
      <c r="J576" s="112"/>
      <c r="K576" s="112"/>
      <c r="L576" s="112"/>
      <c r="M576" s="113"/>
      <c r="N576" s="108"/>
      <c r="O576" s="108"/>
    </row>
    <row r="577" ht="6.0" customHeight="1">
      <c r="A577" s="108"/>
      <c r="B577" s="108"/>
      <c r="C577" s="109"/>
      <c r="D577" s="109"/>
      <c r="E577" s="109"/>
      <c r="F577" s="110"/>
      <c r="G577" s="110"/>
      <c r="H577" s="110"/>
      <c r="I577" s="111"/>
      <c r="J577" s="112"/>
      <c r="K577" s="112"/>
      <c r="L577" s="112"/>
      <c r="M577" s="113"/>
      <c r="N577" s="108"/>
      <c r="O577" s="108"/>
    </row>
    <row r="578" ht="6.0" customHeight="1">
      <c r="A578" s="108"/>
      <c r="B578" s="108"/>
      <c r="C578" s="109"/>
      <c r="D578" s="109"/>
      <c r="E578" s="109"/>
      <c r="F578" s="110"/>
      <c r="G578" s="110"/>
      <c r="H578" s="110"/>
      <c r="I578" s="111"/>
      <c r="J578" s="112"/>
      <c r="K578" s="112"/>
      <c r="L578" s="112"/>
      <c r="M578" s="113"/>
      <c r="N578" s="108"/>
      <c r="O578" s="108"/>
    </row>
    <row r="579" ht="6.0" customHeight="1">
      <c r="A579" s="108"/>
      <c r="B579" s="108"/>
      <c r="C579" s="109"/>
      <c r="D579" s="109"/>
      <c r="E579" s="109"/>
      <c r="F579" s="110"/>
      <c r="G579" s="110"/>
      <c r="H579" s="110"/>
      <c r="I579" s="111"/>
      <c r="J579" s="112"/>
      <c r="K579" s="112"/>
      <c r="L579" s="112"/>
      <c r="M579" s="113"/>
      <c r="N579" s="108"/>
      <c r="O579" s="108"/>
    </row>
    <row r="580" ht="6.0" customHeight="1">
      <c r="A580" s="108"/>
      <c r="B580" s="108"/>
      <c r="C580" s="109"/>
      <c r="D580" s="109"/>
      <c r="E580" s="109"/>
      <c r="F580" s="110"/>
      <c r="G580" s="110"/>
      <c r="H580" s="110"/>
      <c r="I580" s="111"/>
      <c r="J580" s="112"/>
      <c r="K580" s="112"/>
      <c r="L580" s="112"/>
      <c r="M580" s="113"/>
      <c r="N580" s="108"/>
      <c r="O580" s="108"/>
    </row>
    <row r="581" ht="6.0" customHeight="1">
      <c r="A581" s="108"/>
      <c r="B581" s="108"/>
      <c r="C581" s="109"/>
      <c r="D581" s="109"/>
      <c r="E581" s="109"/>
      <c r="F581" s="110"/>
      <c r="G581" s="110"/>
      <c r="H581" s="110"/>
      <c r="I581" s="111"/>
      <c r="J581" s="112"/>
      <c r="K581" s="112"/>
      <c r="L581" s="112"/>
      <c r="M581" s="113"/>
      <c r="N581" s="108"/>
      <c r="O581" s="108"/>
    </row>
    <row r="582" ht="6.0" customHeight="1">
      <c r="A582" s="108"/>
      <c r="B582" s="108"/>
      <c r="C582" s="109"/>
      <c r="D582" s="109"/>
      <c r="E582" s="109"/>
      <c r="F582" s="110"/>
      <c r="G582" s="110"/>
      <c r="H582" s="110"/>
      <c r="I582" s="111"/>
      <c r="J582" s="112"/>
      <c r="K582" s="112"/>
      <c r="L582" s="112"/>
      <c r="M582" s="113"/>
      <c r="N582" s="108"/>
      <c r="O582" s="108"/>
    </row>
    <row r="583" ht="6.0" customHeight="1">
      <c r="A583" s="108"/>
      <c r="B583" s="108"/>
      <c r="C583" s="109"/>
      <c r="D583" s="109"/>
      <c r="E583" s="109"/>
      <c r="F583" s="110"/>
      <c r="G583" s="110"/>
      <c r="H583" s="110"/>
      <c r="I583" s="111"/>
      <c r="J583" s="112"/>
      <c r="K583" s="112"/>
      <c r="L583" s="112"/>
      <c r="M583" s="113"/>
      <c r="N583" s="108"/>
      <c r="O583" s="108"/>
    </row>
    <row r="584" ht="6.0" customHeight="1">
      <c r="A584" s="108"/>
      <c r="B584" s="108"/>
      <c r="C584" s="109"/>
      <c r="D584" s="109"/>
      <c r="E584" s="109"/>
      <c r="F584" s="110"/>
      <c r="G584" s="110"/>
      <c r="H584" s="110"/>
      <c r="I584" s="111"/>
      <c r="J584" s="112"/>
      <c r="K584" s="112"/>
      <c r="L584" s="112"/>
      <c r="M584" s="113"/>
      <c r="N584" s="108"/>
      <c r="O584" s="108"/>
    </row>
    <row r="585" ht="6.0" customHeight="1">
      <c r="A585" s="108"/>
      <c r="B585" s="108"/>
      <c r="C585" s="109"/>
      <c r="D585" s="109"/>
      <c r="E585" s="109"/>
      <c r="F585" s="110"/>
      <c r="G585" s="110"/>
      <c r="H585" s="110"/>
      <c r="I585" s="111"/>
      <c r="J585" s="112"/>
      <c r="K585" s="112"/>
      <c r="L585" s="112"/>
      <c r="M585" s="113"/>
      <c r="N585" s="108"/>
      <c r="O585" s="108"/>
    </row>
    <row r="586" ht="6.0" customHeight="1">
      <c r="A586" s="108"/>
      <c r="B586" s="108"/>
      <c r="C586" s="109"/>
      <c r="D586" s="109"/>
      <c r="E586" s="109"/>
      <c r="F586" s="110"/>
      <c r="G586" s="110"/>
      <c r="H586" s="110"/>
      <c r="I586" s="111"/>
      <c r="J586" s="112"/>
      <c r="K586" s="112"/>
      <c r="L586" s="112"/>
      <c r="M586" s="113"/>
      <c r="N586" s="108"/>
      <c r="O586" s="108"/>
    </row>
    <row r="587" ht="6.0" customHeight="1">
      <c r="A587" s="108"/>
      <c r="B587" s="108"/>
      <c r="C587" s="109"/>
      <c r="D587" s="109"/>
      <c r="E587" s="109"/>
      <c r="F587" s="110"/>
      <c r="G587" s="110"/>
      <c r="H587" s="110"/>
      <c r="I587" s="111"/>
      <c r="J587" s="112"/>
      <c r="K587" s="112"/>
      <c r="L587" s="112"/>
      <c r="M587" s="113"/>
      <c r="N587" s="108"/>
      <c r="O587" s="108"/>
    </row>
    <row r="588" ht="6.0" customHeight="1">
      <c r="A588" s="108"/>
      <c r="B588" s="108"/>
      <c r="C588" s="109"/>
      <c r="D588" s="109"/>
      <c r="E588" s="109"/>
      <c r="F588" s="110"/>
      <c r="G588" s="110"/>
      <c r="H588" s="110"/>
      <c r="I588" s="111"/>
      <c r="J588" s="112"/>
      <c r="K588" s="112"/>
      <c r="L588" s="112"/>
      <c r="M588" s="113"/>
      <c r="N588" s="108"/>
      <c r="O588" s="108"/>
    </row>
    <row r="589" ht="6.0" customHeight="1">
      <c r="A589" s="108"/>
      <c r="B589" s="108"/>
      <c r="C589" s="109"/>
      <c r="D589" s="109"/>
      <c r="E589" s="109"/>
      <c r="F589" s="110"/>
      <c r="G589" s="110"/>
      <c r="H589" s="110"/>
      <c r="I589" s="111"/>
      <c r="J589" s="112"/>
      <c r="K589" s="112"/>
      <c r="L589" s="112"/>
      <c r="M589" s="113"/>
      <c r="N589" s="108"/>
      <c r="O589" s="108"/>
    </row>
    <row r="590" ht="6.0" customHeight="1">
      <c r="A590" s="108"/>
      <c r="B590" s="108"/>
      <c r="C590" s="109"/>
      <c r="D590" s="109"/>
      <c r="E590" s="109"/>
      <c r="F590" s="110"/>
      <c r="G590" s="110"/>
      <c r="H590" s="110"/>
      <c r="I590" s="111"/>
      <c r="J590" s="112"/>
      <c r="K590" s="112"/>
      <c r="L590" s="112"/>
      <c r="M590" s="113"/>
      <c r="N590" s="108"/>
      <c r="O590" s="108"/>
    </row>
    <row r="591" ht="6.0" customHeight="1">
      <c r="A591" s="108"/>
      <c r="B591" s="108"/>
      <c r="C591" s="109"/>
      <c r="D591" s="109"/>
      <c r="E591" s="109"/>
      <c r="F591" s="110"/>
      <c r="G591" s="110"/>
      <c r="H591" s="110"/>
      <c r="I591" s="111"/>
      <c r="J591" s="112"/>
      <c r="K591" s="112"/>
      <c r="L591" s="112"/>
      <c r="M591" s="113"/>
      <c r="N591" s="108"/>
      <c r="O591" s="108"/>
    </row>
    <row r="592" ht="6.0" customHeight="1">
      <c r="A592" s="108"/>
      <c r="B592" s="108"/>
      <c r="C592" s="109"/>
      <c r="D592" s="109"/>
      <c r="E592" s="109"/>
      <c r="F592" s="110"/>
      <c r="G592" s="110"/>
      <c r="H592" s="110"/>
      <c r="I592" s="111"/>
      <c r="J592" s="112"/>
      <c r="K592" s="112"/>
      <c r="L592" s="112"/>
      <c r="M592" s="113"/>
      <c r="N592" s="108"/>
      <c r="O592" s="108"/>
    </row>
    <row r="593" ht="6.0" customHeight="1">
      <c r="A593" s="108"/>
      <c r="B593" s="108"/>
      <c r="C593" s="109"/>
      <c r="D593" s="109"/>
      <c r="E593" s="109"/>
      <c r="F593" s="110"/>
      <c r="G593" s="110"/>
      <c r="H593" s="110"/>
      <c r="I593" s="111"/>
      <c r="J593" s="112"/>
      <c r="K593" s="112"/>
      <c r="L593" s="112"/>
      <c r="M593" s="113"/>
      <c r="N593" s="108"/>
      <c r="O593" s="108"/>
    </row>
    <row r="594" ht="6.0" customHeight="1">
      <c r="A594" s="108"/>
      <c r="B594" s="108"/>
      <c r="C594" s="109"/>
      <c r="D594" s="109"/>
      <c r="E594" s="109"/>
      <c r="F594" s="110"/>
      <c r="G594" s="110"/>
      <c r="H594" s="110"/>
      <c r="I594" s="111"/>
      <c r="J594" s="112"/>
      <c r="K594" s="112"/>
      <c r="L594" s="112"/>
      <c r="M594" s="113"/>
      <c r="N594" s="108"/>
      <c r="O594" s="108"/>
    </row>
    <row r="595" ht="6.0" customHeight="1">
      <c r="A595" s="108"/>
      <c r="B595" s="108"/>
      <c r="C595" s="109"/>
      <c r="D595" s="109"/>
      <c r="E595" s="109"/>
      <c r="F595" s="110"/>
      <c r="G595" s="110"/>
      <c r="H595" s="110"/>
      <c r="I595" s="111"/>
      <c r="J595" s="112"/>
      <c r="K595" s="112"/>
      <c r="L595" s="112"/>
      <c r="M595" s="113"/>
      <c r="N595" s="108"/>
      <c r="O595" s="108"/>
    </row>
    <row r="596" ht="6.0" customHeight="1">
      <c r="A596" s="108"/>
      <c r="B596" s="108"/>
      <c r="C596" s="109"/>
      <c r="D596" s="109"/>
      <c r="E596" s="109"/>
      <c r="F596" s="110"/>
      <c r="G596" s="110"/>
      <c r="H596" s="110"/>
      <c r="I596" s="111"/>
      <c r="J596" s="112"/>
      <c r="K596" s="112"/>
      <c r="L596" s="112"/>
      <c r="M596" s="113"/>
      <c r="N596" s="108"/>
      <c r="O596" s="108"/>
    </row>
    <row r="597" ht="6.0" customHeight="1">
      <c r="A597" s="108"/>
      <c r="B597" s="108"/>
      <c r="C597" s="109"/>
      <c r="D597" s="109"/>
      <c r="E597" s="109"/>
      <c r="F597" s="110"/>
      <c r="G597" s="110"/>
      <c r="H597" s="110"/>
      <c r="I597" s="111"/>
      <c r="J597" s="112"/>
      <c r="K597" s="112"/>
      <c r="L597" s="112"/>
      <c r="M597" s="113"/>
      <c r="N597" s="108"/>
      <c r="O597" s="108"/>
    </row>
    <row r="598" ht="6.0" customHeight="1">
      <c r="A598" s="108"/>
      <c r="B598" s="108"/>
      <c r="C598" s="109"/>
      <c r="D598" s="109"/>
      <c r="E598" s="109"/>
      <c r="F598" s="110"/>
      <c r="G598" s="110"/>
      <c r="H598" s="110"/>
      <c r="I598" s="111"/>
      <c r="J598" s="112"/>
      <c r="K598" s="112"/>
      <c r="L598" s="112"/>
      <c r="M598" s="113"/>
      <c r="N598" s="108"/>
      <c r="O598" s="108"/>
    </row>
    <row r="599" ht="6.0" customHeight="1">
      <c r="A599" s="108"/>
      <c r="B599" s="108"/>
      <c r="C599" s="109"/>
      <c r="D599" s="109"/>
      <c r="E599" s="109"/>
      <c r="F599" s="110"/>
      <c r="G599" s="110"/>
      <c r="H599" s="110"/>
      <c r="I599" s="111"/>
      <c r="J599" s="112"/>
      <c r="K599" s="112"/>
      <c r="L599" s="112"/>
      <c r="M599" s="113"/>
      <c r="N599" s="108"/>
      <c r="O599" s="108"/>
    </row>
    <row r="600" ht="6.0" customHeight="1">
      <c r="A600" s="108"/>
      <c r="B600" s="108"/>
      <c r="C600" s="109"/>
      <c r="D600" s="109"/>
      <c r="E600" s="109"/>
      <c r="F600" s="110"/>
      <c r="G600" s="110"/>
      <c r="H600" s="110"/>
      <c r="I600" s="111"/>
      <c r="J600" s="112"/>
      <c r="K600" s="112"/>
      <c r="L600" s="112"/>
      <c r="M600" s="113"/>
      <c r="N600" s="108"/>
      <c r="O600" s="108"/>
    </row>
    <row r="601" ht="6.0" customHeight="1">
      <c r="A601" s="108"/>
      <c r="B601" s="108"/>
      <c r="C601" s="109"/>
      <c r="D601" s="109"/>
      <c r="E601" s="109"/>
      <c r="F601" s="110"/>
      <c r="G601" s="110"/>
      <c r="H601" s="110"/>
      <c r="I601" s="111"/>
      <c r="J601" s="112"/>
      <c r="K601" s="112"/>
      <c r="L601" s="112"/>
      <c r="M601" s="113"/>
      <c r="N601" s="108"/>
      <c r="O601" s="108"/>
    </row>
    <row r="602" ht="6.0" customHeight="1">
      <c r="A602" s="108"/>
      <c r="B602" s="108"/>
      <c r="C602" s="109"/>
      <c r="D602" s="109"/>
      <c r="E602" s="109"/>
      <c r="F602" s="110"/>
      <c r="G602" s="110"/>
      <c r="H602" s="110"/>
      <c r="I602" s="111"/>
      <c r="J602" s="112"/>
      <c r="K602" s="112"/>
      <c r="L602" s="112"/>
      <c r="M602" s="113"/>
      <c r="N602" s="108"/>
      <c r="O602" s="108"/>
    </row>
    <row r="603" ht="6.0" customHeight="1">
      <c r="A603" s="108"/>
      <c r="B603" s="108"/>
      <c r="C603" s="109"/>
      <c r="D603" s="109"/>
      <c r="E603" s="109"/>
      <c r="F603" s="110"/>
      <c r="G603" s="110"/>
      <c r="H603" s="110"/>
      <c r="I603" s="111"/>
      <c r="J603" s="112"/>
      <c r="K603" s="112"/>
      <c r="L603" s="112"/>
      <c r="M603" s="113"/>
      <c r="N603" s="108"/>
      <c r="O603" s="108"/>
    </row>
    <row r="604" ht="6.0" customHeight="1">
      <c r="A604" s="108"/>
      <c r="B604" s="108"/>
      <c r="C604" s="109"/>
      <c r="D604" s="109"/>
      <c r="E604" s="109"/>
      <c r="F604" s="110"/>
      <c r="G604" s="110"/>
      <c r="H604" s="110"/>
      <c r="I604" s="111"/>
      <c r="J604" s="112"/>
      <c r="K604" s="112"/>
      <c r="L604" s="112"/>
      <c r="M604" s="113"/>
      <c r="N604" s="108"/>
      <c r="O604" s="108"/>
    </row>
    <row r="605" ht="6.0" customHeight="1">
      <c r="A605" s="108"/>
      <c r="B605" s="108"/>
      <c r="C605" s="109"/>
      <c r="D605" s="109"/>
      <c r="E605" s="109"/>
      <c r="F605" s="110"/>
      <c r="G605" s="110"/>
      <c r="H605" s="110"/>
      <c r="I605" s="111"/>
      <c r="J605" s="112"/>
      <c r="K605" s="112"/>
      <c r="L605" s="112"/>
      <c r="M605" s="113"/>
      <c r="N605" s="108"/>
      <c r="O605" s="108"/>
    </row>
    <row r="606" ht="6.0" customHeight="1">
      <c r="A606" s="108"/>
      <c r="B606" s="108"/>
      <c r="C606" s="109"/>
      <c r="D606" s="109"/>
      <c r="E606" s="109"/>
      <c r="F606" s="110"/>
      <c r="G606" s="110"/>
      <c r="H606" s="110"/>
      <c r="I606" s="111"/>
      <c r="J606" s="112"/>
      <c r="K606" s="112"/>
      <c r="L606" s="112"/>
      <c r="M606" s="113"/>
      <c r="N606" s="108"/>
      <c r="O606" s="108"/>
    </row>
    <row r="607" ht="6.0" customHeight="1">
      <c r="A607" s="108"/>
      <c r="B607" s="108"/>
      <c r="C607" s="109"/>
      <c r="D607" s="109"/>
      <c r="E607" s="109"/>
      <c r="F607" s="110"/>
      <c r="G607" s="110"/>
      <c r="H607" s="110"/>
      <c r="I607" s="111"/>
      <c r="J607" s="112"/>
      <c r="K607" s="112"/>
      <c r="L607" s="112"/>
      <c r="M607" s="113"/>
      <c r="N607" s="108"/>
      <c r="O607" s="108"/>
    </row>
    <row r="608" ht="6.0" customHeight="1">
      <c r="A608" s="108"/>
      <c r="B608" s="108"/>
      <c r="C608" s="109"/>
      <c r="D608" s="109"/>
      <c r="E608" s="109"/>
      <c r="F608" s="110"/>
      <c r="G608" s="110"/>
      <c r="H608" s="110"/>
      <c r="I608" s="111"/>
      <c r="J608" s="112"/>
      <c r="K608" s="112"/>
      <c r="L608" s="112"/>
      <c r="M608" s="113"/>
      <c r="N608" s="108"/>
      <c r="O608" s="108"/>
    </row>
    <row r="609" ht="6.0" customHeight="1">
      <c r="A609" s="108"/>
      <c r="B609" s="108"/>
      <c r="C609" s="109"/>
      <c r="D609" s="109"/>
      <c r="E609" s="109"/>
      <c r="F609" s="110"/>
      <c r="G609" s="110"/>
      <c r="H609" s="110"/>
      <c r="I609" s="111"/>
      <c r="J609" s="112"/>
      <c r="K609" s="112"/>
      <c r="L609" s="112"/>
      <c r="M609" s="113"/>
      <c r="N609" s="108"/>
      <c r="O609" s="108"/>
    </row>
    <row r="610" ht="6.0" customHeight="1">
      <c r="A610" s="108"/>
      <c r="B610" s="108"/>
      <c r="C610" s="109"/>
      <c r="D610" s="109"/>
      <c r="E610" s="109"/>
      <c r="F610" s="110"/>
      <c r="G610" s="110"/>
      <c r="H610" s="110"/>
      <c r="I610" s="111"/>
      <c r="J610" s="112"/>
      <c r="K610" s="112"/>
      <c r="L610" s="112"/>
      <c r="M610" s="113"/>
      <c r="N610" s="108"/>
      <c r="O610" s="108"/>
    </row>
    <row r="611" ht="6.0" customHeight="1">
      <c r="A611" s="108"/>
      <c r="B611" s="108"/>
      <c r="C611" s="109"/>
      <c r="D611" s="109"/>
      <c r="E611" s="109"/>
      <c r="F611" s="110"/>
      <c r="G611" s="110"/>
      <c r="H611" s="110"/>
      <c r="I611" s="111"/>
      <c r="J611" s="112"/>
      <c r="K611" s="112"/>
      <c r="L611" s="112"/>
      <c r="M611" s="113"/>
      <c r="N611" s="108"/>
      <c r="O611" s="108"/>
    </row>
    <row r="612" ht="6.0" customHeight="1">
      <c r="A612" s="108"/>
      <c r="B612" s="108"/>
      <c r="C612" s="109"/>
      <c r="D612" s="109"/>
      <c r="E612" s="109"/>
      <c r="F612" s="110"/>
      <c r="G612" s="110"/>
      <c r="H612" s="110"/>
      <c r="I612" s="111"/>
      <c r="J612" s="112"/>
      <c r="K612" s="112"/>
      <c r="L612" s="112"/>
      <c r="M612" s="113"/>
      <c r="N612" s="108"/>
      <c r="O612" s="108"/>
    </row>
    <row r="613" ht="6.0" customHeight="1">
      <c r="A613" s="108"/>
      <c r="B613" s="108"/>
      <c r="C613" s="109"/>
      <c r="D613" s="109"/>
      <c r="E613" s="109"/>
      <c r="F613" s="110"/>
      <c r="G613" s="110"/>
      <c r="H613" s="110"/>
      <c r="I613" s="111"/>
      <c r="J613" s="112"/>
      <c r="K613" s="112"/>
      <c r="L613" s="112"/>
      <c r="M613" s="113"/>
      <c r="N613" s="108"/>
      <c r="O613" s="108"/>
    </row>
    <row r="614" ht="6.0" customHeight="1">
      <c r="A614" s="108"/>
      <c r="B614" s="108"/>
      <c r="C614" s="109"/>
      <c r="D614" s="109"/>
      <c r="E614" s="109"/>
      <c r="F614" s="110"/>
      <c r="G614" s="110"/>
      <c r="H614" s="110"/>
      <c r="I614" s="111"/>
      <c r="J614" s="112"/>
      <c r="K614" s="112"/>
      <c r="L614" s="112"/>
      <c r="M614" s="113"/>
      <c r="N614" s="108"/>
      <c r="O614" s="108"/>
    </row>
    <row r="615" ht="6.0" customHeight="1">
      <c r="A615" s="108"/>
      <c r="B615" s="108"/>
      <c r="C615" s="109"/>
      <c r="D615" s="109"/>
      <c r="E615" s="109"/>
      <c r="F615" s="110"/>
      <c r="G615" s="110"/>
      <c r="H615" s="110"/>
      <c r="I615" s="111"/>
      <c r="J615" s="112"/>
      <c r="K615" s="112"/>
      <c r="L615" s="112"/>
      <c r="M615" s="113"/>
      <c r="N615" s="108"/>
      <c r="O615" s="108"/>
    </row>
    <row r="616" ht="6.0" customHeight="1">
      <c r="A616" s="108"/>
      <c r="B616" s="108"/>
      <c r="C616" s="109"/>
      <c r="D616" s="109"/>
      <c r="E616" s="109"/>
      <c r="F616" s="110"/>
      <c r="G616" s="110"/>
      <c r="H616" s="110"/>
      <c r="I616" s="111"/>
      <c r="J616" s="112"/>
      <c r="K616" s="112"/>
      <c r="L616" s="112"/>
      <c r="M616" s="113"/>
      <c r="N616" s="108"/>
      <c r="O616" s="108"/>
    </row>
    <row r="617" ht="6.0" customHeight="1">
      <c r="A617" s="108"/>
      <c r="B617" s="108"/>
      <c r="C617" s="109"/>
      <c r="D617" s="109"/>
      <c r="E617" s="109"/>
      <c r="F617" s="110"/>
      <c r="G617" s="110"/>
      <c r="H617" s="110"/>
      <c r="I617" s="111"/>
      <c r="J617" s="112"/>
      <c r="K617" s="112"/>
      <c r="L617" s="112"/>
      <c r="M617" s="113"/>
      <c r="N617" s="108"/>
      <c r="O617" s="108"/>
    </row>
    <row r="618" ht="6.0" customHeight="1">
      <c r="A618" s="108"/>
      <c r="B618" s="108"/>
      <c r="C618" s="109"/>
      <c r="D618" s="109"/>
      <c r="E618" s="109"/>
      <c r="F618" s="110"/>
      <c r="G618" s="110"/>
      <c r="H618" s="110"/>
      <c r="I618" s="111"/>
      <c r="J618" s="112"/>
      <c r="K618" s="112"/>
      <c r="L618" s="112"/>
      <c r="M618" s="113"/>
      <c r="N618" s="108"/>
      <c r="O618" s="108"/>
    </row>
    <row r="619" ht="6.0" customHeight="1">
      <c r="A619" s="108"/>
      <c r="B619" s="108"/>
      <c r="C619" s="109"/>
      <c r="D619" s="109"/>
      <c r="E619" s="109"/>
      <c r="F619" s="110"/>
      <c r="G619" s="110"/>
      <c r="H619" s="110"/>
      <c r="I619" s="111"/>
      <c r="J619" s="112"/>
      <c r="K619" s="112"/>
      <c r="L619" s="112"/>
      <c r="M619" s="113"/>
      <c r="N619" s="108"/>
      <c r="O619" s="108"/>
    </row>
    <row r="620" ht="6.0" customHeight="1">
      <c r="A620" s="108"/>
      <c r="B620" s="108"/>
      <c r="C620" s="109"/>
      <c r="D620" s="109"/>
      <c r="E620" s="109"/>
      <c r="F620" s="110"/>
      <c r="G620" s="110"/>
      <c r="H620" s="110"/>
      <c r="I620" s="111"/>
      <c r="J620" s="112"/>
      <c r="K620" s="112"/>
      <c r="L620" s="112"/>
      <c r="M620" s="113"/>
      <c r="N620" s="108"/>
      <c r="O620" s="108"/>
    </row>
    <row r="621" ht="6.0" customHeight="1">
      <c r="A621" s="108"/>
      <c r="B621" s="108"/>
      <c r="C621" s="109"/>
      <c r="D621" s="109"/>
      <c r="E621" s="109"/>
      <c r="F621" s="110"/>
      <c r="G621" s="110"/>
      <c r="H621" s="110"/>
      <c r="I621" s="111"/>
      <c r="J621" s="112"/>
      <c r="K621" s="112"/>
      <c r="L621" s="112"/>
      <c r="M621" s="113"/>
      <c r="N621" s="108"/>
      <c r="O621" s="108"/>
    </row>
    <row r="622" ht="6.0" customHeight="1">
      <c r="A622" s="108"/>
      <c r="B622" s="108"/>
      <c r="C622" s="109"/>
      <c r="D622" s="109"/>
      <c r="E622" s="109"/>
      <c r="F622" s="110"/>
      <c r="G622" s="110"/>
      <c r="H622" s="110"/>
      <c r="I622" s="111"/>
      <c r="J622" s="112"/>
      <c r="K622" s="112"/>
      <c r="L622" s="112"/>
      <c r="M622" s="113"/>
      <c r="N622" s="108"/>
      <c r="O622" s="108"/>
    </row>
    <row r="623" ht="6.0" customHeight="1">
      <c r="A623" s="108"/>
      <c r="B623" s="108"/>
      <c r="C623" s="109"/>
      <c r="D623" s="109"/>
      <c r="E623" s="109"/>
      <c r="F623" s="110"/>
      <c r="G623" s="110"/>
      <c r="H623" s="110"/>
      <c r="I623" s="111"/>
      <c r="J623" s="112"/>
      <c r="K623" s="112"/>
      <c r="L623" s="112"/>
      <c r="M623" s="113"/>
      <c r="N623" s="108"/>
      <c r="O623" s="108"/>
    </row>
    <row r="624" ht="6.0" customHeight="1">
      <c r="A624" s="108"/>
      <c r="B624" s="108"/>
      <c r="C624" s="109"/>
      <c r="D624" s="109"/>
      <c r="E624" s="109"/>
      <c r="F624" s="110"/>
      <c r="G624" s="110"/>
      <c r="H624" s="110"/>
      <c r="I624" s="111"/>
      <c r="J624" s="112"/>
      <c r="K624" s="112"/>
      <c r="L624" s="112"/>
      <c r="M624" s="113"/>
      <c r="N624" s="108"/>
      <c r="O624" s="108"/>
    </row>
    <row r="625" ht="6.0" customHeight="1">
      <c r="A625" s="108"/>
      <c r="B625" s="108"/>
      <c r="C625" s="109"/>
      <c r="D625" s="109"/>
      <c r="E625" s="109"/>
      <c r="F625" s="110"/>
      <c r="G625" s="110"/>
      <c r="H625" s="110"/>
      <c r="I625" s="111"/>
      <c r="J625" s="112"/>
      <c r="K625" s="112"/>
      <c r="L625" s="112"/>
      <c r="M625" s="113"/>
      <c r="N625" s="108"/>
      <c r="O625" s="108"/>
    </row>
    <row r="626" ht="6.0" customHeight="1">
      <c r="A626" s="108"/>
      <c r="B626" s="108"/>
      <c r="C626" s="109"/>
      <c r="D626" s="109"/>
      <c r="E626" s="109"/>
      <c r="F626" s="110"/>
      <c r="G626" s="110"/>
      <c r="H626" s="110"/>
      <c r="I626" s="111"/>
      <c r="J626" s="112"/>
      <c r="K626" s="112"/>
      <c r="L626" s="112"/>
      <c r="M626" s="113"/>
      <c r="N626" s="108"/>
      <c r="O626" s="108"/>
    </row>
    <row r="627" ht="6.0" customHeight="1">
      <c r="A627" s="108"/>
      <c r="B627" s="108"/>
      <c r="C627" s="109"/>
      <c r="D627" s="109"/>
      <c r="E627" s="109"/>
      <c r="F627" s="110"/>
      <c r="G627" s="110"/>
      <c r="H627" s="110"/>
      <c r="I627" s="111"/>
      <c r="J627" s="112"/>
      <c r="K627" s="112"/>
      <c r="L627" s="112"/>
      <c r="M627" s="113"/>
      <c r="N627" s="108"/>
      <c r="O627" s="108"/>
    </row>
    <row r="628" ht="6.0" customHeight="1">
      <c r="A628" s="108"/>
      <c r="B628" s="108"/>
      <c r="C628" s="109"/>
      <c r="D628" s="109"/>
      <c r="E628" s="109"/>
      <c r="F628" s="110"/>
      <c r="G628" s="110"/>
      <c r="H628" s="110"/>
      <c r="I628" s="111"/>
      <c r="J628" s="112"/>
      <c r="K628" s="112"/>
      <c r="L628" s="112"/>
      <c r="M628" s="113"/>
      <c r="N628" s="108"/>
      <c r="O628" s="108"/>
    </row>
    <row r="629" ht="6.0" customHeight="1">
      <c r="A629" s="108"/>
      <c r="B629" s="108"/>
      <c r="C629" s="109"/>
      <c r="D629" s="109"/>
      <c r="E629" s="109"/>
      <c r="F629" s="110"/>
      <c r="G629" s="110"/>
      <c r="H629" s="110"/>
      <c r="I629" s="111"/>
      <c r="J629" s="112"/>
      <c r="K629" s="112"/>
      <c r="L629" s="112"/>
      <c r="M629" s="113"/>
      <c r="N629" s="108"/>
      <c r="O629" s="108"/>
    </row>
    <row r="630" ht="6.0" customHeight="1">
      <c r="A630" s="108"/>
      <c r="B630" s="108"/>
      <c r="C630" s="109"/>
      <c r="D630" s="109"/>
      <c r="E630" s="109"/>
      <c r="F630" s="110"/>
      <c r="G630" s="110"/>
      <c r="H630" s="110"/>
      <c r="I630" s="111"/>
      <c r="J630" s="112"/>
      <c r="K630" s="112"/>
      <c r="L630" s="112"/>
      <c r="M630" s="113"/>
      <c r="N630" s="108"/>
      <c r="O630" s="108"/>
    </row>
    <row r="631" ht="6.0" customHeight="1">
      <c r="A631" s="108"/>
      <c r="B631" s="108"/>
      <c r="C631" s="109"/>
      <c r="D631" s="109"/>
      <c r="E631" s="109"/>
      <c r="F631" s="110"/>
      <c r="G631" s="110"/>
      <c r="H631" s="110"/>
      <c r="I631" s="111"/>
      <c r="J631" s="112"/>
      <c r="K631" s="112"/>
      <c r="L631" s="112"/>
      <c r="M631" s="113"/>
      <c r="N631" s="108"/>
      <c r="O631" s="108"/>
    </row>
    <row r="632" ht="6.0" customHeight="1">
      <c r="A632" s="108"/>
      <c r="B632" s="108"/>
      <c r="C632" s="109"/>
      <c r="D632" s="109"/>
      <c r="E632" s="109"/>
      <c r="F632" s="110"/>
      <c r="G632" s="110"/>
      <c r="H632" s="110"/>
      <c r="I632" s="111"/>
      <c r="J632" s="112"/>
      <c r="K632" s="112"/>
      <c r="L632" s="112"/>
      <c r="M632" s="113"/>
      <c r="N632" s="108"/>
      <c r="O632" s="108"/>
    </row>
    <row r="633" ht="6.0" customHeight="1">
      <c r="A633" s="108"/>
      <c r="B633" s="108"/>
      <c r="C633" s="109"/>
      <c r="D633" s="109"/>
      <c r="E633" s="109"/>
      <c r="F633" s="110"/>
      <c r="G633" s="110"/>
      <c r="H633" s="110"/>
      <c r="I633" s="111"/>
      <c r="J633" s="112"/>
      <c r="K633" s="112"/>
      <c r="L633" s="112"/>
      <c r="M633" s="113"/>
      <c r="N633" s="108"/>
      <c r="O633" s="108"/>
    </row>
    <row r="634" ht="6.0" customHeight="1">
      <c r="A634" s="108"/>
      <c r="B634" s="108"/>
      <c r="C634" s="109"/>
      <c r="D634" s="109"/>
      <c r="E634" s="109"/>
      <c r="F634" s="110"/>
      <c r="G634" s="110"/>
      <c r="H634" s="110"/>
      <c r="I634" s="111"/>
      <c r="J634" s="112"/>
      <c r="K634" s="112"/>
      <c r="L634" s="112"/>
      <c r="M634" s="113"/>
      <c r="N634" s="108"/>
      <c r="O634" s="108"/>
    </row>
    <row r="635" ht="6.0" customHeight="1">
      <c r="A635" s="108"/>
      <c r="B635" s="108"/>
      <c r="C635" s="109"/>
      <c r="D635" s="109"/>
      <c r="E635" s="109"/>
      <c r="F635" s="110"/>
      <c r="G635" s="110"/>
      <c r="H635" s="110"/>
      <c r="I635" s="111"/>
      <c r="J635" s="112"/>
      <c r="K635" s="112"/>
      <c r="L635" s="112"/>
      <c r="M635" s="113"/>
      <c r="N635" s="108"/>
      <c r="O635" s="108"/>
    </row>
    <row r="636" ht="6.0" customHeight="1">
      <c r="A636" s="108"/>
      <c r="B636" s="108"/>
      <c r="C636" s="109"/>
      <c r="D636" s="109"/>
      <c r="E636" s="109"/>
      <c r="F636" s="110"/>
      <c r="G636" s="110"/>
      <c r="H636" s="110"/>
      <c r="I636" s="111"/>
      <c r="J636" s="112"/>
      <c r="K636" s="112"/>
      <c r="L636" s="112"/>
      <c r="M636" s="113"/>
      <c r="N636" s="108"/>
      <c r="O636" s="108"/>
    </row>
    <row r="637" ht="6.0" customHeight="1">
      <c r="A637" s="108"/>
      <c r="B637" s="108"/>
      <c r="C637" s="109"/>
      <c r="D637" s="109"/>
      <c r="E637" s="109"/>
      <c r="F637" s="110"/>
      <c r="G637" s="110"/>
      <c r="H637" s="110"/>
      <c r="I637" s="111"/>
      <c r="J637" s="112"/>
      <c r="K637" s="112"/>
      <c r="L637" s="112"/>
      <c r="M637" s="113"/>
      <c r="N637" s="108"/>
      <c r="O637" s="108"/>
    </row>
    <row r="638" ht="6.0" customHeight="1">
      <c r="A638" s="108"/>
      <c r="B638" s="108"/>
      <c r="C638" s="109"/>
      <c r="D638" s="109"/>
      <c r="E638" s="109"/>
      <c r="F638" s="110"/>
      <c r="G638" s="110"/>
      <c r="H638" s="110"/>
      <c r="I638" s="111"/>
      <c r="J638" s="112"/>
      <c r="K638" s="112"/>
      <c r="L638" s="112"/>
      <c r="M638" s="113"/>
      <c r="N638" s="108"/>
      <c r="O638" s="108"/>
    </row>
    <row r="639" ht="6.0" customHeight="1">
      <c r="A639" s="108"/>
      <c r="B639" s="108"/>
      <c r="C639" s="109"/>
      <c r="D639" s="109"/>
      <c r="E639" s="109"/>
      <c r="F639" s="110"/>
      <c r="G639" s="110"/>
      <c r="H639" s="110"/>
      <c r="I639" s="111"/>
      <c r="J639" s="112"/>
      <c r="K639" s="112"/>
      <c r="L639" s="112"/>
      <c r="M639" s="113"/>
      <c r="N639" s="108"/>
      <c r="O639" s="108"/>
    </row>
    <row r="640" ht="6.0" customHeight="1">
      <c r="A640" s="108"/>
      <c r="B640" s="108"/>
      <c r="C640" s="109"/>
      <c r="D640" s="109"/>
      <c r="E640" s="109"/>
      <c r="F640" s="110"/>
      <c r="G640" s="110"/>
      <c r="H640" s="110"/>
      <c r="I640" s="111"/>
      <c r="J640" s="112"/>
      <c r="K640" s="112"/>
      <c r="L640" s="112"/>
      <c r="M640" s="113"/>
      <c r="N640" s="108"/>
      <c r="O640" s="108"/>
    </row>
    <row r="641" ht="6.0" customHeight="1">
      <c r="A641" s="108"/>
      <c r="B641" s="108"/>
      <c r="C641" s="109"/>
      <c r="D641" s="109"/>
      <c r="E641" s="109"/>
      <c r="F641" s="110"/>
      <c r="G641" s="110"/>
      <c r="H641" s="110"/>
      <c r="I641" s="111"/>
      <c r="J641" s="112"/>
      <c r="K641" s="112"/>
      <c r="L641" s="112"/>
      <c r="M641" s="113"/>
      <c r="N641" s="108"/>
      <c r="O641" s="108"/>
    </row>
    <row r="642" ht="6.0" customHeight="1">
      <c r="A642" s="108"/>
      <c r="B642" s="108"/>
      <c r="C642" s="109"/>
      <c r="D642" s="109"/>
      <c r="E642" s="109"/>
      <c r="F642" s="110"/>
      <c r="G642" s="110"/>
      <c r="H642" s="110"/>
      <c r="I642" s="111"/>
      <c r="J642" s="112"/>
      <c r="K642" s="112"/>
      <c r="L642" s="112"/>
      <c r="M642" s="113"/>
      <c r="N642" s="108"/>
      <c r="O642" s="108"/>
    </row>
    <row r="643" ht="6.0" customHeight="1">
      <c r="A643" s="108"/>
      <c r="B643" s="108"/>
      <c r="C643" s="109"/>
      <c r="D643" s="109"/>
      <c r="E643" s="109"/>
      <c r="F643" s="110"/>
      <c r="G643" s="110"/>
      <c r="H643" s="110"/>
      <c r="I643" s="111"/>
      <c r="J643" s="112"/>
      <c r="K643" s="112"/>
      <c r="L643" s="112"/>
      <c r="M643" s="113"/>
      <c r="N643" s="108"/>
      <c r="O643" s="108"/>
    </row>
    <row r="644" ht="6.0" customHeight="1">
      <c r="A644" s="108"/>
      <c r="B644" s="108"/>
      <c r="C644" s="109"/>
      <c r="D644" s="109"/>
      <c r="E644" s="109"/>
      <c r="F644" s="110"/>
      <c r="G644" s="110"/>
      <c r="H644" s="110"/>
      <c r="I644" s="111"/>
      <c r="J644" s="112"/>
      <c r="K644" s="112"/>
      <c r="L644" s="112"/>
      <c r="M644" s="113"/>
      <c r="N644" s="108"/>
      <c r="O644" s="108"/>
    </row>
    <row r="645" ht="6.0" customHeight="1">
      <c r="A645" s="108"/>
      <c r="B645" s="108"/>
      <c r="C645" s="109"/>
      <c r="D645" s="109"/>
      <c r="E645" s="109"/>
      <c r="F645" s="110"/>
      <c r="G645" s="110"/>
      <c r="H645" s="110"/>
      <c r="I645" s="111"/>
      <c r="J645" s="112"/>
      <c r="K645" s="112"/>
      <c r="L645" s="112"/>
      <c r="M645" s="113"/>
      <c r="N645" s="108"/>
      <c r="O645" s="108"/>
    </row>
    <row r="646" ht="6.0" customHeight="1">
      <c r="A646" s="108"/>
      <c r="B646" s="108"/>
      <c r="C646" s="109"/>
      <c r="D646" s="109"/>
      <c r="E646" s="109"/>
      <c r="F646" s="110"/>
      <c r="G646" s="110"/>
      <c r="H646" s="110"/>
      <c r="I646" s="111"/>
      <c r="J646" s="112"/>
      <c r="K646" s="112"/>
      <c r="L646" s="112"/>
      <c r="M646" s="113"/>
      <c r="N646" s="108"/>
      <c r="O646" s="108"/>
    </row>
    <row r="647" ht="6.0" customHeight="1">
      <c r="A647" s="108"/>
      <c r="B647" s="108"/>
      <c r="C647" s="109"/>
      <c r="D647" s="109"/>
      <c r="E647" s="109"/>
      <c r="F647" s="110"/>
      <c r="G647" s="110"/>
      <c r="H647" s="110"/>
      <c r="I647" s="111"/>
      <c r="J647" s="112"/>
      <c r="K647" s="112"/>
      <c r="L647" s="112"/>
      <c r="M647" s="113"/>
      <c r="N647" s="108"/>
      <c r="O647" s="108"/>
    </row>
    <row r="648" ht="6.0" customHeight="1">
      <c r="A648" s="108"/>
      <c r="B648" s="108"/>
      <c r="C648" s="109"/>
      <c r="D648" s="109"/>
      <c r="E648" s="109"/>
      <c r="F648" s="110"/>
      <c r="G648" s="110"/>
      <c r="H648" s="110"/>
      <c r="I648" s="111"/>
      <c r="J648" s="112"/>
      <c r="K648" s="112"/>
      <c r="L648" s="112"/>
      <c r="M648" s="113"/>
      <c r="N648" s="108"/>
      <c r="O648" s="108"/>
    </row>
    <row r="649" ht="6.0" customHeight="1">
      <c r="A649" s="108"/>
      <c r="B649" s="108"/>
      <c r="C649" s="109"/>
      <c r="D649" s="109"/>
      <c r="E649" s="109"/>
      <c r="F649" s="110"/>
      <c r="G649" s="110"/>
      <c r="H649" s="110"/>
      <c r="I649" s="111"/>
      <c r="J649" s="112"/>
      <c r="K649" s="112"/>
      <c r="L649" s="112"/>
      <c r="M649" s="113"/>
      <c r="N649" s="108"/>
      <c r="O649" s="108"/>
    </row>
    <row r="650" ht="6.0" customHeight="1">
      <c r="A650" s="108"/>
      <c r="B650" s="108"/>
      <c r="C650" s="109"/>
      <c r="D650" s="109"/>
      <c r="E650" s="109"/>
      <c r="F650" s="110"/>
      <c r="G650" s="110"/>
      <c r="H650" s="110"/>
      <c r="I650" s="111"/>
      <c r="J650" s="112"/>
      <c r="K650" s="112"/>
      <c r="L650" s="112"/>
      <c r="M650" s="113"/>
      <c r="N650" s="108"/>
      <c r="O650" s="108"/>
    </row>
    <row r="651" ht="6.0" customHeight="1">
      <c r="A651" s="108"/>
      <c r="B651" s="108"/>
      <c r="C651" s="109"/>
      <c r="D651" s="109"/>
      <c r="E651" s="109"/>
      <c r="F651" s="110"/>
      <c r="G651" s="110"/>
      <c r="H651" s="110"/>
      <c r="I651" s="111"/>
      <c r="J651" s="112"/>
      <c r="K651" s="112"/>
      <c r="L651" s="112"/>
      <c r="M651" s="113"/>
      <c r="N651" s="108"/>
      <c r="O651" s="108"/>
    </row>
    <row r="652" ht="6.0" customHeight="1">
      <c r="A652" s="108"/>
      <c r="B652" s="108"/>
      <c r="C652" s="109"/>
      <c r="D652" s="109"/>
      <c r="E652" s="109"/>
      <c r="F652" s="110"/>
      <c r="G652" s="110"/>
      <c r="H652" s="110"/>
      <c r="I652" s="111"/>
      <c r="J652" s="112"/>
      <c r="K652" s="112"/>
      <c r="L652" s="112"/>
      <c r="M652" s="113"/>
      <c r="N652" s="108"/>
      <c r="O652" s="108"/>
    </row>
    <row r="653" ht="6.0" customHeight="1">
      <c r="A653" s="108"/>
      <c r="B653" s="108"/>
      <c r="C653" s="109"/>
      <c r="D653" s="109"/>
      <c r="E653" s="109"/>
      <c r="F653" s="110"/>
      <c r="G653" s="110"/>
      <c r="H653" s="110"/>
      <c r="I653" s="111"/>
      <c r="J653" s="112"/>
      <c r="K653" s="112"/>
      <c r="L653" s="112"/>
      <c r="M653" s="113"/>
      <c r="N653" s="108"/>
      <c r="O653" s="108"/>
    </row>
    <row r="654" ht="6.0" customHeight="1">
      <c r="A654" s="108"/>
      <c r="B654" s="108"/>
      <c r="C654" s="109"/>
      <c r="D654" s="109"/>
      <c r="E654" s="109"/>
      <c r="F654" s="110"/>
      <c r="G654" s="110"/>
      <c r="H654" s="110"/>
      <c r="I654" s="111"/>
      <c r="J654" s="112"/>
      <c r="K654" s="112"/>
      <c r="L654" s="112"/>
      <c r="M654" s="113"/>
      <c r="N654" s="108"/>
      <c r="O654" s="108"/>
    </row>
    <row r="655" ht="6.0" customHeight="1">
      <c r="A655" s="108"/>
      <c r="B655" s="108"/>
      <c r="C655" s="109"/>
      <c r="D655" s="109"/>
      <c r="E655" s="109"/>
      <c r="F655" s="110"/>
      <c r="G655" s="110"/>
      <c r="H655" s="110"/>
      <c r="I655" s="111"/>
      <c r="J655" s="112"/>
      <c r="K655" s="112"/>
      <c r="L655" s="112"/>
      <c r="M655" s="113"/>
      <c r="N655" s="108"/>
      <c r="O655" s="108"/>
    </row>
    <row r="656" ht="6.0" customHeight="1">
      <c r="A656" s="108"/>
      <c r="B656" s="108"/>
      <c r="C656" s="109"/>
      <c r="D656" s="109"/>
      <c r="E656" s="109"/>
      <c r="F656" s="110"/>
      <c r="G656" s="110"/>
      <c r="H656" s="110"/>
      <c r="I656" s="111"/>
      <c r="J656" s="112"/>
      <c r="K656" s="112"/>
      <c r="L656" s="112"/>
      <c r="M656" s="113"/>
      <c r="N656" s="108"/>
      <c r="O656" s="108"/>
    </row>
    <row r="657" ht="6.0" customHeight="1">
      <c r="A657" s="108"/>
      <c r="B657" s="108"/>
      <c r="C657" s="109"/>
      <c r="D657" s="109"/>
      <c r="E657" s="109"/>
      <c r="F657" s="110"/>
      <c r="G657" s="110"/>
      <c r="H657" s="110"/>
      <c r="I657" s="111"/>
      <c r="J657" s="112"/>
      <c r="K657" s="112"/>
      <c r="L657" s="112"/>
      <c r="M657" s="113"/>
      <c r="N657" s="108"/>
      <c r="O657" s="108"/>
    </row>
    <row r="658" ht="6.0" customHeight="1">
      <c r="A658" s="108"/>
      <c r="B658" s="108"/>
      <c r="C658" s="109"/>
      <c r="D658" s="109"/>
      <c r="E658" s="109"/>
      <c r="F658" s="110"/>
      <c r="G658" s="110"/>
      <c r="H658" s="110"/>
      <c r="I658" s="111"/>
      <c r="J658" s="112"/>
      <c r="K658" s="112"/>
      <c r="L658" s="112"/>
      <c r="M658" s="113"/>
      <c r="N658" s="108"/>
      <c r="O658" s="108"/>
    </row>
    <row r="659" ht="6.0" customHeight="1">
      <c r="A659" s="108"/>
      <c r="B659" s="108"/>
      <c r="C659" s="109"/>
      <c r="D659" s="109"/>
      <c r="E659" s="109"/>
      <c r="F659" s="110"/>
      <c r="G659" s="110"/>
      <c r="H659" s="110"/>
      <c r="I659" s="111"/>
      <c r="J659" s="112"/>
      <c r="K659" s="112"/>
      <c r="L659" s="112"/>
      <c r="M659" s="113"/>
      <c r="N659" s="108"/>
      <c r="O659" s="108"/>
    </row>
    <row r="660" ht="6.0" customHeight="1">
      <c r="A660" s="108"/>
      <c r="B660" s="108"/>
      <c r="C660" s="109"/>
      <c r="D660" s="109"/>
      <c r="E660" s="109"/>
      <c r="F660" s="110"/>
      <c r="G660" s="110"/>
      <c r="H660" s="110"/>
      <c r="I660" s="111"/>
      <c r="J660" s="112"/>
      <c r="K660" s="112"/>
      <c r="L660" s="112"/>
      <c r="M660" s="113"/>
      <c r="N660" s="108"/>
      <c r="O660" s="108"/>
    </row>
    <row r="661" ht="6.0" customHeight="1">
      <c r="A661" s="108"/>
      <c r="B661" s="108"/>
      <c r="C661" s="109"/>
      <c r="D661" s="109"/>
      <c r="E661" s="109"/>
      <c r="F661" s="110"/>
      <c r="G661" s="110"/>
      <c r="H661" s="110"/>
      <c r="I661" s="111"/>
      <c r="J661" s="112"/>
      <c r="K661" s="112"/>
      <c r="L661" s="112"/>
      <c r="M661" s="113"/>
      <c r="N661" s="108"/>
      <c r="O661" s="108"/>
    </row>
    <row r="662" ht="6.0" customHeight="1">
      <c r="A662" s="108"/>
      <c r="B662" s="108"/>
      <c r="C662" s="109"/>
      <c r="D662" s="109"/>
      <c r="E662" s="109"/>
      <c r="F662" s="110"/>
      <c r="G662" s="110"/>
      <c r="H662" s="110"/>
      <c r="I662" s="111"/>
      <c r="J662" s="112"/>
      <c r="K662" s="112"/>
      <c r="L662" s="112"/>
      <c r="M662" s="113"/>
      <c r="N662" s="108"/>
      <c r="O662" s="108"/>
    </row>
    <row r="663" ht="6.0" customHeight="1">
      <c r="A663" s="108"/>
      <c r="B663" s="108"/>
      <c r="C663" s="109"/>
      <c r="D663" s="109"/>
      <c r="E663" s="109"/>
      <c r="F663" s="110"/>
      <c r="G663" s="110"/>
      <c r="H663" s="110"/>
      <c r="I663" s="111"/>
      <c r="J663" s="112"/>
      <c r="K663" s="112"/>
      <c r="L663" s="112"/>
      <c r="M663" s="113"/>
      <c r="N663" s="108"/>
      <c r="O663" s="108"/>
    </row>
    <row r="664" ht="6.0" customHeight="1">
      <c r="A664" s="108"/>
      <c r="B664" s="108"/>
      <c r="C664" s="109"/>
      <c r="D664" s="109"/>
      <c r="E664" s="109"/>
      <c r="F664" s="110"/>
      <c r="G664" s="110"/>
      <c r="H664" s="110"/>
      <c r="I664" s="111"/>
      <c r="J664" s="112"/>
      <c r="K664" s="112"/>
      <c r="L664" s="112"/>
      <c r="M664" s="113"/>
      <c r="N664" s="108"/>
      <c r="O664" s="108"/>
    </row>
    <row r="665" ht="6.0" customHeight="1">
      <c r="A665" s="108"/>
      <c r="B665" s="108"/>
      <c r="C665" s="109"/>
      <c r="D665" s="109"/>
      <c r="E665" s="109"/>
      <c r="F665" s="110"/>
      <c r="G665" s="110"/>
      <c r="H665" s="110"/>
      <c r="I665" s="111"/>
      <c r="J665" s="112"/>
      <c r="K665" s="112"/>
      <c r="L665" s="112"/>
      <c r="M665" s="113"/>
      <c r="N665" s="108"/>
      <c r="O665" s="108"/>
    </row>
    <row r="666" ht="6.0" customHeight="1">
      <c r="A666" s="108"/>
      <c r="B666" s="108"/>
      <c r="C666" s="109"/>
      <c r="D666" s="109"/>
      <c r="E666" s="109"/>
      <c r="F666" s="110"/>
      <c r="G666" s="110"/>
      <c r="H666" s="110"/>
      <c r="I666" s="111"/>
      <c r="J666" s="112"/>
      <c r="K666" s="112"/>
      <c r="L666" s="112"/>
      <c r="M666" s="113"/>
      <c r="N666" s="108"/>
      <c r="O666" s="108"/>
    </row>
    <row r="667" ht="6.0" customHeight="1">
      <c r="A667" s="108"/>
      <c r="B667" s="108"/>
      <c r="C667" s="109"/>
      <c r="D667" s="109"/>
      <c r="E667" s="109"/>
      <c r="F667" s="110"/>
      <c r="G667" s="110"/>
      <c r="H667" s="110"/>
      <c r="I667" s="111"/>
      <c r="J667" s="112"/>
      <c r="K667" s="112"/>
      <c r="L667" s="112"/>
      <c r="M667" s="113"/>
      <c r="N667" s="108"/>
      <c r="O667" s="108"/>
    </row>
    <row r="668" ht="6.0" customHeight="1">
      <c r="A668" s="108"/>
      <c r="B668" s="108"/>
      <c r="C668" s="109"/>
      <c r="D668" s="109"/>
      <c r="E668" s="109"/>
      <c r="F668" s="110"/>
      <c r="G668" s="110"/>
      <c r="H668" s="110"/>
      <c r="I668" s="111"/>
      <c r="J668" s="112"/>
      <c r="K668" s="112"/>
      <c r="L668" s="112"/>
      <c r="M668" s="113"/>
      <c r="N668" s="108"/>
      <c r="O668" s="108"/>
    </row>
    <row r="669" ht="6.0" customHeight="1">
      <c r="A669" s="108"/>
      <c r="B669" s="108"/>
      <c r="C669" s="109"/>
      <c r="D669" s="109"/>
      <c r="E669" s="109"/>
      <c r="F669" s="110"/>
      <c r="G669" s="110"/>
      <c r="H669" s="110"/>
      <c r="I669" s="111"/>
      <c r="J669" s="112"/>
      <c r="K669" s="112"/>
      <c r="L669" s="112"/>
      <c r="M669" s="113"/>
      <c r="N669" s="108"/>
      <c r="O669" s="108"/>
    </row>
    <row r="670" ht="6.0" customHeight="1">
      <c r="A670" s="108"/>
      <c r="B670" s="108"/>
      <c r="C670" s="109"/>
      <c r="D670" s="109"/>
      <c r="E670" s="109"/>
      <c r="F670" s="110"/>
      <c r="G670" s="110"/>
      <c r="H670" s="110"/>
      <c r="I670" s="111"/>
      <c r="J670" s="112"/>
      <c r="K670" s="112"/>
      <c r="L670" s="112"/>
      <c r="M670" s="113"/>
      <c r="N670" s="108"/>
      <c r="O670" s="108"/>
    </row>
    <row r="671" ht="6.0" customHeight="1">
      <c r="A671" s="108"/>
      <c r="B671" s="108"/>
      <c r="C671" s="109"/>
      <c r="D671" s="109"/>
      <c r="E671" s="109"/>
      <c r="F671" s="110"/>
      <c r="G671" s="110"/>
      <c r="H671" s="110"/>
      <c r="I671" s="111"/>
      <c r="J671" s="112"/>
      <c r="K671" s="112"/>
      <c r="L671" s="112"/>
      <c r="M671" s="113"/>
      <c r="N671" s="108"/>
      <c r="O671" s="108"/>
    </row>
    <row r="672" ht="6.0" customHeight="1">
      <c r="A672" s="108"/>
      <c r="B672" s="108"/>
      <c r="C672" s="109"/>
      <c r="D672" s="109"/>
      <c r="E672" s="109"/>
      <c r="F672" s="110"/>
      <c r="G672" s="110"/>
      <c r="H672" s="110"/>
      <c r="I672" s="111"/>
      <c r="J672" s="112"/>
      <c r="K672" s="112"/>
      <c r="L672" s="112"/>
      <c r="M672" s="113"/>
      <c r="N672" s="108"/>
      <c r="O672" s="108"/>
    </row>
    <row r="673" ht="6.0" customHeight="1">
      <c r="A673" s="108"/>
      <c r="B673" s="108"/>
      <c r="C673" s="109"/>
      <c r="D673" s="109"/>
      <c r="E673" s="109"/>
      <c r="F673" s="110"/>
      <c r="G673" s="110"/>
      <c r="H673" s="110"/>
      <c r="I673" s="111"/>
      <c r="J673" s="112"/>
      <c r="K673" s="112"/>
      <c r="L673" s="112"/>
      <c r="M673" s="113"/>
      <c r="N673" s="108"/>
      <c r="O673" s="108"/>
    </row>
    <row r="674" ht="6.0" customHeight="1">
      <c r="A674" s="108"/>
      <c r="B674" s="108"/>
      <c r="C674" s="109"/>
      <c r="D674" s="109"/>
      <c r="E674" s="109"/>
      <c r="F674" s="110"/>
      <c r="G674" s="110"/>
      <c r="H674" s="110"/>
      <c r="I674" s="111"/>
      <c r="J674" s="112"/>
      <c r="K674" s="112"/>
      <c r="L674" s="112"/>
      <c r="M674" s="113"/>
      <c r="N674" s="108"/>
      <c r="O674" s="108"/>
    </row>
    <row r="675" ht="6.0" customHeight="1">
      <c r="A675" s="108"/>
      <c r="B675" s="108"/>
      <c r="C675" s="109"/>
      <c r="D675" s="109"/>
      <c r="E675" s="109"/>
      <c r="F675" s="110"/>
      <c r="G675" s="110"/>
      <c r="H675" s="110"/>
      <c r="I675" s="111"/>
      <c r="J675" s="112"/>
      <c r="K675" s="112"/>
      <c r="L675" s="112"/>
      <c r="M675" s="113"/>
      <c r="N675" s="108"/>
      <c r="O675" s="108"/>
    </row>
    <row r="676" ht="6.0" customHeight="1">
      <c r="A676" s="108"/>
      <c r="B676" s="108"/>
      <c r="C676" s="109"/>
      <c r="D676" s="109"/>
      <c r="E676" s="109"/>
      <c r="F676" s="110"/>
      <c r="G676" s="110"/>
      <c r="H676" s="110"/>
      <c r="I676" s="111"/>
      <c r="J676" s="112"/>
      <c r="K676" s="112"/>
      <c r="L676" s="112"/>
      <c r="M676" s="113"/>
      <c r="N676" s="108"/>
      <c r="O676" s="108"/>
    </row>
    <row r="677" ht="6.0" customHeight="1">
      <c r="A677" s="108"/>
      <c r="B677" s="108"/>
      <c r="C677" s="109"/>
      <c r="D677" s="109"/>
      <c r="E677" s="109"/>
      <c r="F677" s="110"/>
      <c r="G677" s="110"/>
      <c r="H677" s="110"/>
      <c r="I677" s="111"/>
      <c r="J677" s="112"/>
      <c r="K677" s="112"/>
      <c r="L677" s="112"/>
      <c r="M677" s="113"/>
      <c r="N677" s="108"/>
      <c r="O677" s="108"/>
    </row>
    <row r="678" ht="6.0" customHeight="1">
      <c r="A678" s="108"/>
      <c r="B678" s="108"/>
      <c r="C678" s="109"/>
      <c r="D678" s="109"/>
      <c r="E678" s="109"/>
      <c r="F678" s="110"/>
      <c r="G678" s="110"/>
      <c r="H678" s="110"/>
      <c r="I678" s="111"/>
      <c r="J678" s="112"/>
      <c r="K678" s="112"/>
      <c r="L678" s="112"/>
      <c r="M678" s="113"/>
      <c r="N678" s="108"/>
      <c r="O678" s="108"/>
    </row>
    <row r="679" ht="6.0" customHeight="1">
      <c r="A679" s="108"/>
      <c r="B679" s="108"/>
      <c r="C679" s="109"/>
      <c r="D679" s="109"/>
      <c r="E679" s="109"/>
      <c r="F679" s="110"/>
      <c r="G679" s="110"/>
      <c r="H679" s="110"/>
      <c r="I679" s="111"/>
      <c r="J679" s="112"/>
      <c r="K679" s="112"/>
      <c r="L679" s="112"/>
      <c r="M679" s="113"/>
      <c r="N679" s="108"/>
      <c r="O679" s="108"/>
    </row>
    <row r="680" ht="6.0" customHeight="1">
      <c r="A680" s="108"/>
      <c r="B680" s="108"/>
      <c r="C680" s="109"/>
      <c r="D680" s="109"/>
      <c r="E680" s="109"/>
      <c r="F680" s="110"/>
      <c r="G680" s="110"/>
      <c r="H680" s="110"/>
      <c r="I680" s="111"/>
      <c r="J680" s="112"/>
      <c r="K680" s="112"/>
      <c r="L680" s="112"/>
      <c r="M680" s="113"/>
      <c r="N680" s="108"/>
      <c r="O680" s="108"/>
    </row>
    <row r="681" ht="6.0" customHeight="1">
      <c r="A681" s="108"/>
      <c r="B681" s="108"/>
      <c r="C681" s="109"/>
      <c r="D681" s="109"/>
      <c r="E681" s="109"/>
      <c r="F681" s="110"/>
      <c r="G681" s="110"/>
      <c r="H681" s="110"/>
      <c r="I681" s="111"/>
      <c r="J681" s="112"/>
      <c r="K681" s="112"/>
      <c r="L681" s="112"/>
      <c r="M681" s="113"/>
      <c r="N681" s="108"/>
      <c r="O681" s="108"/>
    </row>
    <row r="682" ht="6.0" customHeight="1">
      <c r="A682" s="108"/>
      <c r="B682" s="108"/>
      <c r="C682" s="109"/>
      <c r="D682" s="109"/>
      <c r="E682" s="109"/>
      <c r="F682" s="110"/>
      <c r="G682" s="110"/>
      <c r="H682" s="110"/>
      <c r="I682" s="111"/>
      <c r="J682" s="112"/>
      <c r="K682" s="112"/>
      <c r="L682" s="112"/>
      <c r="M682" s="113"/>
      <c r="N682" s="108"/>
      <c r="O682" s="108"/>
    </row>
    <row r="683" ht="6.0" customHeight="1">
      <c r="A683" s="108"/>
      <c r="B683" s="108"/>
      <c r="C683" s="109"/>
      <c r="D683" s="109"/>
      <c r="E683" s="109"/>
      <c r="F683" s="110"/>
      <c r="G683" s="110"/>
      <c r="H683" s="110"/>
      <c r="I683" s="111"/>
      <c r="J683" s="112"/>
      <c r="K683" s="112"/>
      <c r="L683" s="112"/>
      <c r="M683" s="113"/>
      <c r="N683" s="108"/>
      <c r="O683" s="108"/>
    </row>
    <row r="684" ht="6.0" customHeight="1">
      <c r="A684" s="108"/>
      <c r="B684" s="108"/>
      <c r="C684" s="109"/>
      <c r="D684" s="109"/>
      <c r="E684" s="109"/>
      <c r="F684" s="110"/>
      <c r="G684" s="110"/>
      <c r="H684" s="110"/>
      <c r="I684" s="111"/>
      <c r="J684" s="112"/>
      <c r="K684" s="112"/>
      <c r="L684" s="112"/>
      <c r="M684" s="113"/>
      <c r="N684" s="108"/>
      <c r="O684" s="108"/>
    </row>
    <row r="685" ht="6.0" customHeight="1">
      <c r="A685" s="108"/>
      <c r="B685" s="108"/>
      <c r="C685" s="109"/>
      <c r="D685" s="109"/>
      <c r="E685" s="109"/>
      <c r="F685" s="110"/>
      <c r="G685" s="110"/>
      <c r="H685" s="110"/>
      <c r="I685" s="111"/>
      <c r="J685" s="112"/>
      <c r="K685" s="112"/>
      <c r="L685" s="112"/>
      <c r="M685" s="113"/>
      <c r="N685" s="108"/>
      <c r="O685" s="108"/>
    </row>
    <row r="686" ht="6.0" customHeight="1">
      <c r="A686" s="108"/>
      <c r="B686" s="108"/>
      <c r="C686" s="109"/>
      <c r="D686" s="109"/>
      <c r="E686" s="109"/>
      <c r="F686" s="110"/>
      <c r="G686" s="110"/>
      <c r="H686" s="110"/>
      <c r="I686" s="111"/>
      <c r="J686" s="112"/>
      <c r="K686" s="112"/>
      <c r="L686" s="112"/>
      <c r="M686" s="113"/>
      <c r="N686" s="108"/>
      <c r="O686" s="108"/>
    </row>
    <row r="687" ht="6.0" customHeight="1">
      <c r="A687" s="108"/>
      <c r="B687" s="108"/>
      <c r="C687" s="109"/>
      <c r="D687" s="109"/>
      <c r="E687" s="109"/>
      <c r="F687" s="110"/>
      <c r="G687" s="110"/>
      <c r="H687" s="110"/>
      <c r="I687" s="111"/>
      <c r="J687" s="112"/>
      <c r="K687" s="112"/>
      <c r="L687" s="112"/>
      <c r="M687" s="113"/>
      <c r="N687" s="108"/>
      <c r="O687" s="108"/>
    </row>
    <row r="688" ht="6.0" customHeight="1">
      <c r="A688" s="108"/>
      <c r="B688" s="108"/>
      <c r="C688" s="109"/>
      <c r="D688" s="109"/>
      <c r="E688" s="109"/>
      <c r="F688" s="110"/>
      <c r="G688" s="110"/>
      <c r="H688" s="110"/>
      <c r="I688" s="111"/>
      <c r="J688" s="112"/>
      <c r="K688" s="112"/>
      <c r="L688" s="112"/>
      <c r="M688" s="113"/>
      <c r="N688" s="108"/>
      <c r="O688" s="108"/>
    </row>
    <row r="689" ht="6.0" customHeight="1">
      <c r="A689" s="108"/>
      <c r="B689" s="108"/>
      <c r="C689" s="109"/>
      <c r="D689" s="109"/>
      <c r="E689" s="109"/>
      <c r="F689" s="110"/>
      <c r="G689" s="110"/>
      <c r="H689" s="110"/>
      <c r="I689" s="111"/>
      <c r="J689" s="112"/>
      <c r="K689" s="112"/>
      <c r="L689" s="112"/>
      <c r="M689" s="113"/>
      <c r="N689" s="108"/>
      <c r="O689" s="108"/>
    </row>
    <row r="690" ht="6.0" customHeight="1">
      <c r="A690" s="108"/>
      <c r="B690" s="108"/>
      <c r="C690" s="109"/>
      <c r="D690" s="109"/>
      <c r="E690" s="109"/>
      <c r="F690" s="110"/>
      <c r="G690" s="110"/>
      <c r="H690" s="110"/>
      <c r="I690" s="111"/>
      <c r="J690" s="112"/>
      <c r="K690" s="112"/>
      <c r="L690" s="112"/>
      <c r="M690" s="113"/>
      <c r="N690" s="108"/>
      <c r="O690" s="108"/>
    </row>
    <row r="691" ht="6.0" customHeight="1">
      <c r="A691" s="108"/>
      <c r="B691" s="108"/>
      <c r="C691" s="109"/>
      <c r="D691" s="109"/>
      <c r="E691" s="109"/>
      <c r="F691" s="110"/>
      <c r="G691" s="110"/>
      <c r="H691" s="110"/>
      <c r="I691" s="111"/>
      <c r="J691" s="112"/>
      <c r="K691" s="112"/>
      <c r="L691" s="112"/>
      <c r="M691" s="113"/>
      <c r="N691" s="108"/>
      <c r="O691" s="108"/>
    </row>
    <row r="692" ht="6.0" customHeight="1">
      <c r="A692" s="108"/>
      <c r="B692" s="108"/>
      <c r="C692" s="109"/>
      <c r="D692" s="109"/>
      <c r="E692" s="109"/>
      <c r="F692" s="110"/>
      <c r="G692" s="110"/>
      <c r="H692" s="110"/>
      <c r="I692" s="111"/>
      <c r="J692" s="112"/>
      <c r="K692" s="112"/>
      <c r="L692" s="112"/>
      <c r="M692" s="113"/>
      <c r="N692" s="108"/>
      <c r="O692" s="108"/>
    </row>
    <row r="693" ht="6.0" customHeight="1">
      <c r="A693" s="108"/>
      <c r="B693" s="108"/>
      <c r="C693" s="109"/>
      <c r="D693" s="109"/>
      <c r="E693" s="109"/>
      <c r="F693" s="110"/>
      <c r="G693" s="110"/>
      <c r="H693" s="110"/>
      <c r="I693" s="111"/>
      <c r="J693" s="112"/>
      <c r="K693" s="112"/>
      <c r="L693" s="112"/>
      <c r="M693" s="113"/>
      <c r="N693" s="108"/>
      <c r="O693" s="108"/>
    </row>
    <row r="694" ht="6.0" customHeight="1">
      <c r="A694" s="108"/>
      <c r="B694" s="108"/>
      <c r="C694" s="109"/>
      <c r="D694" s="109"/>
      <c r="E694" s="109"/>
      <c r="F694" s="110"/>
      <c r="G694" s="110"/>
      <c r="H694" s="110"/>
      <c r="I694" s="111"/>
      <c r="J694" s="112"/>
      <c r="K694" s="112"/>
      <c r="L694" s="112"/>
      <c r="M694" s="113"/>
      <c r="N694" s="108"/>
      <c r="O694" s="108"/>
    </row>
    <row r="695" ht="6.0" customHeight="1">
      <c r="A695" s="108"/>
      <c r="B695" s="108"/>
      <c r="C695" s="109"/>
      <c r="D695" s="109"/>
      <c r="E695" s="109"/>
      <c r="F695" s="110"/>
      <c r="G695" s="110"/>
      <c r="H695" s="110"/>
      <c r="I695" s="111"/>
      <c r="J695" s="112"/>
      <c r="K695" s="112"/>
      <c r="L695" s="112"/>
      <c r="M695" s="113"/>
      <c r="N695" s="108"/>
      <c r="O695" s="108"/>
    </row>
    <row r="696" ht="6.0" customHeight="1">
      <c r="A696" s="108"/>
      <c r="B696" s="108"/>
      <c r="C696" s="109"/>
      <c r="D696" s="109"/>
      <c r="E696" s="109"/>
      <c r="F696" s="110"/>
      <c r="G696" s="110"/>
      <c r="H696" s="110"/>
      <c r="I696" s="111"/>
      <c r="J696" s="112"/>
      <c r="K696" s="112"/>
      <c r="L696" s="112"/>
      <c r="M696" s="113"/>
      <c r="N696" s="108"/>
      <c r="O696" s="108"/>
    </row>
    <row r="697" ht="6.0" customHeight="1">
      <c r="A697" s="108"/>
      <c r="B697" s="108"/>
      <c r="C697" s="109"/>
      <c r="D697" s="109"/>
      <c r="E697" s="109"/>
      <c r="F697" s="110"/>
      <c r="G697" s="110"/>
      <c r="H697" s="110"/>
      <c r="I697" s="111"/>
      <c r="J697" s="112"/>
      <c r="K697" s="112"/>
      <c r="L697" s="112"/>
      <c r="M697" s="113"/>
      <c r="N697" s="108"/>
      <c r="O697" s="108"/>
    </row>
    <row r="698" ht="6.0" customHeight="1">
      <c r="A698" s="108"/>
      <c r="B698" s="108"/>
      <c r="C698" s="109"/>
      <c r="D698" s="109"/>
      <c r="E698" s="109"/>
      <c r="F698" s="110"/>
      <c r="G698" s="110"/>
      <c r="H698" s="110"/>
      <c r="I698" s="111"/>
      <c r="J698" s="112"/>
      <c r="K698" s="112"/>
      <c r="L698" s="112"/>
      <c r="M698" s="113"/>
      <c r="N698" s="108"/>
      <c r="O698" s="108"/>
    </row>
    <row r="699" ht="6.0" customHeight="1">
      <c r="A699" s="108"/>
      <c r="B699" s="108"/>
      <c r="C699" s="109"/>
      <c r="D699" s="109"/>
      <c r="E699" s="109"/>
      <c r="F699" s="110"/>
      <c r="G699" s="110"/>
      <c r="H699" s="110"/>
      <c r="I699" s="111"/>
      <c r="J699" s="112"/>
      <c r="K699" s="112"/>
      <c r="L699" s="112"/>
      <c r="M699" s="113"/>
      <c r="N699" s="108"/>
      <c r="O699" s="108"/>
    </row>
    <row r="700" ht="6.0" customHeight="1">
      <c r="A700" s="108"/>
      <c r="B700" s="108"/>
      <c r="C700" s="109"/>
      <c r="D700" s="109"/>
      <c r="E700" s="109"/>
      <c r="F700" s="110"/>
      <c r="G700" s="110"/>
      <c r="H700" s="110"/>
      <c r="I700" s="111"/>
      <c r="J700" s="112"/>
      <c r="K700" s="112"/>
      <c r="L700" s="112"/>
      <c r="M700" s="113"/>
      <c r="N700" s="108"/>
      <c r="O700" s="108"/>
    </row>
    <row r="701" ht="6.0" customHeight="1">
      <c r="A701" s="108"/>
      <c r="B701" s="108"/>
      <c r="C701" s="109"/>
      <c r="D701" s="109"/>
      <c r="E701" s="109"/>
      <c r="F701" s="110"/>
      <c r="G701" s="110"/>
      <c r="H701" s="110"/>
      <c r="I701" s="111"/>
      <c r="J701" s="112"/>
      <c r="K701" s="112"/>
      <c r="L701" s="112"/>
      <c r="M701" s="113"/>
      <c r="N701" s="108"/>
      <c r="O701" s="108"/>
    </row>
    <row r="702" ht="6.0" customHeight="1">
      <c r="A702" s="108"/>
      <c r="B702" s="108"/>
      <c r="C702" s="109"/>
      <c r="D702" s="109"/>
      <c r="E702" s="109"/>
      <c r="F702" s="110"/>
      <c r="G702" s="110"/>
      <c r="H702" s="110"/>
      <c r="I702" s="111"/>
      <c r="J702" s="112"/>
      <c r="K702" s="112"/>
      <c r="L702" s="112"/>
      <c r="M702" s="113"/>
      <c r="N702" s="108"/>
      <c r="O702" s="108"/>
    </row>
    <row r="703" ht="6.0" customHeight="1">
      <c r="A703" s="108"/>
      <c r="B703" s="108"/>
      <c r="C703" s="109"/>
      <c r="D703" s="109"/>
      <c r="E703" s="109"/>
      <c r="F703" s="110"/>
      <c r="G703" s="110"/>
      <c r="H703" s="110"/>
      <c r="I703" s="111"/>
      <c r="J703" s="112"/>
      <c r="K703" s="112"/>
      <c r="L703" s="112"/>
      <c r="M703" s="113"/>
      <c r="N703" s="108"/>
      <c r="O703" s="108"/>
    </row>
    <row r="704" ht="6.0" customHeight="1">
      <c r="A704" s="108"/>
      <c r="B704" s="108"/>
      <c r="C704" s="109"/>
      <c r="D704" s="109"/>
      <c r="E704" s="109"/>
      <c r="F704" s="110"/>
      <c r="G704" s="110"/>
      <c r="H704" s="110"/>
      <c r="I704" s="111"/>
      <c r="J704" s="112"/>
      <c r="K704" s="112"/>
      <c r="L704" s="112"/>
      <c r="M704" s="113"/>
      <c r="N704" s="108"/>
      <c r="O704" s="108"/>
    </row>
    <row r="705" ht="6.0" customHeight="1">
      <c r="A705" s="108"/>
      <c r="B705" s="108"/>
      <c r="C705" s="109"/>
      <c r="D705" s="109"/>
      <c r="E705" s="109"/>
      <c r="F705" s="110"/>
      <c r="G705" s="110"/>
      <c r="H705" s="110"/>
      <c r="I705" s="111"/>
      <c r="J705" s="112"/>
      <c r="K705" s="112"/>
      <c r="L705" s="112"/>
      <c r="M705" s="113"/>
      <c r="N705" s="108"/>
      <c r="O705" s="108"/>
    </row>
    <row r="706" ht="6.0" customHeight="1">
      <c r="A706" s="108"/>
      <c r="B706" s="108"/>
      <c r="C706" s="109"/>
      <c r="D706" s="109"/>
      <c r="E706" s="109"/>
      <c r="F706" s="110"/>
      <c r="G706" s="110"/>
      <c r="H706" s="110"/>
      <c r="I706" s="111"/>
      <c r="J706" s="112"/>
      <c r="K706" s="112"/>
      <c r="L706" s="112"/>
      <c r="M706" s="113"/>
      <c r="N706" s="108"/>
      <c r="O706" s="108"/>
    </row>
    <row r="707" ht="6.0" customHeight="1">
      <c r="A707" s="108"/>
      <c r="B707" s="108"/>
      <c r="C707" s="109"/>
      <c r="D707" s="109"/>
      <c r="E707" s="109"/>
      <c r="F707" s="110"/>
      <c r="G707" s="110"/>
      <c r="H707" s="110"/>
      <c r="I707" s="111"/>
      <c r="J707" s="112"/>
      <c r="K707" s="112"/>
      <c r="L707" s="112"/>
      <c r="M707" s="113"/>
      <c r="N707" s="108"/>
      <c r="O707" s="108"/>
    </row>
    <row r="708" ht="6.0" customHeight="1">
      <c r="A708" s="108"/>
      <c r="B708" s="108"/>
      <c r="C708" s="109"/>
      <c r="D708" s="109"/>
      <c r="E708" s="109"/>
      <c r="F708" s="110"/>
      <c r="G708" s="110"/>
      <c r="H708" s="110"/>
      <c r="I708" s="111"/>
      <c r="J708" s="112"/>
      <c r="K708" s="112"/>
      <c r="L708" s="112"/>
      <c r="M708" s="113"/>
      <c r="N708" s="108"/>
      <c r="O708" s="108"/>
    </row>
    <row r="709" ht="6.0" customHeight="1">
      <c r="A709" s="108"/>
      <c r="B709" s="108"/>
      <c r="C709" s="109"/>
      <c r="D709" s="109"/>
      <c r="E709" s="109"/>
      <c r="F709" s="110"/>
      <c r="G709" s="110"/>
      <c r="H709" s="110"/>
      <c r="I709" s="111"/>
      <c r="J709" s="112"/>
      <c r="K709" s="112"/>
      <c r="L709" s="112"/>
      <c r="M709" s="113"/>
      <c r="N709" s="108"/>
      <c r="O709" s="108"/>
    </row>
    <row r="710" ht="6.0" customHeight="1">
      <c r="A710" s="108"/>
      <c r="B710" s="108"/>
      <c r="C710" s="109"/>
      <c r="D710" s="109"/>
      <c r="E710" s="109"/>
      <c r="F710" s="110"/>
      <c r="G710" s="110"/>
      <c r="H710" s="110"/>
      <c r="I710" s="111"/>
      <c r="J710" s="112"/>
      <c r="K710" s="112"/>
      <c r="L710" s="112"/>
      <c r="M710" s="113"/>
      <c r="N710" s="108"/>
      <c r="O710" s="108"/>
    </row>
    <row r="711" ht="6.0" customHeight="1">
      <c r="A711" s="108"/>
      <c r="B711" s="108"/>
      <c r="C711" s="109"/>
      <c r="D711" s="109"/>
      <c r="E711" s="109"/>
      <c r="F711" s="110"/>
      <c r="G711" s="110"/>
      <c r="H711" s="110"/>
      <c r="I711" s="111"/>
      <c r="J711" s="112"/>
      <c r="K711" s="112"/>
      <c r="L711" s="112"/>
      <c r="M711" s="113"/>
      <c r="N711" s="108"/>
      <c r="O711" s="108"/>
    </row>
    <row r="712" ht="6.0" customHeight="1">
      <c r="A712" s="108"/>
      <c r="B712" s="108"/>
      <c r="C712" s="109"/>
      <c r="D712" s="109"/>
      <c r="E712" s="109"/>
      <c r="F712" s="110"/>
      <c r="G712" s="110"/>
      <c r="H712" s="110"/>
      <c r="I712" s="111"/>
      <c r="J712" s="112"/>
      <c r="K712" s="112"/>
      <c r="L712" s="112"/>
      <c r="M712" s="113"/>
      <c r="N712" s="108"/>
      <c r="O712" s="108"/>
    </row>
    <row r="713" ht="6.0" customHeight="1">
      <c r="A713" s="108"/>
      <c r="B713" s="108"/>
      <c r="C713" s="109"/>
      <c r="D713" s="109"/>
      <c r="E713" s="109"/>
      <c r="F713" s="110"/>
      <c r="G713" s="110"/>
      <c r="H713" s="110"/>
      <c r="I713" s="111"/>
      <c r="J713" s="112"/>
      <c r="K713" s="112"/>
      <c r="L713" s="112"/>
      <c r="M713" s="113"/>
      <c r="N713" s="108"/>
      <c r="O713" s="108"/>
    </row>
    <row r="714" ht="6.0" customHeight="1">
      <c r="A714" s="108"/>
      <c r="B714" s="108"/>
      <c r="C714" s="109"/>
      <c r="D714" s="109"/>
      <c r="E714" s="109"/>
      <c r="F714" s="110"/>
      <c r="G714" s="110"/>
      <c r="H714" s="110"/>
      <c r="I714" s="111"/>
      <c r="J714" s="112"/>
      <c r="K714" s="112"/>
      <c r="L714" s="112"/>
      <c r="M714" s="113"/>
      <c r="N714" s="108"/>
      <c r="O714" s="108"/>
    </row>
    <row r="715" ht="6.0" customHeight="1">
      <c r="A715" s="108"/>
      <c r="B715" s="108"/>
      <c r="C715" s="109"/>
      <c r="D715" s="109"/>
      <c r="E715" s="109"/>
      <c r="F715" s="110"/>
      <c r="G715" s="110"/>
      <c r="H715" s="110"/>
      <c r="I715" s="111"/>
      <c r="J715" s="112"/>
      <c r="K715" s="112"/>
      <c r="L715" s="112"/>
      <c r="M715" s="113"/>
      <c r="N715" s="108"/>
      <c r="O715" s="108"/>
    </row>
    <row r="716" ht="6.0" customHeight="1">
      <c r="A716" s="108"/>
      <c r="B716" s="108"/>
      <c r="C716" s="109"/>
      <c r="D716" s="109"/>
      <c r="E716" s="109"/>
      <c r="F716" s="110"/>
      <c r="G716" s="110"/>
      <c r="H716" s="110"/>
      <c r="I716" s="111"/>
      <c r="J716" s="112"/>
      <c r="K716" s="112"/>
      <c r="L716" s="112"/>
      <c r="M716" s="113"/>
      <c r="N716" s="108"/>
      <c r="O716" s="108"/>
    </row>
    <row r="717" ht="6.0" customHeight="1">
      <c r="A717" s="108"/>
      <c r="B717" s="108"/>
      <c r="C717" s="109"/>
      <c r="D717" s="109"/>
      <c r="E717" s="109"/>
      <c r="F717" s="110"/>
      <c r="G717" s="110"/>
      <c r="H717" s="110"/>
      <c r="I717" s="111"/>
      <c r="J717" s="112"/>
      <c r="K717" s="112"/>
      <c r="L717" s="112"/>
      <c r="M717" s="113"/>
      <c r="N717" s="108"/>
      <c r="O717" s="108"/>
    </row>
    <row r="718" ht="6.0" customHeight="1">
      <c r="A718" s="108"/>
      <c r="B718" s="108"/>
      <c r="C718" s="109"/>
      <c r="D718" s="109"/>
      <c r="E718" s="109"/>
      <c r="F718" s="110"/>
      <c r="G718" s="110"/>
      <c r="H718" s="110"/>
      <c r="I718" s="111"/>
      <c r="J718" s="112"/>
      <c r="K718" s="112"/>
      <c r="L718" s="112"/>
      <c r="M718" s="113"/>
      <c r="N718" s="108"/>
      <c r="O718" s="108"/>
    </row>
    <row r="719" ht="6.0" customHeight="1">
      <c r="A719" s="108"/>
      <c r="B719" s="108"/>
      <c r="C719" s="109"/>
      <c r="D719" s="109"/>
      <c r="E719" s="109"/>
      <c r="F719" s="110"/>
      <c r="G719" s="110"/>
      <c r="H719" s="110"/>
      <c r="I719" s="111"/>
      <c r="J719" s="112"/>
      <c r="K719" s="112"/>
      <c r="L719" s="112"/>
      <c r="M719" s="113"/>
      <c r="N719" s="108"/>
      <c r="O719" s="108"/>
    </row>
    <row r="720" ht="6.0" customHeight="1">
      <c r="A720" s="108"/>
      <c r="B720" s="108"/>
      <c r="C720" s="109"/>
      <c r="D720" s="109"/>
      <c r="E720" s="109"/>
      <c r="F720" s="110"/>
      <c r="G720" s="110"/>
      <c r="H720" s="110"/>
      <c r="I720" s="111"/>
      <c r="J720" s="112"/>
      <c r="K720" s="112"/>
      <c r="L720" s="112"/>
      <c r="M720" s="113"/>
      <c r="N720" s="108"/>
      <c r="O720" s="108"/>
    </row>
    <row r="721" ht="6.0" customHeight="1">
      <c r="A721" s="108"/>
      <c r="B721" s="108"/>
      <c r="C721" s="109"/>
      <c r="D721" s="109"/>
      <c r="E721" s="109"/>
      <c r="F721" s="110"/>
      <c r="G721" s="110"/>
      <c r="H721" s="110"/>
      <c r="I721" s="111"/>
      <c r="J721" s="112"/>
      <c r="K721" s="112"/>
      <c r="L721" s="112"/>
      <c r="M721" s="113"/>
      <c r="N721" s="108"/>
      <c r="O721" s="108"/>
    </row>
    <row r="722" ht="6.0" customHeight="1">
      <c r="A722" s="108"/>
      <c r="B722" s="108"/>
      <c r="C722" s="109"/>
      <c r="D722" s="109"/>
      <c r="E722" s="109"/>
      <c r="F722" s="110"/>
      <c r="G722" s="110"/>
      <c r="H722" s="110"/>
      <c r="I722" s="111"/>
      <c r="J722" s="112"/>
      <c r="K722" s="112"/>
      <c r="L722" s="112"/>
      <c r="M722" s="113"/>
      <c r="N722" s="108"/>
      <c r="O722" s="108"/>
    </row>
    <row r="723" ht="6.0" customHeight="1">
      <c r="A723" s="108"/>
      <c r="B723" s="108"/>
      <c r="C723" s="109"/>
      <c r="D723" s="109"/>
      <c r="E723" s="109"/>
      <c r="F723" s="110"/>
      <c r="G723" s="110"/>
      <c r="H723" s="110"/>
      <c r="I723" s="111"/>
      <c r="J723" s="112"/>
      <c r="K723" s="112"/>
      <c r="L723" s="112"/>
      <c r="M723" s="113"/>
      <c r="N723" s="108"/>
      <c r="O723" s="108"/>
    </row>
    <row r="724" ht="6.0" customHeight="1">
      <c r="A724" s="108"/>
      <c r="B724" s="108"/>
      <c r="C724" s="109"/>
      <c r="D724" s="109"/>
      <c r="E724" s="109"/>
      <c r="F724" s="110"/>
      <c r="G724" s="110"/>
      <c r="H724" s="110"/>
      <c r="I724" s="111"/>
      <c r="J724" s="112"/>
      <c r="K724" s="112"/>
      <c r="L724" s="112"/>
      <c r="M724" s="113"/>
      <c r="N724" s="108"/>
      <c r="O724" s="108"/>
    </row>
    <row r="725" ht="6.0" customHeight="1">
      <c r="A725" s="108"/>
      <c r="B725" s="108"/>
      <c r="C725" s="109"/>
      <c r="D725" s="109"/>
      <c r="E725" s="109"/>
      <c r="F725" s="110"/>
      <c r="G725" s="110"/>
      <c r="H725" s="110"/>
      <c r="I725" s="111"/>
      <c r="J725" s="112"/>
      <c r="K725" s="112"/>
      <c r="L725" s="112"/>
      <c r="M725" s="113"/>
      <c r="N725" s="108"/>
      <c r="O725" s="108"/>
    </row>
    <row r="726" ht="6.0" customHeight="1">
      <c r="A726" s="108"/>
      <c r="B726" s="108"/>
      <c r="C726" s="109"/>
      <c r="D726" s="109"/>
      <c r="E726" s="109"/>
      <c r="F726" s="110"/>
      <c r="G726" s="110"/>
      <c r="H726" s="110"/>
      <c r="I726" s="111"/>
      <c r="J726" s="112"/>
      <c r="K726" s="112"/>
      <c r="L726" s="112"/>
      <c r="M726" s="113"/>
      <c r="N726" s="108"/>
      <c r="O726" s="108"/>
    </row>
    <row r="727" ht="6.0" customHeight="1">
      <c r="A727" s="108"/>
      <c r="B727" s="108"/>
      <c r="C727" s="109"/>
      <c r="D727" s="109"/>
      <c r="E727" s="109"/>
      <c r="F727" s="110"/>
      <c r="G727" s="110"/>
      <c r="H727" s="110"/>
      <c r="I727" s="111"/>
      <c r="J727" s="112"/>
      <c r="K727" s="112"/>
      <c r="L727" s="112"/>
      <c r="M727" s="113"/>
      <c r="N727" s="108"/>
      <c r="O727" s="108"/>
    </row>
    <row r="728" ht="6.0" customHeight="1">
      <c r="A728" s="108"/>
      <c r="B728" s="108"/>
      <c r="C728" s="109"/>
      <c r="D728" s="109"/>
      <c r="E728" s="109"/>
      <c r="F728" s="110"/>
      <c r="G728" s="110"/>
      <c r="H728" s="110"/>
      <c r="I728" s="111"/>
      <c r="J728" s="112"/>
      <c r="K728" s="112"/>
      <c r="L728" s="112"/>
      <c r="M728" s="113"/>
      <c r="N728" s="108"/>
      <c r="O728" s="108"/>
    </row>
    <row r="729" ht="6.0" customHeight="1">
      <c r="A729" s="108"/>
      <c r="B729" s="108"/>
      <c r="C729" s="109"/>
      <c r="D729" s="109"/>
      <c r="E729" s="109"/>
      <c r="F729" s="110"/>
      <c r="G729" s="110"/>
      <c r="H729" s="110"/>
      <c r="I729" s="111"/>
      <c r="J729" s="112"/>
      <c r="K729" s="112"/>
      <c r="L729" s="112"/>
      <c r="M729" s="113"/>
      <c r="N729" s="108"/>
      <c r="O729" s="108"/>
    </row>
    <row r="730" ht="6.0" customHeight="1">
      <c r="A730" s="108"/>
      <c r="B730" s="108"/>
      <c r="C730" s="109"/>
      <c r="D730" s="109"/>
      <c r="E730" s="109"/>
      <c r="F730" s="110"/>
      <c r="G730" s="110"/>
      <c r="H730" s="110"/>
      <c r="I730" s="111"/>
      <c r="J730" s="112"/>
      <c r="K730" s="112"/>
      <c r="L730" s="112"/>
      <c r="M730" s="113"/>
      <c r="N730" s="108"/>
      <c r="O730" s="108"/>
    </row>
    <row r="731" ht="6.0" customHeight="1">
      <c r="A731" s="108"/>
      <c r="B731" s="108"/>
      <c r="C731" s="109"/>
      <c r="D731" s="109"/>
      <c r="E731" s="109"/>
      <c r="F731" s="110"/>
      <c r="G731" s="110"/>
      <c r="H731" s="110"/>
      <c r="I731" s="111"/>
      <c r="J731" s="112"/>
      <c r="K731" s="112"/>
      <c r="L731" s="112"/>
      <c r="M731" s="113"/>
      <c r="N731" s="108"/>
      <c r="O731" s="108"/>
    </row>
    <row r="732" ht="6.0" customHeight="1">
      <c r="A732" s="108"/>
      <c r="B732" s="108"/>
      <c r="C732" s="109"/>
      <c r="D732" s="109"/>
      <c r="E732" s="109"/>
      <c r="F732" s="110"/>
      <c r="G732" s="110"/>
      <c r="H732" s="110"/>
      <c r="I732" s="111"/>
      <c r="J732" s="112"/>
      <c r="K732" s="112"/>
      <c r="L732" s="112"/>
      <c r="M732" s="113"/>
      <c r="N732" s="108"/>
      <c r="O732" s="108"/>
    </row>
    <row r="733" ht="6.0" customHeight="1">
      <c r="A733" s="108"/>
      <c r="B733" s="108"/>
      <c r="C733" s="109"/>
      <c r="D733" s="109"/>
      <c r="E733" s="109"/>
      <c r="F733" s="110"/>
      <c r="G733" s="110"/>
      <c r="H733" s="110"/>
      <c r="I733" s="111"/>
      <c r="J733" s="112"/>
      <c r="K733" s="112"/>
      <c r="L733" s="112"/>
      <c r="M733" s="113"/>
      <c r="N733" s="108"/>
      <c r="O733" s="108"/>
    </row>
    <row r="734" ht="6.0" customHeight="1">
      <c r="A734" s="108"/>
      <c r="B734" s="108"/>
      <c r="C734" s="109"/>
      <c r="D734" s="109"/>
      <c r="E734" s="109"/>
      <c r="F734" s="110"/>
      <c r="G734" s="110"/>
      <c r="H734" s="110"/>
      <c r="I734" s="111"/>
      <c r="J734" s="112"/>
      <c r="K734" s="112"/>
      <c r="L734" s="112"/>
      <c r="M734" s="113"/>
      <c r="N734" s="108"/>
      <c r="O734" s="108"/>
    </row>
    <row r="735" ht="6.0" customHeight="1">
      <c r="A735" s="108"/>
      <c r="B735" s="108"/>
      <c r="C735" s="109"/>
      <c r="D735" s="109"/>
      <c r="E735" s="109"/>
      <c r="F735" s="110"/>
      <c r="G735" s="110"/>
      <c r="H735" s="110"/>
      <c r="I735" s="111"/>
      <c r="J735" s="112"/>
      <c r="K735" s="112"/>
      <c r="L735" s="112"/>
      <c r="M735" s="113"/>
      <c r="N735" s="108"/>
      <c r="O735" s="108"/>
    </row>
    <row r="736" ht="6.0" customHeight="1">
      <c r="A736" s="108"/>
      <c r="B736" s="108"/>
      <c r="C736" s="109"/>
      <c r="D736" s="109"/>
      <c r="E736" s="109"/>
      <c r="F736" s="110"/>
      <c r="G736" s="110"/>
      <c r="H736" s="110"/>
      <c r="I736" s="111"/>
      <c r="J736" s="112"/>
      <c r="K736" s="112"/>
      <c r="L736" s="112"/>
      <c r="M736" s="113"/>
      <c r="N736" s="108"/>
      <c r="O736" s="108"/>
    </row>
    <row r="737" ht="6.0" customHeight="1">
      <c r="A737" s="108"/>
      <c r="B737" s="108"/>
      <c r="C737" s="109"/>
      <c r="D737" s="109"/>
      <c r="E737" s="109"/>
      <c r="F737" s="110"/>
      <c r="G737" s="110"/>
      <c r="H737" s="110"/>
      <c r="I737" s="111"/>
      <c r="J737" s="112"/>
      <c r="K737" s="112"/>
      <c r="L737" s="112"/>
      <c r="M737" s="113"/>
      <c r="N737" s="108"/>
      <c r="O737" s="108"/>
    </row>
    <row r="738" ht="6.0" customHeight="1">
      <c r="A738" s="108"/>
      <c r="B738" s="108"/>
      <c r="C738" s="109"/>
      <c r="D738" s="109"/>
      <c r="E738" s="109"/>
      <c r="F738" s="110"/>
      <c r="G738" s="110"/>
      <c r="H738" s="110"/>
      <c r="I738" s="111"/>
      <c r="J738" s="112"/>
      <c r="K738" s="112"/>
      <c r="L738" s="112"/>
      <c r="M738" s="113"/>
      <c r="N738" s="108"/>
      <c r="O738" s="108"/>
    </row>
    <row r="739" ht="6.0" customHeight="1">
      <c r="A739" s="108"/>
      <c r="B739" s="108"/>
      <c r="C739" s="109"/>
      <c r="D739" s="109"/>
      <c r="E739" s="109"/>
      <c r="F739" s="110"/>
      <c r="G739" s="110"/>
      <c r="H739" s="110"/>
      <c r="I739" s="111"/>
      <c r="J739" s="112"/>
      <c r="K739" s="112"/>
      <c r="L739" s="112"/>
      <c r="M739" s="113"/>
      <c r="N739" s="108"/>
      <c r="O739" s="108"/>
    </row>
    <row r="740" ht="6.0" customHeight="1">
      <c r="A740" s="108"/>
      <c r="B740" s="108"/>
      <c r="C740" s="109"/>
      <c r="D740" s="109"/>
      <c r="E740" s="109"/>
      <c r="F740" s="110"/>
      <c r="G740" s="110"/>
      <c r="H740" s="110"/>
      <c r="I740" s="111"/>
      <c r="J740" s="112"/>
      <c r="K740" s="112"/>
      <c r="L740" s="112"/>
      <c r="M740" s="113"/>
      <c r="N740" s="108"/>
      <c r="O740" s="108"/>
    </row>
    <row r="741" ht="6.0" customHeight="1">
      <c r="A741" s="108"/>
      <c r="B741" s="108"/>
      <c r="C741" s="109"/>
      <c r="D741" s="109"/>
      <c r="E741" s="109"/>
      <c r="F741" s="110"/>
      <c r="G741" s="110"/>
      <c r="H741" s="110"/>
      <c r="I741" s="111"/>
      <c r="J741" s="112"/>
      <c r="K741" s="112"/>
      <c r="L741" s="112"/>
      <c r="M741" s="113"/>
      <c r="N741" s="108"/>
      <c r="O741" s="108"/>
    </row>
    <row r="742" ht="6.0" customHeight="1">
      <c r="A742" s="108"/>
      <c r="B742" s="108"/>
      <c r="C742" s="109"/>
      <c r="D742" s="109"/>
      <c r="E742" s="109"/>
      <c r="F742" s="110"/>
      <c r="G742" s="110"/>
      <c r="H742" s="110"/>
      <c r="I742" s="111"/>
      <c r="J742" s="112"/>
      <c r="K742" s="112"/>
      <c r="L742" s="112"/>
      <c r="M742" s="113"/>
      <c r="N742" s="108"/>
      <c r="O742" s="108"/>
    </row>
    <row r="743" ht="6.0" customHeight="1">
      <c r="A743" s="108"/>
      <c r="B743" s="108"/>
      <c r="C743" s="109"/>
      <c r="D743" s="109"/>
      <c r="E743" s="109"/>
      <c r="F743" s="110"/>
      <c r="G743" s="110"/>
      <c r="H743" s="110"/>
      <c r="I743" s="111"/>
      <c r="J743" s="112"/>
      <c r="K743" s="112"/>
      <c r="L743" s="112"/>
      <c r="M743" s="113"/>
      <c r="N743" s="108"/>
      <c r="O743" s="108"/>
    </row>
    <row r="744" ht="6.0" customHeight="1">
      <c r="A744" s="108"/>
      <c r="B744" s="108"/>
      <c r="C744" s="109"/>
      <c r="D744" s="109"/>
      <c r="E744" s="109"/>
      <c r="F744" s="110"/>
      <c r="G744" s="110"/>
      <c r="H744" s="110"/>
      <c r="I744" s="111"/>
      <c r="J744" s="112"/>
      <c r="K744" s="112"/>
      <c r="L744" s="112"/>
      <c r="M744" s="113"/>
      <c r="N744" s="108"/>
      <c r="O744" s="108"/>
    </row>
    <row r="745" ht="6.0" customHeight="1">
      <c r="A745" s="108"/>
      <c r="B745" s="108"/>
      <c r="C745" s="109"/>
      <c r="D745" s="109"/>
      <c r="E745" s="109"/>
      <c r="F745" s="110"/>
      <c r="G745" s="110"/>
      <c r="H745" s="110"/>
      <c r="I745" s="111"/>
      <c r="J745" s="112"/>
      <c r="K745" s="112"/>
      <c r="L745" s="112"/>
      <c r="M745" s="113"/>
      <c r="N745" s="108"/>
      <c r="O745" s="108"/>
    </row>
    <row r="746" ht="6.0" customHeight="1">
      <c r="A746" s="108"/>
      <c r="B746" s="108"/>
      <c r="C746" s="109"/>
      <c r="D746" s="109"/>
      <c r="E746" s="109"/>
      <c r="F746" s="110"/>
      <c r="G746" s="110"/>
      <c r="H746" s="110"/>
      <c r="I746" s="111"/>
      <c r="J746" s="112"/>
      <c r="K746" s="112"/>
      <c r="L746" s="112"/>
      <c r="M746" s="113"/>
      <c r="N746" s="108"/>
      <c r="O746" s="108"/>
    </row>
    <row r="747" ht="6.0" customHeight="1">
      <c r="A747" s="108"/>
      <c r="B747" s="108"/>
      <c r="C747" s="109"/>
      <c r="D747" s="109"/>
      <c r="E747" s="109"/>
      <c r="F747" s="110"/>
      <c r="G747" s="110"/>
      <c r="H747" s="110"/>
      <c r="I747" s="111"/>
      <c r="J747" s="112"/>
      <c r="K747" s="112"/>
      <c r="L747" s="112"/>
      <c r="M747" s="113"/>
      <c r="N747" s="108"/>
      <c r="O747" s="108"/>
    </row>
    <row r="748" ht="6.0" customHeight="1">
      <c r="A748" s="108"/>
      <c r="B748" s="108"/>
      <c r="C748" s="109"/>
      <c r="D748" s="109"/>
      <c r="E748" s="109"/>
      <c r="F748" s="110"/>
      <c r="G748" s="110"/>
      <c r="H748" s="110"/>
      <c r="I748" s="111"/>
      <c r="J748" s="112"/>
      <c r="K748" s="112"/>
      <c r="L748" s="112"/>
      <c r="M748" s="113"/>
      <c r="N748" s="108"/>
      <c r="O748" s="108"/>
    </row>
    <row r="749" ht="6.0" customHeight="1">
      <c r="A749" s="108"/>
      <c r="B749" s="108"/>
      <c r="C749" s="109"/>
      <c r="D749" s="109"/>
      <c r="E749" s="109"/>
      <c r="F749" s="110"/>
      <c r="G749" s="110"/>
      <c r="H749" s="110"/>
      <c r="I749" s="111"/>
      <c r="J749" s="112"/>
      <c r="K749" s="112"/>
      <c r="L749" s="112"/>
      <c r="M749" s="113"/>
      <c r="N749" s="108"/>
      <c r="O749" s="108"/>
    </row>
    <row r="750" ht="6.0" customHeight="1">
      <c r="A750" s="108"/>
      <c r="B750" s="108"/>
      <c r="C750" s="109"/>
      <c r="D750" s="109"/>
      <c r="E750" s="109"/>
      <c r="F750" s="110"/>
      <c r="G750" s="110"/>
      <c r="H750" s="110"/>
      <c r="I750" s="111"/>
      <c r="J750" s="112"/>
      <c r="K750" s="112"/>
      <c r="L750" s="112"/>
      <c r="M750" s="113"/>
      <c r="N750" s="108"/>
      <c r="O750" s="108"/>
    </row>
    <row r="751" ht="6.0" customHeight="1">
      <c r="A751" s="108"/>
      <c r="B751" s="108"/>
      <c r="C751" s="109"/>
      <c r="D751" s="109"/>
      <c r="E751" s="109"/>
      <c r="F751" s="110"/>
      <c r="G751" s="110"/>
      <c r="H751" s="110"/>
      <c r="I751" s="111"/>
      <c r="J751" s="112"/>
      <c r="K751" s="112"/>
      <c r="L751" s="112"/>
      <c r="M751" s="113"/>
      <c r="N751" s="108"/>
      <c r="O751" s="108"/>
    </row>
    <row r="752" ht="6.0" customHeight="1">
      <c r="A752" s="108"/>
      <c r="B752" s="108"/>
      <c r="C752" s="109"/>
      <c r="D752" s="109"/>
      <c r="E752" s="109"/>
      <c r="F752" s="110"/>
      <c r="G752" s="110"/>
      <c r="H752" s="110"/>
      <c r="I752" s="111"/>
      <c r="J752" s="112"/>
      <c r="K752" s="112"/>
      <c r="L752" s="112"/>
      <c r="M752" s="113"/>
      <c r="N752" s="108"/>
      <c r="O752" s="108"/>
    </row>
  </sheetData>
  <autoFilter ref="$B$6:$G$205">
    <filterColumn colId="3">
      <filters>
        <filter val="Bass"/>
        <filter val="Visual Ensemble"/>
        <filter val="Cymbals"/>
        <filter val="Snare"/>
        <filter val="Tenor"/>
      </filters>
    </filterColumn>
  </autoFilter>
  <mergeCells count="3">
    <mergeCell ref="I2:L3"/>
    <mergeCell ref="M2:M3"/>
    <mergeCell ref="I4:L4"/>
  </mergeCells>
  <dataValidations>
    <dataValidation type="list" allowBlank="1" showErrorMessage="1" sqref="I7:L752">
      <formula1>"3,2,1,0"</formula1>
    </dataValidation>
    <dataValidation type="list" allowBlank="1" showErrorMessage="1" sqref="M7:M752">
      <formula1>"Yes,No"</formula1>
    </dataValidation>
  </dataValidations>
  <drawing r:id="rId1"/>
  <tableParts count="1">
    <tablePart r:id="rId3"/>
  </tableParts>
</worksheet>
</file>