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e880a0f4f81717/Dokumente/sorproplib/python_wrapper/sorpproplib/data/JSON/equation_coefficients/xlsx/"/>
    </mc:Choice>
  </mc:AlternateContent>
  <xr:revisionPtr revIDLastSave="1896" documentId="13_ncr:40009_{2B225521-3DD5-49DC-BC35-4AB96AA4F6BD}" xr6:coauthVersionLast="47" xr6:coauthVersionMax="47" xr10:uidLastSave="{2D00318B-0713-4ECD-BA41-1EDE92F49F58}"/>
  <bookViews>
    <workbookView xWindow="-110" yWindow="-110" windowWidth="38620" windowHeight="21220" xr2:uid="{00000000-000D-0000-FFFF-FFFF00000000}"/>
  </bookViews>
  <sheets>
    <sheet name="DubininAstakhov" sheetId="1" r:id="rId1"/>
  </sheets>
  <definedNames>
    <definedName name="_xlnm._FilterDatabase" localSheetId="0" hidden="1">DubininAstakhov!$A$1:$AC$105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8" i="1" l="1"/>
  <c r="P86" i="1"/>
  <c r="P56" i="1"/>
  <c r="P82" i="1"/>
  <c r="P90" i="1" l="1"/>
  <c r="P91" i="1"/>
  <c r="P89" i="1"/>
  <c r="P88" i="1"/>
  <c r="P87" i="1"/>
  <c r="P39" i="1"/>
  <c r="P32" i="1" l="1"/>
  <c r="P31" i="1"/>
  <c r="P30" i="1"/>
  <c r="P29" i="1"/>
  <c r="P28" i="1"/>
  <c r="P27" i="1"/>
  <c r="P14" i="1"/>
  <c r="P15" i="1"/>
  <c r="W101" i="1" l="1"/>
  <c r="V103" i="1"/>
  <c r="W103" i="1"/>
  <c r="W102" i="1"/>
  <c r="V102" i="1"/>
  <c r="V101" i="1"/>
  <c r="W100" i="1"/>
  <c r="V100" i="1"/>
  <c r="P99" i="1" l="1"/>
  <c r="P98" i="1"/>
  <c r="Y90" i="1" l="1"/>
  <c r="X90" i="1"/>
  <c r="F86" i="1" l="1"/>
  <c r="P85" i="1" l="1"/>
  <c r="P84" i="1"/>
  <c r="P77" i="1" l="1"/>
  <c r="P76" i="1"/>
  <c r="P74" i="1" l="1"/>
  <c r="P59" i="1" l="1"/>
  <c r="P57" i="1" l="1"/>
  <c r="P55" i="1" l="1"/>
  <c r="P54" i="1"/>
  <c r="P53" i="1"/>
  <c r="P52" i="1"/>
  <c r="P9" i="1" l="1"/>
  <c r="P43" i="1" l="1"/>
  <c r="P42" i="1"/>
  <c r="P41" i="1"/>
  <c r="P40" i="1"/>
  <c r="F26" i="1"/>
  <c r="F25" i="1"/>
  <c r="F24" i="1"/>
  <c r="F23" i="1"/>
  <c r="F22" i="1"/>
  <c r="F21" i="1"/>
  <c r="F20" i="1"/>
  <c r="F19" i="1"/>
  <c r="F18" i="1"/>
  <c r="F17" i="1"/>
  <c r="F16" i="1"/>
  <c r="P13" i="1" l="1"/>
  <c r="Y8" i="1" l="1"/>
  <c r="X8" i="1"/>
  <c r="X6" i="1"/>
  <c r="Y7" i="1"/>
  <c r="X7" i="1"/>
  <c r="X5" i="1"/>
  <c r="Y6" i="1"/>
  <c r="Y5" i="1"/>
  <c r="Y4" i="1"/>
  <c r="X4" i="1"/>
  <c r="Y3" i="1"/>
  <c r="X3" i="1"/>
</calcChain>
</file>

<file path=xl/sharedStrings.xml><?xml version="1.0" encoding="utf-8"?>
<sst xmlns="http://schemas.openxmlformats.org/spreadsheetml/2006/main" count="611" uniqueCount="186">
  <si>
    <t>refrigerant</t>
  </si>
  <si>
    <t>sorbent</t>
  </si>
  <si>
    <t>sorbent-subtype</t>
  </si>
  <si>
    <t>type</t>
  </si>
  <si>
    <t>prop-diameter-crystal</t>
  </si>
  <si>
    <t>prop-diameter-pellet</t>
  </si>
  <si>
    <t>prop-diameter-extrudate</t>
  </si>
  <si>
    <t>prop-length-extrudate</t>
  </si>
  <si>
    <t>props-porosity-pellet</t>
  </si>
  <si>
    <t>props-density-bulk</t>
  </si>
  <si>
    <t>props-density-pellet</t>
  </si>
  <si>
    <t>props-density-solid</t>
  </si>
  <si>
    <t>validity-pressure-min</t>
  </si>
  <si>
    <t>validity-pressure-max</t>
  </si>
  <si>
    <t>validity-temperature-min</t>
  </si>
  <si>
    <t>validity-temperature-max</t>
  </si>
  <si>
    <t>validity-loading-min</t>
  </si>
  <si>
    <t>validity-loading-max</t>
  </si>
  <si>
    <t>error-are</t>
  </si>
  <si>
    <t>error-rmse</t>
  </si>
  <si>
    <t>literature</t>
  </si>
  <si>
    <t>in mm</t>
  </si>
  <si>
    <t>in J/mol</t>
  </si>
  <si>
    <t>in kg/kg</t>
  </si>
  <si>
    <t>ads</t>
  </si>
  <si>
    <t>prop-diameter-pore</t>
  </si>
  <si>
    <t>prop-area-surface</t>
  </si>
  <si>
    <t>prop-volume-pore</t>
  </si>
  <si>
    <t>-</t>
  </si>
  <si>
    <t>in m2/g</t>
  </si>
  <si>
    <t>in cm3/g</t>
  </si>
  <si>
    <t>in -</t>
  </si>
  <si>
    <t>in kg/m3</t>
  </si>
  <si>
    <t>in Pa</t>
  </si>
  <si>
    <t>in K</t>
  </si>
  <si>
    <t>in %</t>
  </si>
  <si>
    <t>E</t>
  </si>
  <si>
    <t>n</t>
  </si>
  <si>
    <t>W0</t>
  </si>
  <si>
    <t>flag</t>
  </si>
  <si>
    <t>in (kg/kg) or m3/kg</t>
  </si>
  <si>
    <t>Propane</t>
  </si>
  <si>
    <t>Propylene</t>
  </si>
  <si>
    <t>Grande, Carlos A.; Gigola, Carlos; Rodrigues, Alírio E. (2002): Adsorption of Propane and Propylene in Pellets and Crystals of 5A Zeolite. In: Ind. Eng. Chem. Res. 41 (1), S. 85–92. DOI: 10.1021/ie010494o.</t>
  </si>
  <si>
    <t>2.3-5</t>
  </si>
  <si>
    <t>Grande, Carlos A.; Silva, Viviana M.T.M.; Gigola, Carlos; Rodrigues, Alı́rio E. (2003): Adsorption of propane and propylene onto carbon molecular sieve. In: Carbon 41 (13), S. 2533–2545. DOI: 10.1016/S0008-6223(03)00304-X.</t>
  </si>
  <si>
    <t>Ammonia</t>
  </si>
  <si>
    <t>NaX</t>
  </si>
  <si>
    <t>Water</t>
  </si>
  <si>
    <t>Thu, Kyaw; Chakraborty, Anutosh; Saha, Bidyut Baran; Ng, Kim Choon (2013): Thermo-physical properties of silica gel for adsorption desalination cycle. In: Applied Thermal Engineering 50 (2), S. 1596–1602. DOI: 10.1016/j.applthermaleng.2011.09.038.</t>
  </si>
  <si>
    <t>Methanol</t>
  </si>
  <si>
    <t>ACLH</t>
  </si>
  <si>
    <t>Douss, N.; Meunier, F. (1988): Effect of operating temperatures on the coefficient of performance of active carbon-methanol systems. In: Heat Recovery Systems and CHP 8 (5), S. 383–392. DOI: 10.1016/0890-4332(88)90042-7.</t>
  </si>
  <si>
    <t>Ethanol</t>
  </si>
  <si>
    <t>Nitrogen</t>
  </si>
  <si>
    <t>SRD 1352/3</t>
  </si>
  <si>
    <t>AP4-60</t>
  </si>
  <si>
    <t>ATO</t>
  </si>
  <si>
    <t>COC-L1200</t>
  </si>
  <si>
    <t>5A</t>
  </si>
  <si>
    <t>FR20</t>
  </si>
  <si>
    <t>0.5-2</t>
  </si>
  <si>
    <t>0.7-0.85</t>
  </si>
  <si>
    <t>0.25-0.6</t>
  </si>
  <si>
    <t>0.42-1</t>
  </si>
  <si>
    <t>Brancato, V.; Frazzica, A.; Sapienza, A.; Gordeeva, L.; Freni, A. (2015): Ethanol adsorption onto carbonaceous and composite adsorbents for adsorptive cooling system. In: Energy 84, S. 177–185. DOI: 10.1016/j.energy.2015.02.077.</t>
  </si>
  <si>
    <t>G32-H</t>
  </si>
  <si>
    <t>Norit R 1 Extra</t>
  </si>
  <si>
    <t>RÜTGERS CG1-3</t>
  </si>
  <si>
    <t>Norit RX 3 Extra</t>
  </si>
  <si>
    <t>CarboTech C40/1</t>
  </si>
  <si>
    <t>CarboTech A35/1</t>
  </si>
  <si>
    <t>Henninger, S. K.; Schicktanz, M.; Hügenell, P.P.C.; Sievers, H.; Henning, H.-M. (2012): Evaluation of methanol adsorption on activated carbons for thermally driven chillers part I. Thermophysical characterisation. In: International Journal of Refrigeration 35 (3), S. 543–553. DOI: 10.1016/j.ijrefrig.2011.10.004.</t>
  </si>
  <si>
    <t>LH</t>
  </si>
  <si>
    <t>Chinese LSZ30</t>
  </si>
  <si>
    <t>Thai MD6070</t>
  </si>
  <si>
    <t>Jing, Hu; Exell, R.H.B. (1994): Simulation and sensitivity analysis of an intermittent solar-powered charcoal/methanol refrigerator. In: Renewable Energy 4 (1), S. 133–149. DOI: 10.1016/0960-1481(94)90076-0.</t>
  </si>
  <si>
    <t>AC-5060</t>
  </si>
  <si>
    <t>Alghoul, M. A.; Sulaiman, M. Y.; Sopian, K.; Azmi, B. Z. (2009): Performance of a dual-purpose solar continuous adsorption system. In: Renewable Energy 34 (3), S. 920–927. DOI: 10.1016/j.renene.2008.05.037.</t>
  </si>
  <si>
    <t>R-507a</t>
  </si>
  <si>
    <t>Maxsorb III</t>
  </si>
  <si>
    <t>Saha, Bidyut B.; El-Sharkawy, Ibrahim I.; Habib, Khairul; Koyama, Shigeru; Srinivasan, Kandadai (2008): Adsorption of Equal Mass Fraction Near an Azeotropic Mixture of Pentafluoroethane and 1,1,1-Trifluoroethane on Activated Carbon. In: J. Chem. Eng. Data 53 (8), S. 1872–1876. DOI: 10.1021/je800204p.</t>
  </si>
  <si>
    <t>R-32</t>
  </si>
  <si>
    <t>activated carbon</t>
  </si>
  <si>
    <t>activated carbon powder</t>
  </si>
  <si>
    <t>activated carbon fiber</t>
  </si>
  <si>
    <t>A-20</t>
  </si>
  <si>
    <t>Askalany, Ahmed A.; Saha, Bidyut B.; Uddin, Kutub; Miyzaki, Takahiko; Koyama, Shigeru; Srinivasan, Kandadai; Ismail, Ibrahim M. (2013): Adsorption Isotherms and Heat of Adsorption of Difluoromethane on Activated Carbons. In: J. Chem. Eng. Data 58 (10), S. 2828–2834. DOI: 10.1021/je4005678.</t>
  </si>
  <si>
    <t>zeolite crystal</t>
  </si>
  <si>
    <t>zeolite pellet</t>
  </si>
  <si>
    <t>carbon molecular sieve</t>
  </si>
  <si>
    <t>4A</t>
  </si>
  <si>
    <t>Sun, L. M.; Feng, Y.; Pons, M. (1997): Numerical investigation of adsorptive heat pump systems with thermal wave heat regeneration under uniform-pressure conditions. In: International Journal of Heat and Mass Transfer 40 (2), S. 281–293. DOI: 10.1016/0017-9310(96)00113-5.</t>
  </si>
  <si>
    <t>silica gel pellet</t>
  </si>
  <si>
    <t>Fuji RD 2560</t>
  </si>
  <si>
    <t>KD A5BW</t>
  </si>
  <si>
    <t>Mayekawa A++</t>
  </si>
  <si>
    <t>AC-35</t>
  </si>
  <si>
    <t>19 wt.% LiBr</t>
  </si>
  <si>
    <t>silica gel composite</t>
  </si>
  <si>
    <t>207E4</t>
  </si>
  <si>
    <t>R-134a</t>
  </si>
  <si>
    <t>activated charcoal</t>
  </si>
  <si>
    <t>activated charcoal pellet</t>
  </si>
  <si>
    <t>activated charcoal powder</t>
  </si>
  <si>
    <t>Chemviron</t>
  </si>
  <si>
    <t>Fluka</t>
  </si>
  <si>
    <t>Maxsorb</t>
  </si>
  <si>
    <t>Akkimaradi, Basavaraj S.; Prasad, Madhu; Dutta, Pradip; Srinivasan, Kandadai (2001): Adsorption of 1,1,1,2-Tetrafluoroethane on Activated Charcoal. In: J. Chem. Eng. Data 46 (2), S. 417–422. DOI: 10.1021/je000277e.</t>
  </si>
  <si>
    <t>Saha, Bidyut B.; Habib, Khairul; El-Sharkawy, Ibrahim I.; Koyama, Shigeru (2009): Adsorption characteristics and heat of adsorption measurements of R-134a on activated carbon. In: International Journal of Refrigeration 32 (7), S. 1563–1569. DOI: 10.1016/j.ijrefrig.2009.03.010.</t>
  </si>
  <si>
    <t>Saha, Bidyut Baran; El-Sharkawy, Ibrahim I.; Thorpe, Roger; Critoph, Robert E. (2012): Accurate adsorption isotherms of R134a onto activated carbons for cooling and freezing applications. In: International Journal of Refrigeration 35 (3), S. 499–505. DOI: 10.1016/j.ijrefrig.2011.05.002.</t>
  </si>
  <si>
    <t>R-410a</t>
  </si>
  <si>
    <t>Askalany, Ahmed A.; Saha, Bidyut B.; Ismail, Ibrahim M. (2014): Adsorption isotherms and kinetics of HFC410A onto activated carbons. In: Applied Thermal Engineering 72 (2), S. 237–243. DOI: 10.1016/j.applthermaleng.2014.04.075.</t>
  </si>
  <si>
    <t>R-407c</t>
  </si>
  <si>
    <t>AquaSorb 2000</t>
  </si>
  <si>
    <t>El-sharkawy, M. M.; Askalany, A. A.; Harby, K.; Ahmed, M. S. (2016): Adsorption isotherms and kinetics of a mixture of Pentafluoroethane, 1,1,1,2-Tetrafluoroethane and Difluoromethane (HFC-407C) onto granular activated carbon. In: Applied Thermal Engineering 93, S. 988–994. DOI: 10.1016/j.applthermaleng.2015.10.077.</t>
  </si>
  <si>
    <t>R-404a</t>
  </si>
  <si>
    <t>Ghazy, Mohamed; Askalany, Ahmed A.; Harby, K.; Ahmed, Mahmoud S. (2016): Adsorption isotherms and kinetics of HFC-404A onto bituminous based granular activated carbon for storage and cooling applications. In: Applied Thermal Engineering 105, S. 639–645. DOI: 10.1016/j.applthermaleng.2016.03.057.</t>
  </si>
  <si>
    <t>Methane</t>
  </si>
  <si>
    <t>AX21</t>
  </si>
  <si>
    <t>BPL</t>
  </si>
  <si>
    <t>F30/470</t>
  </si>
  <si>
    <t>Calgon AC</t>
  </si>
  <si>
    <t>Rahman, Kazi Afzalur; Chakraborty, Anutosh; Saha, Bidyut Baran; Ng, Kim Choon (2012): On thermodynamics of methane+carbonaceous materials adsorption. In: International Journal of Heat and Mass Transfer 55 (4), S. 565–573. DOI: 10.1016/j.ijheatmasstransfer.2011.10.056.</t>
  </si>
  <si>
    <t>AQSOA-Z01</t>
  </si>
  <si>
    <t>AQSOA-Z02</t>
  </si>
  <si>
    <t>AQSOA-Z05</t>
  </si>
  <si>
    <t>130-250</t>
  </si>
  <si>
    <t>650-770</t>
  </si>
  <si>
    <t>210-330</t>
  </si>
  <si>
    <t>Wei Benjamin Teo, How; Chakraborty, Anutosh; Fan, Wu (2017): Improved adsorption characteristics data for AQSOA types zeolites and water systems under static and dynamic conditions. In: Microporous and Mesoporous Materials 242, S. 109–117. DOI: 10.1016/j.micromeso.2017.01.015.</t>
  </si>
  <si>
    <t>zeotype pellet</t>
  </si>
  <si>
    <t>Kayal, Sibnath; Baichuan, Sun; Saha, Bidyut Baran (2016): Adsorption characteristics of AQSOA zeolites and water for adsorption chillers. In: International Journal of Heat and Mass Transfer 92, S. 1120–1127. DOI: 10.1016/j.ijheatmasstransfer.2015.09.060.</t>
  </si>
  <si>
    <t>zeotype powder</t>
  </si>
  <si>
    <t>ETS-10</t>
  </si>
  <si>
    <t>Pinheiro, Joana M.; Valente, Anabela A.; Salústio, Sérgio; Ferreira, Nelson; Rocha, João; Silva, Carlos M. (2015): Application of the novel ETS-10/water pair in cyclic adsorption heating processes. Measurement of equilibrium and kinetics properties and simulation studies. In: Applied Thermal Engineering 87, S. 412–423. DOI: 10.1016/j.applthermaleng.2015.05.011.</t>
  </si>
  <si>
    <t>Siogel</t>
  </si>
  <si>
    <t>620-800</t>
  </si>
  <si>
    <t>mof powder</t>
  </si>
  <si>
    <t>CPO-27(Ni)</t>
  </si>
  <si>
    <t>Elsayed, Eman; AL-Dadah, Raya; Mahmoud, Saad; Elsayed, Ahmed; Anderson, Paul A. (2016): Aluminium fumarate and CPO-27(Ni) MOFs. Characterization and thermodynamic analysis for adsorption heat pump applications. In: Applied Thermal Engineering 99, S. 802–812. DOI: 10.1016/j.applthermaleng.2016.01.129.</t>
  </si>
  <si>
    <t>PS-I</t>
  </si>
  <si>
    <t>PS-II</t>
  </si>
  <si>
    <t>polymer</t>
  </si>
  <si>
    <t>520-560</t>
  </si>
  <si>
    <t>800-840</t>
  </si>
  <si>
    <t>Sultan, Muhammad; El-Sharkawy, Ibrahim I.; Miyazaki, Takahiko; Saha, Bidyut B.; Koyama, Shigeru; Maruyama, Tomohiro et al. (2015): Insights of water vapor sorption onto polymer based sorbents. In: Adsorption 21 (3), S. 205–215. DOI: 10.1007/s10450-015-9663-y.</t>
  </si>
  <si>
    <t>Uddin, Kutub; El-Sharkawy, Ibrahim I.; Miyazaki, Takahiko; Saha, Bidyut Baran; Koyama, Shigeru; Kil, Hyun-Sig et al. (2014): Adsorption characteristics of ethanol onto functional activated carbons with controlled oxygen content. In: Applied Thermal Engineering 72 (2), S. 211–218. DOI: 10.1016/j.applthermaleng.2014.03.062.</t>
  </si>
  <si>
    <t>KOH-H2-treated Maxsorb III</t>
  </si>
  <si>
    <t>H2-treated Maxsorb III</t>
  </si>
  <si>
    <t>El-Sharkawy, I. I.; Saha, B. B.; Koyama, S.; He, J.; Ng, K. C.; Yap, C. (2008): Experimental investigation on activated carbon–ethanol pair for solar powered adsorption cooling applications. In: International Journal of Refrigeration 31 (8), S. 1407–1413. DOI: 10.1016/j.ijrefrig.2008.03.012.</t>
  </si>
  <si>
    <t>Saha, Bidyut Baran; El-Sharkawy, Ibrahim I.; Chakraborty, Anutosh; Koyama, Shigeru; Yoon, Seong-Ho; Ng, Kim Choon (2006): Adsorption Rate of Ethanol on Activated Carbon Fiber. In: J. Chem. Eng. Data 51 (5), S. 1587–1592. DOI: 10.1021/je060071z.</t>
  </si>
  <si>
    <t>mof</t>
  </si>
  <si>
    <t>MIL-101Cr</t>
  </si>
  <si>
    <t>Rezk, Ahmed; AL-Dadah, Raya; Mahmoud, Saad; Elsayed, Ahmed (2013): Investigation of Ethanol/metal organic frameworks for low temperature adsorption cooling applications. In: Applied Energy 112, S. 1025–1031. DOI: 10.1016/j.apenergy.2013.06.041.</t>
  </si>
  <si>
    <t>phenol resin composite</t>
  </si>
  <si>
    <t>KOH4-PR</t>
  </si>
  <si>
    <t>KOH6-PR</t>
  </si>
  <si>
    <t>El-Sharkawy, Ibrahim I.; Uddin, Kutub; Miyazaki, Takahiko; Baran Saha, Bidyut; Koyama, Shigeru; Kil, Hyun-Sig et al. (2015): Adsorption of ethanol onto phenol resin based adsorbents for developing next generation cooling systems. In: International Journal of Heat and Mass Transfer 81, S. 171–178. DOI: 10.1016/j.ijheatmasstransfer.2014.10.012.</t>
  </si>
  <si>
    <t>Butane</t>
  </si>
  <si>
    <t>Saha, Bidyut Baran; Chakraborty, Anutosh; Koyama, Shigeru; Yoon, Seong-Ho; Mochida, Isao; Kumja, M. et al. (2008): Isotherms and thermodynamics for the adsorption of n -butane on pitch based activated carbon. In: International Journal of Heat and Mass Transfer 51 (7-8), S. 1582–1589. DOI: 10.1016/j.ijheatmasstransfer.2007.07.031.</t>
  </si>
  <si>
    <t>207C</t>
  </si>
  <si>
    <t>207EA</t>
  </si>
  <si>
    <t>WS-480</t>
  </si>
  <si>
    <t>Zhao, Yongling; Hu, Eric; Blazewicz, Antoni (2012): A comparison of three adsorption equations and sensitivity study of parameter uncertainty effects on adsorption refrigeration thermal performance estimation. In: Heat Mass Transfer 48 (2), S. 217–226. DOI: 10.1007/s00231-011-0875-8.</t>
  </si>
  <si>
    <t>Wu, Jun W.; Madani, S. Hadi; Biggs, Mark J.; Phillip, Pendleton; Lei, Chen; Hu, Eric J. (2015): Characterizations of Activated Carbon–Methanol Adsorption Pair Including the Heat of Adsorptions. In: J. Chem. Eng. Data 60 (6), S. 1727–1731. DOI: 10.1021/je501113y.</t>
  </si>
  <si>
    <t>Loh, Wai Soong; Ismail, Azhar Bin; Xi, Baojuan; Ng, Kim Choon; Chun, Won Gee (2012): Adsorption Isotherms and Isosteric Enthalpy of Adsorption for Assorted Refrigerants on Activated Carbons. In: J. Chem. Eng. Data 57 (10), S. 2766–2773. DOI: 10.1021/je3008099.</t>
  </si>
  <si>
    <t>HC-20C</t>
  </si>
  <si>
    <t>El-Sharkawy, I. I.; Hassan, M.; Saha, B. B.; Koyama, S.; Nasr, M. M. (2009): Study on adsorption of methanol onto carbon based adsorbents. In: International Journal of Refrigeration 32 (7), S. 1579–1586. DOI: 10.1016/j.ijrefrig.2009.06.011.</t>
  </si>
  <si>
    <t>Passos, E.; Meunier, F.; Gianola, J. C. (1986): Thermodynamic performance improvement of an intermittent solar-powered refrigeration cycle using adsorption of methanol on activated carbon. In: Journal of Heat Recovery Systems 6 (3), S. 259–264. DOI: 10.1016/0198-7593(86)90010-X.</t>
  </si>
  <si>
    <t>DEG</t>
  </si>
  <si>
    <t>PKST</t>
  </si>
  <si>
    <t>A-35</t>
  </si>
  <si>
    <t>Norit RB</t>
  </si>
  <si>
    <t>granular</t>
  </si>
  <si>
    <t>Askalany, Ahmed A.; Salem, M.; Ismail, I. M.; Ali, Ahmed Hamza H.; Morsy, M. G. (2012): Experimental study on adsorption–desorption characteristics of granular activated carbon/R134a pair. In: International Journal of Refrigeration 35 (3), S. 494–498. DOI: 10.1016/j.ijrefrig.2011.04.002.</t>
  </si>
  <si>
    <t>Sapienza, Alessio; Velte, Andreas; Girnik, Ilya; Frazzica, Andrea; Füldner, Gerrit; Schnabel, Lena; Aristov, Yuri (2017): “Water - Silica Siogel” working pair for adsorption chillers. Adsorption equilibrium and dynamics. In: Renewable Energy 110, S. 40–46. DOI: 10.1016/j.renene.2016.09.065.</t>
  </si>
  <si>
    <t>comment</t>
  </si>
  <si>
    <t>See original liturate: Vapor pressure in Pa is given by p_sat = 23.0272 - 2748.39 / T.</t>
  </si>
  <si>
    <t>See original literature: Use low-level interface for calculations as special form of density of adsorpt is required (i.e., rho_adsorpt = 1.546 * T - rho_gas(p, T) in kg/m3); inverse functions may not work anymore.</t>
  </si>
  <si>
    <t>See original literature: Use low-level interface for calculations as special form of density of adsorpt is required (i.e., rho_adsorpt = 1.022 * T - rho_gas(p, T) in kg/m3); inverse functions may not work anymore.</t>
  </si>
  <si>
    <t>See original literature: Use low-level interface for calculations as special form of density of adsorpt is required (i.e., 1/rho_adsorpt = 7.2643e-4 * exp(ln(9.39e-4 /7.2643e-4) * (T - 246.78) / (374.21 - 246.78)) in kg/m3); inverse functions may not work anymore.</t>
  </si>
  <si>
    <t>See original literature: Use low-level interface for calculations as special form of density of adsorpt is required (i.e., 1/rho_adsorpt = 7.26e-4 * exp(ln(9.39e-4 /7.26e-4) * (T - 246.78) / (374.21 - 246.78)) in kg/m3); inverse functions may not work anymore.</t>
  </si>
  <si>
    <t>See original literature: Use low-level interface for calculations as special form of density of adsorpt is required (i.e., rho_adsorpt = -1.0015 * T - rho_gas(p, T) in kg/m3); inverse functions may not work anymore.</t>
  </si>
  <si>
    <t>See original literature: Use low-level interface for calculations as special form of density of adsorpt is required (i.e., rho_adsorpt = A - B * T - rho_gas(p, T) in kg/m3); inverse functions may not work anymore.</t>
  </si>
  <si>
    <t>See original literature: Use low-level interface for calculations as special form of density of adsorpt (i.e., 1/rho_adsorpt = 2.3677e-3 * exp(0.0043* (T - 111.67)) in kg/m3) and vapor pressure (i.e., p_sat = p_crit *(T / T_crit)^2 in Pa if T &gt; T_crit) are required; inverse functions may not work anymore.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</si>
</sst>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33" borderId="0" xfId="0" applyFont="1" applyFill="1"/>
    <xf numFmtId="49" fontId="16" fillId="33" borderId="0" xfId="0" applyNumberFormat="1" applyFont="1" applyFill="1"/>
    <xf numFmtId="0" fontId="0" fillId="33" borderId="0" xfId="0" applyFill="1"/>
    <xf numFmtId="49" fontId="0" fillId="33" borderId="0" xfId="0" applyNumberFormat="1" applyFill="1"/>
    <xf numFmtId="0" fontId="0" fillId="34" borderId="0" xfId="0" applyFill="1"/>
    <xf numFmtId="0" fontId="14" fillId="34" borderId="0" xfId="0" applyFont="1" applyFill="1"/>
    <xf numFmtId="11" fontId="14" fillId="34" borderId="0" xfId="0" applyNumberFormat="1" applyFont="1" applyFill="1"/>
    <xf numFmtId="11" fontId="14" fillId="34" borderId="0" xfId="0" quotePrefix="1" applyNumberFormat="1" applyFont="1" applyFill="1"/>
    <xf numFmtId="0" fontId="0" fillId="33" borderId="0" xfId="0" quotePrefix="1" applyFill="1"/>
    <xf numFmtId="0" fontId="14" fillId="34" borderId="0" xfId="0" quotePrefix="1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5"/>
  <sheetViews>
    <sheetView tabSelected="1" zoomScale="85" zoomScaleNormal="85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AC62" sqref="AC62"/>
    </sheetView>
  </sheetViews>
  <sheetFormatPr baseColWidth="10" defaultRowHeight="14.5" x14ac:dyDescent="0.35"/>
  <cols>
    <col min="1" max="1" width="13.1796875" bestFit="1" customWidth="1"/>
    <col min="2" max="2" width="21.7265625" bestFit="1" customWidth="1"/>
    <col min="3" max="3" width="24.1796875" bestFit="1" customWidth="1"/>
    <col min="4" max="4" width="4.36328125" bestFit="1" customWidth="1"/>
    <col min="5" max="5" width="18.54296875" bestFit="1" customWidth="1"/>
    <col min="6" max="6" width="17.08984375" bestFit="1" customWidth="1"/>
    <col min="7" max="7" width="17.90625" bestFit="1" customWidth="1"/>
    <col min="8" max="8" width="21.26953125" bestFit="1" customWidth="1"/>
    <col min="9" max="9" width="19" bestFit="1" customWidth="1"/>
    <col min="10" max="10" width="15.1796875" bestFit="1" customWidth="1"/>
    <col min="11" max="11" width="15.81640625" bestFit="1" customWidth="1"/>
    <col min="12" max="12" width="18.08984375" bestFit="1" customWidth="1"/>
    <col min="13" max="13" width="16.1796875" bestFit="1" customWidth="1"/>
    <col min="14" max="14" width="17.36328125" bestFit="1" customWidth="1"/>
    <col min="15" max="15" width="17.54296875" bestFit="1" customWidth="1"/>
    <col min="16" max="18" width="17.453125" bestFit="1" customWidth="1"/>
    <col min="19" max="20" width="18.08984375" bestFit="1" customWidth="1"/>
    <col min="21" max="21" width="18.36328125" bestFit="1" customWidth="1"/>
    <col min="22" max="22" width="21.453125" bestFit="1" customWidth="1"/>
    <col min="23" max="23" width="21.7265625" bestFit="1" customWidth="1"/>
    <col min="24" max="24" width="17.08984375" bestFit="1" customWidth="1"/>
    <col min="25" max="25" width="17.36328125" bestFit="1" customWidth="1"/>
    <col min="26" max="26" width="8" bestFit="1" customWidth="1"/>
    <col min="27" max="27" width="9.453125" bestFit="1" customWidth="1"/>
    <col min="28" max="28" width="9.453125" customWidth="1"/>
    <col min="29" max="29" width="8.36328125" bestFit="1" customWidth="1"/>
  </cols>
  <sheetData>
    <row r="1" spans="1:29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25</v>
      </c>
      <c r="G1" s="2" t="s">
        <v>5</v>
      </c>
      <c r="H1" s="2" t="s">
        <v>6</v>
      </c>
      <c r="I1" s="2" t="s">
        <v>7</v>
      </c>
      <c r="J1" s="2" t="s">
        <v>26</v>
      </c>
      <c r="K1" s="2" t="s">
        <v>27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36</v>
      </c>
      <c r="Q1" s="2" t="s">
        <v>37</v>
      </c>
      <c r="R1" s="2" t="s">
        <v>38</v>
      </c>
      <c r="S1" s="2" t="s">
        <v>39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177</v>
      </c>
      <c r="AC1" s="1" t="s">
        <v>20</v>
      </c>
    </row>
    <row r="2" spans="1:29" x14ac:dyDescent="0.35">
      <c r="A2" s="3" t="s">
        <v>28</v>
      </c>
      <c r="B2" s="3" t="s">
        <v>28</v>
      </c>
      <c r="C2" s="3" t="s">
        <v>28</v>
      </c>
      <c r="D2" s="3" t="s">
        <v>28</v>
      </c>
      <c r="E2" s="4" t="s">
        <v>21</v>
      </c>
      <c r="F2" s="4" t="s">
        <v>21</v>
      </c>
      <c r="G2" s="4" t="s">
        <v>21</v>
      </c>
      <c r="H2" s="4" t="s">
        <v>21</v>
      </c>
      <c r="I2" s="4" t="s">
        <v>21</v>
      </c>
      <c r="J2" s="4" t="s">
        <v>29</v>
      </c>
      <c r="K2" s="4" t="s">
        <v>30</v>
      </c>
      <c r="L2" s="4" t="s">
        <v>31</v>
      </c>
      <c r="M2" s="4" t="s">
        <v>32</v>
      </c>
      <c r="N2" s="4" t="s">
        <v>32</v>
      </c>
      <c r="O2" s="4" t="s">
        <v>32</v>
      </c>
      <c r="P2" s="4" t="s">
        <v>22</v>
      </c>
      <c r="Q2" s="4" t="s">
        <v>31</v>
      </c>
      <c r="R2" s="4" t="s">
        <v>40</v>
      </c>
      <c r="S2" s="4" t="s">
        <v>31</v>
      </c>
      <c r="T2" s="3" t="s">
        <v>33</v>
      </c>
      <c r="U2" s="3" t="s">
        <v>33</v>
      </c>
      <c r="V2" s="3" t="s">
        <v>34</v>
      </c>
      <c r="W2" s="3" t="s">
        <v>34</v>
      </c>
      <c r="X2" s="3" t="s">
        <v>23</v>
      </c>
      <c r="Y2" s="3" t="s">
        <v>23</v>
      </c>
      <c r="Z2" s="3" t="s">
        <v>35</v>
      </c>
      <c r="AA2" s="3" t="s">
        <v>23</v>
      </c>
      <c r="AB2" s="9" t="s">
        <v>28</v>
      </c>
      <c r="AC2" s="3" t="s">
        <v>28</v>
      </c>
    </row>
    <row r="3" spans="1:29" s="5" customFormat="1" x14ac:dyDescent="0.35">
      <c r="A3" s="5" t="s">
        <v>41</v>
      </c>
      <c r="B3" s="5" t="s">
        <v>88</v>
      </c>
      <c r="C3" s="5" t="s">
        <v>59</v>
      </c>
      <c r="D3" s="5" t="s">
        <v>24</v>
      </c>
      <c r="E3" s="5">
        <v>1E-3</v>
      </c>
      <c r="P3" s="5">
        <v>19400</v>
      </c>
      <c r="Q3" s="5">
        <v>2.2400000000000002</v>
      </c>
      <c r="R3" s="5">
        <v>0.148617</v>
      </c>
      <c r="S3" s="5">
        <v>-1</v>
      </c>
      <c r="T3" s="5">
        <v>2450</v>
      </c>
      <c r="U3" s="5">
        <v>99391</v>
      </c>
      <c r="V3" s="5">
        <v>323</v>
      </c>
      <c r="W3" s="5">
        <v>423</v>
      </c>
      <c r="X3" s="5">
        <f>0.0441*0.26775</f>
        <v>1.1807775E-2</v>
      </c>
      <c r="Y3" s="5">
        <f>0.0441*3.10889</f>
        <v>0.137102049</v>
      </c>
      <c r="AC3" s="5" t="s">
        <v>43</v>
      </c>
    </row>
    <row r="4" spans="1:29" s="5" customFormat="1" x14ac:dyDescent="0.35">
      <c r="A4" s="5" t="s">
        <v>42</v>
      </c>
      <c r="B4" s="5" t="s">
        <v>88</v>
      </c>
      <c r="C4" s="5" t="s">
        <v>59</v>
      </c>
      <c r="D4" s="5" t="s">
        <v>24</v>
      </c>
      <c r="E4" s="5">
        <v>1E-3</v>
      </c>
      <c r="P4" s="5">
        <v>23400</v>
      </c>
      <c r="Q4" s="5">
        <v>2.2799999999999998</v>
      </c>
      <c r="R4" s="5">
        <v>0.1578</v>
      </c>
      <c r="S4" s="5">
        <v>-1</v>
      </c>
      <c r="T4" s="5">
        <v>2383</v>
      </c>
      <c r="U4" s="5">
        <v>98972</v>
      </c>
      <c r="V4" s="5">
        <v>323</v>
      </c>
      <c r="W4" s="5">
        <v>423</v>
      </c>
      <c r="X4" s="5">
        <f>0.64952*0.04208</f>
        <v>2.73318016E-2</v>
      </c>
      <c r="Y4" s="5">
        <f>3.57922*0.04208</f>
        <v>0.15061357759999999</v>
      </c>
      <c r="AC4" s="5" t="s">
        <v>43</v>
      </c>
    </row>
    <row r="5" spans="1:29" s="5" customFormat="1" x14ac:dyDescent="0.35">
      <c r="A5" s="5" t="s">
        <v>41</v>
      </c>
      <c r="B5" s="5" t="s">
        <v>89</v>
      </c>
      <c r="C5" s="5" t="s">
        <v>59</v>
      </c>
      <c r="D5" s="5" t="s">
        <v>24</v>
      </c>
      <c r="E5" s="5">
        <v>1.1000000000000001E-3</v>
      </c>
      <c r="F5" s="5">
        <v>5.0000000000000002E-5</v>
      </c>
      <c r="G5" s="5">
        <v>2.5</v>
      </c>
      <c r="L5" s="5">
        <v>0.35</v>
      </c>
      <c r="N5" s="5">
        <v>1130</v>
      </c>
      <c r="O5" s="5">
        <v>1740</v>
      </c>
      <c r="P5" s="5">
        <v>18200</v>
      </c>
      <c r="Q5" s="5">
        <v>2.4700000000000002</v>
      </c>
      <c r="R5" s="5">
        <v>0.112896</v>
      </c>
      <c r="S5" s="5">
        <v>-1</v>
      </c>
      <c r="T5" s="5">
        <v>2375</v>
      </c>
      <c r="U5" s="5">
        <v>99898</v>
      </c>
      <c r="V5" s="5">
        <v>323</v>
      </c>
      <c r="W5" s="5">
        <v>423</v>
      </c>
      <c r="X5" s="5">
        <f>0.13211*0.0441</f>
        <v>5.8260510000000005E-3</v>
      </c>
      <c r="Y5" s="5">
        <f>2.33552*0.0441</f>
        <v>0.102996432</v>
      </c>
      <c r="AC5" s="5" t="s">
        <v>43</v>
      </c>
    </row>
    <row r="6" spans="1:29" s="5" customFormat="1" x14ac:dyDescent="0.35">
      <c r="A6" s="5" t="s">
        <v>42</v>
      </c>
      <c r="B6" s="5" t="s">
        <v>89</v>
      </c>
      <c r="C6" s="5" t="s">
        <v>59</v>
      </c>
      <c r="D6" s="5" t="s">
        <v>24</v>
      </c>
      <c r="E6" s="5">
        <v>1.1000000000000001E-3</v>
      </c>
      <c r="F6" s="5">
        <v>5.0000000000000002E-5</v>
      </c>
      <c r="G6" s="5">
        <v>2.5</v>
      </c>
      <c r="L6" s="5">
        <v>0.35</v>
      </c>
      <c r="N6" s="5">
        <v>1130</v>
      </c>
      <c r="O6" s="5">
        <v>1740</v>
      </c>
      <c r="P6" s="5">
        <v>23400</v>
      </c>
      <c r="Q6" s="5">
        <v>2.13</v>
      </c>
      <c r="R6" s="5">
        <v>0.11403679999999999</v>
      </c>
      <c r="S6" s="5">
        <v>-1</v>
      </c>
      <c r="T6" s="5">
        <v>2096</v>
      </c>
      <c r="U6" s="5">
        <v>99689</v>
      </c>
      <c r="V6" s="5">
        <v>323</v>
      </c>
      <c r="W6" s="5">
        <v>423</v>
      </c>
      <c r="X6" s="5">
        <f>0.51826*0.04208</f>
        <v>2.1808380800000002E-2</v>
      </c>
      <c r="Y6" s="5">
        <f>2.48844*0.04208</f>
        <v>0.1047135552</v>
      </c>
      <c r="AC6" s="5" t="s">
        <v>43</v>
      </c>
    </row>
    <row r="7" spans="1:29" s="5" customFormat="1" x14ac:dyDescent="0.35">
      <c r="A7" s="5" t="s">
        <v>41</v>
      </c>
      <c r="B7" s="5" t="s">
        <v>90</v>
      </c>
      <c r="C7" s="5" t="s">
        <v>91</v>
      </c>
      <c r="D7" s="5" t="s">
        <v>24</v>
      </c>
      <c r="F7" s="5">
        <v>2.9999999999999997E-4</v>
      </c>
      <c r="G7" s="5">
        <v>1.1000000000000001</v>
      </c>
      <c r="I7" s="5" t="s">
        <v>44</v>
      </c>
      <c r="L7" s="5">
        <v>0.315</v>
      </c>
      <c r="N7" s="5">
        <v>900</v>
      </c>
      <c r="P7" s="5">
        <v>18230</v>
      </c>
      <c r="Q7" s="5">
        <v>2</v>
      </c>
      <c r="R7" s="5">
        <v>6.0284700000000004E-2</v>
      </c>
      <c r="S7" s="5">
        <v>-1</v>
      </c>
      <c r="T7" s="5">
        <v>1834</v>
      </c>
      <c r="U7" s="5">
        <v>290732</v>
      </c>
      <c r="V7" s="5">
        <v>343</v>
      </c>
      <c r="W7" s="5">
        <v>423</v>
      </c>
      <c r="X7" s="5">
        <f>0.27116*0.0441</f>
        <v>1.1958156000000001E-2</v>
      </c>
      <c r="Y7" s="5">
        <f>1.21898*0.0441</f>
        <v>5.3757017999999997E-2</v>
      </c>
      <c r="AC7" s="5" t="s">
        <v>45</v>
      </c>
    </row>
    <row r="8" spans="1:29" s="5" customFormat="1" x14ac:dyDescent="0.35">
      <c r="A8" s="5" t="s">
        <v>42</v>
      </c>
      <c r="B8" s="5" t="s">
        <v>90</v>
      </c>
      <c r="C8" s="5" t="s">
        <v>91</v>
      </c>
      <c r="D8" s="5" t="s">
        <v>24</v>
      </c>
      <c r="F8" s="5">
        <v>2.9999999999999997E-4</v>
      </c>
      <c r="G8" s="5">
        <v>1.1000000000000001</v>
      </c>
      <c r="I8" s="5" t="s">
        <v>44</v>
      </c>
      <c r="L8" s="5">
        <v>0.315</v>
      </c>
      <c r="N8" s="5">
        <v>900</v>
      </c>
      <c r="P8" s="5">
        <v>21230</v>
      </c>
      <c r="Q8" s="5">
        <v>2</v>
      </c>
      <c r="R8" s="5">
        <v>7.0231520000000006E-2</v>
      </c>
      <c r="S8" s="5">
        <v>-1</v>
      </c>
      <c r="T8" s="5">
        <v>109</v>
      </c>
      <c r="U8" s="5">
        <v>283009</v>
      </c>
      <c r="V8" s="5">
        <v>343</v>
      </c>
      <c r="W8" s="5">
        <v>423</v>
      </c>
      <c r="X8" s="5">
        <f>0.30313*0.04208</f>
        <v>1.27557104E-2</v>
      </c>
      <c r="Y8" s="5">
        <f>1.48411*0.04208</f>
        <v>6.2451348800000001E-2</v>
      </c>
      <c r="AC8" s="5" t="s">
        <v>45</v>
      </c>
    </row>
    <row r="9" spans="1:29" s="6" customFormat="1" x14ac:dyDescent="0.35">
      <c r="A9" s="6" t="s">
        <v>46</v>
      </c>
      <c r="B9" s="6" t="s">
        <v>89</v>
      </c>
      <c r="C9" s="6" t="s">
        <v>47</v>
      </c>
      <c r="D9" s="6" t="s">
        <v>24</v>
      </c>
      <c r="P9" s="6">
        <f>8.31446261815324/(0.0000001916)^(1/Q9)</f>
        <v>18994.874683489761</v>
      </c>
      <c r="Q9" s="6">
        <v>2</v>
      </c>
      <c r="R9" s="7">
        <v>2.2220000000000001E-4</v>
      </c>
      <c r="S9" s="6">
        <v>1</v>
      </c>
      <c r="AB9" s="10" t="s">
        <v>178</v>
      </c>
      <c r="AC9" s="6" t="s">
        <v>92</v>
      </c>
    </row>
    <row r="10" spans="1:29" s="5" customFormat="1" x14ac:dyDescent="0.35">
      <c r="A10" s="5" t="s">
        <v>48</v>
      </c>
      <c r="B10" s="5" t="s">
        <v>93</v>
      </c>
      <c r="C10" s="5" t="s">
        <v>95</v>
      </c>
      <c r="D10" s="5" t="s">
        <v>24</v>
      </c>
      <c r="F10" s="5">
        <v>1.3999999999999999E-6</v>
      </c>
      <c r="J10" s="5">
        <v>769.1</v>
      </c>
      <c r="P10" s="5">
        <v>3585</v>
      </c>
      <c r="Q10" s="5">
        <v>1.25</v>
      </c>
      <c r="R10" s="5">
        <v>4.55E-4</v>
      </c>
      <c r="S10" s="5">
        <v>1</v>
      </c>
      <c r="T10" s="5">
        <v>172.52023705672551</v>
      </c>
      <c r="U10" s="5">
        <v>3000.5378720624221</v>
      </c>
      <c r="V10" s="5">
        <v>298.14999999999998</v>
      </c>
      <c r="W10" s="5">
        <v>298.14999999999998</v>
      </c>
      <c r="X10" s="5">
        <v>4.2329083209454513E-2</v>
      </c>
      <c r="Y10" s="5">
        <v>0.42624181015937213</v>
      </c>
      <c r="AC10" s="5" t="s">
        <v>49</v>
      </c>
    </row>
    <row r="11" spans="1:29" s="5" customFormat="1" x14ac:dyDescent="0.35">
      <c r="A11" s="5" t="s">
        <v>48</v>
      </c>
      <c r="B11" s="5" t="s">
        <v>93</v>
      </c>
      <c r="C11" s="5" t="s">
        <v>94</v>
      </c>
      <c r="D11" s="5" t="s">
        <v>24</v>
      </c>
      <c r="F11" s="5">
        <v>1.3200000000000001E-6</v>
      </c>
      <c r="J11" s="5">
        <v>636.4</v>
      </c>
      <c r="P11" s="5">
        <v>4384</v>
      </c>
      <c r="Q11" s="5">
        <v>1.35</v>
      </c>
      <c r="R11" s="5">
        <v>3.2699999999999998E-4</v>
      </c>
      <c r="S11" s="5">
        <v>1</v>
      </c>
      <c r="T11" s="5">
        <v>177.69673174865613</v>
      </c>
      <c r="U11" s="5">
        <v>3021.8397975552411</v>
      </c>
      <c r="V11" s="5">
        <v>298.14999999999998</v>
      </c>
      <c r="W11" s="5">
        <v>298.14999999999998</v>
      </c>
      <c r="X11" s="5">
        <v>5.4920716226389873E-2</v>
      </c>
      <c r="Y11" s="5">
        <v>0.36341691505181645</v>
      </c>
      <c r="AC11" s="5" t="s">
        <v>49</v>
      </c>
    </row>
    <row r="12" spans="1:29" s="5" customFormat="1" x14ac:dyDescent="0.35">
      <c r="A12" s="5" t="s">
        <v>48</v>
      </c>
      <c r="B12" s="5" t="s">
        <v>93</v>
      </c>
      <c r="C12" s="5" t="s">
        <v>96</v>
      </c>
      <c r="D12" s="5" t="s">
        <v>24</v>
      </c>
      <c r="F12" s="5">
        <v>1.38E-5</v>
      </c>
      <c r="J12" s="5">
        <v>836.6</v>
      </c>
      <c r="P12" s="5">
        <v>3804</v>
      </c>
      <c r="Q12" s="5">
        <v>1.35</v>
      </c>
      <c r="R12" s="5">
        <v>3.8039999999999998E-4</v>
      </c>
      <c r="S12" s="5">
        <v>1</v>
      </c>
      <c r="T12" s="5">
        <v>168.41517849821346</v>
      </c>
      <c r="U12" s="5">
        <v>3016.1751337374335</v>
      </c>
      <c r="V12" s="5">
        <v>298.14999999999998</v>
      </c>
      <c r="W12" s="5">
        <v>298.14999999999998</v>
      </c>
      <c r="X12" s="5">
        <v>5.00991988398257E-2</v>
      </c>
      <c r="Y12" s="5">
        <v>0.42870254509407468</v>
      </c>
      <c r="AC12" s="5" t="s">
        <v>49</v>
      </c>
    </row>
    <row r="13" spans="1:29" s="6" customFormat="1" x14ac:dyDescent="0.35">
      <c r="A13" s="6" t="s">
        <v>48</v>
      </c>
      <c r="B13" s="6" t="s">
        <v>89</v>
      </c>
      <c r="D13" s="6" t="s">
        <v>24</v>
      </c>
      <c r="G13" s="6">
        <v>1.5</v>
      </c>
      <c r="P13" s="6">
        <f>8.31446261815324/(0.00000018)^(1/Q13)</f>
        <v>19597.376330727373</v>
      </c>
      <c r="Q13" s="6">
        <v>2</v>
      </c>
      <c r="R13" s="6">
        <v>2.6899999999999998E-4</v>
      </c>
      <c r="S13" s="6">
        <v>1</v>
      </c>
      <c r="AC13" s="6" t="s">
        <v>52</v>
      </c>
    </row>
    <row r="14" spans="1:29" s="6" customFormat="1" x14ac:dyDescent="0.35">
      <c r="A14" s="6" t="s">
        <v>50</v>
      </c>
      <c r="B14" s="6" t="s">
        <v>83</v>
      </c>
      <c r="C14" s="6" t="s">
        <v>97</v>
      </c>
      <c r="D14" s="6" t="s">
        <v>24</v>
      </c>
      <c r="G14" s="6">
        <v>1.5</v>
      </c>
      <c r="P14" s="6">
        <f>8.31446261815324/(0.000000502)^(1/Q14)</f>
        <v>7075.2115994488613</v>
      </c>
      <c r="Q14" s="6">
        <v>2.15</v>
      </c>
      <c r="R14" s="6">
        <v>4.2499999999999998E-4</v>
      </c>
      <c r="S14" s="6">
        <v>1</v>
      </c>
      <c r="AC14" s="6" t="s">
        <v>52</v>
      </c>
    </row>
    <row r="15" spans="1:29" s="6" customFormat="1" x14ac:dyDescent="0.35">
      <c r="A15" s="6" t="s">
        <v>50</v>
      </c>
      <c r="B15" s="6" t="s">
        <v>83</v>
      </c>
      <c r="C15" s="6" t="s">
        <v>51</v>
      </c>
      <c r="D15" s="6" t="s">
        <v>24</v>
      </c>
      <c r="G15" s="6">
        <v>1.5</v>
      </c>
      <c r="P15" s="6">
        <f>8.31446261815324/(0.0002574)^(1/Q15)</f>
        <v>4335.2252735947632</v>
      </c>
      <c r="Q15" s="6">
        <v>1.321</v>
      </c>
      <c r="R15" s="6">
        <v>8.5999999999999998E-4</v>
      </c>
      <c r="S15" s="6">
        <v>1</v>
      </c>
      <c r="AC15" s="6" t="s">
        <v>52</v>
      </c>
    </row>
    <row r="16" spans="1:29" s="5" customFormat="1" x14ac:dyDescent="0.35">
      <c r="A16" s="5" t="s">
        <v>53</v>
      </c>
      <c r="B16" s="5" t="s">
        <v>99</v>
      </c>
      <c r="C16" s="5" t="s">
        <v>98</v>
      </c>
      <c r="D16" s="5" t="s">
        <v>24</v>
      </c>
      <c r="F16" s="5">
        <f>2*0.0000172</f>
        <v>3.4400000000000003E-5</v>
      </c>
      <c r="G16" s="5" t="s">
        <v>62</v>
      </c>
      <c r="J16" s="5">
        <v>181</v>
      </c>
      <c r="K16" s="5">
        <v>0.73</v>
      </c>
      <c r="L16" s="5">
        <v>0.73</v>
      </c>
      <c r="P16" s="5">
        <v>6900</v>
      </c>
      <c r="Q16" s="5">
        <v>1.8</v>
      </c>
      <c r="R16" s="5">
        <v>6.8000000000000005E-4</v>
      </c>
      <c r="S16" s="5">
        <v>1</v>
      </c>
      <c r="T16" s="5">
        <v>1260</v>
      </c>
      <c r="U16" s="5">
        <v>2540</v>
      </c>
      <c r="V16" s="5">
        <v>303.11599999999999</v>
      </c>
      <c r="W16" s="5">
        <v>393.22500000000002</v>
      </c>
      <c r="X16" s="5">
        <v>1.848E-2</v>
      </c>
      <c r="Y16" s="5">
        <v>0.57547000000000004</v>
      </c>
      <c r="AC16" s="5" t="s">
        <v>65</v>
      </c>
    </row>
    <row r="17" spans="1:29" s="5" customFormat="1" x14ac:dyDescent="0.35">
      <c r="A17" s="5" t="s">
        <v>53</v>
      </c>
      <c r="B17" s="5" t="s">
        <v>83</v>
      </c>
      <c r="C17" s="5" t="s">
        <v>55</v>
      </c>
      <c r="D17" s="5" t="s">
        <v>24</v>
      </c>
      <c r="F17" s="5">
        <f>2*0.00000056</f>
        <v>1.1200000000000001E-6</v>
      </c>
      <c r="G17" s="5" t="s">
        <v>61</v>
      </c>
      <c r="J17" s="5">
        <v>2613</v>
      </c>
      <c r="K17" s="5">
        <v>0.65</v>
      </c>
      <c r="P17" s="5">
        <v>8780</v>
      </c>
      <c r="Q17" s="5">
        <v>1.5</v>
      </c>
      <c r="R17" s="5">
        <v>8.1999999999999998E-4</v>
      </c>
      <c r="S17" s="5">
        <v>1</v>
      </c>
      <c r="T17" s="5">
        <v>1260</v>
      </c>
      <c r="U17" s="5">
        <v>3540</v>
      </c>
      <c r="V17" s="5">
        <v>303.10000000000002</v>
      </c>
      <c r="W17" s="5">
        <v>393.16699999999997</v>
      </c>
      <c r="X17" s="5">
        <v>2.7820000000000001E-2</v>
      </c>
      <c r="Y17" s="5">
        <v>0.51763999999999999</v>
      </c>
      <c r="AC17" s="5" t="s">
        <v>65</v>
      </c>
    </row>
    <row r="18" spans="1:29" s="5" customFormat="1" x14ac:dyDescent="0.35">
      <c r="A18" s="5" t="s">
        <v>53</v>
      </c>
      <c r="B18" s="5" t="s">
        <v>83</v>
      </c>
      <c r="C18" s="5" t="s">
        <v>60</v>
      </c>
      <c r="D18" s="5" t="s">
        <v>24</v>
      </c>
      <c r="F18" s="5">
        <f>2*0.00000059</f>
        <v>1.1799999999999999E-6</v>
      </c>
      <c r="G18" s="5">
        <v>0.01</v>
      </c>
      <c r="J18" s="5">
        <v>2180</v>
      </c>
      <c r="K18" s="5">
        <v>0.75</v>
      </c>
      <c r="P18" s="5">
        <v>13500</v>
      </c>
      <c r="Q18" s="5">
        <v>2</v>
      </c>
      <c r="R18" s="5">
        <v>7.5000000000000002E-4</v>
      </c>
      <c r="S18" s="5">
        <v>1</v>
      </c>
      <c r="T18" s="5">
        <v>1260</v>
      </c>
      <c r="U18" s="5">
        <v>3540</v>
      </c>
      <c r="V18" s="5">
        <v>3303.1289999999999</v>
      </c>
      <c r="W18" s="5">
        <v>393.15600000000001</v>
      </c>
      <c r="X18" s="5">
        <v>2.0379999999999999E-2</v>
      </c>
      <c r="Y18" s="5">
        <v>0.54706999999999995</v>
      </c>
      <c r="AC18" s="5" t="s">
        <v>65</v>
      </c>
    </row>
    <row r="19" spans="1:29" s="5" customFormat="1" x14ac:dyDescent="0.35">
      <c r="A19" s="5" t="s">
        <v>53</v>
      </c>
      <c r="B19" s="5" t="s">
        <v>83</v>
      </c>
      <c r="C19" s="5" t="s">
        <v>56</v>
      </c>
      <c r="D19" s="5" t="s">
        <v>24</v>
      </c>
      <c r="F19" s="5">
        <f>2*0.000000064</f>
        <v>1.2800000000000001E-7</v>
      </c>
      <c r="G19" s="5">
        <v>4</v>
      </c>
      <c r="J19" s="5">
        <v>1428</v>
      </c>
      <c r="K19" s="5">
        <v>0.47</v>
      </c>
      <c r="P19" s="5">
        <v>10600</v>
      </c>
      <c r="Q19" s="5">
        <v>2</v>
      </c>
      <c r="R19" s="5">
        <v>4.4999999999999999E-4</v>
      </c>
      <c r="S19" s="5">
        <v>1</v>
      </c>
      <c r="T19" s="5">
        <v>1260</v>
      </c>
      <c r="U19" s="5">
        <v>3540</v>
      </c>
      <c r="V19" s="5">
        <v>303.08300000000003</v>
      </c>
      <c r="W19" s="5">
        <v>393.173</v>
      </c>
      <c r="X19" s="5">
        <v>1.5570000000000001E-2</v>
      </c>
      <c r="Y19" s="5">
        <v>0.33722000000000002</v>
      </c>
      <c r="AC19" s="5" t="s">
        <v>65</v>
      </c>
    </row>
    <row r="20" spans="1:29" s="5" customFormat="1" x14ac:dyDescent="0.35">
      <c r="A20" s="5" t="s">
        <v>53</v>
      </c>
      <c r="B20" s="5" t="s">
        <v>83</v>
      </c>
      <c r="C20" s="5" t="s">
        <v>57</v>
      </c>
      <c r="D20" s="5" t="s">
        <v>24</v>
      </c>
      <c r="F20" s="5">
        <f>2*0.00000059</f>
        <v>1.1799999999999999E-6</v>
      </c>
      <c r="G20" s="5" t="s">
        <v>63</v>
      </c>
      <c r="J20" s="5">
        <v>1745</v>
      </c>
      <c r="K20" s="5">
        <v>0.64</v>
      </c>
      <c r="P20" s="5">
        <v>11200</v>
      </c>
      <c r="Q20" s="5">
        <v>1.7</v>
      </c>
      <c r="R20" s="5">
        <v>6.0999999999999997E-4</v>
      </c>
      <c r="S20" s="5">
        <v>1</v>
      </c>
      <c r="T20" s="5">
        <v>1260</v>
      </c>
      <c r="U20" s="5">
        <v>3540</v>
      </c>
      <c r="V20" s="5">
        <v>303.09699999999998</v>
      </c>
      <c r="W20" s="5">
        <v>393.12700000000001</v>
      </c>
      <c r="X20" s="5">
        <v>4.335E-2</v>
      </c>
      <c r="Y20" s="5">
        <v>0.42682999999999999</v>
      </c>
      <c r="AC20" s="5" t="s">
        <v>65</v>
      </c>
    </row>
    <row r="21" spans="1:29" s="5" customFormat="1" x14ac:dyDescent="0.35">
      <c r="A21" s="5" t="s">
        <v>53</v>
      </c>
      <c r="B21" s="5" t="s">
        <v>83</v>
      </c>
      <c r="C21" s="5" t="s">
        <v>58</v>
      </c>
      <c r="D21" s="5" t="s">
        <v>24</v>
      </c>
      <c r="F21" s="5">
        <f>2*0.00000059</f>
        <v>1.1799999999999999E-6</v>
      </c>
      <c r="G21" s="5" t="s">
        <v>64</v>
      </c>
      <c r="J21" s="5">
        <v>1412</v>
      </c>
      <c r="K21" s="5">
        <v>0.49</v>
      </c>
      <c r="P21" s="5">
        <v>13300</v>
      </c>
      <c r="Q21" s="5">
        <v>2</v>
      </c>
      <c r="R21" s="5">
        <v>4.4000000000000002E-4</v>
      </c>
      <c r="S21" s="5">
        <v>1</v>
      </c>
      <c r="T21" s="5">
        <v>1260</v>
      </c>
      <c r="U21" s="5">
        <v>3540</v>
      </c>
      <c r="V21" s="5">
        <v>303.154</v>
      </c>
      <c r="W21" s="5">
        <v>393.22699999999998</v>
      </c>
      <c r="X21" s="5">
        <v>4.2130000000000001E-2</v>
      </c>
      <c r="Y21" s="5">
        <v>0.31476999999999999</v>
      </c>
      <c r="AC21" s="5" t="s">
        <v>65</v>
      </c>
    </row>
    <row r="22" spans="1:29" s="5" customFormat="1" x14ac:dyDescent="0.35">
      <c r="A22" s="5" t="s">
        <v>54</v>
      </c>
      <c r="B22" s="5" t="s">
        <v>83</v>
      </c>
      <c r="C22" s="5" t="s">
        <v>55</v>
      </c>
      <c r="D22" s="5" t="s">
        <v>24</v>
      </c>
      <c r="F22" s="5">
        <f>2*0.00000056</f>
        <v>1.1200000000000001E-6</v>
      </c>
      <c r="G22" s="5" t="s">
        <v>61</v>
      </c>
      <c r="J22" s="5">
        <v>2613</v>
      </c>
      <c r="K22" s="5">
        <v>0.65</v>
      </c>
      <c r="P22" s="5">
        <v>18900</v>
      </c>
      <c r="Q22" s="5">
        <v>1.7</v>
      </c>
      <c r="R22" s="5">
        <v>7.7999999999999999E-4</v>
      </c>
      <c r="S22" s="5">
        <v>1</v>
      </c>
      <c r="T22" s="5">
        <v>123.38338659216471</v>
      </c>
      <c r="U22" s="5">
        <v>96246.813723721047</v>
      </c>
      <c r="V22" s="5">
        <v>77</v>
      </c>
      <c r="W22" s="5">
        <v>77</v>
      </c>
      <c r="X22" s="5">
        <v>0.39565919457028281</v>
      </c>
      <c r="Y22" s="5">
        <v>0.81381822923086022</v>
      </c>
      <c r="AC22" s="5" t="s">
        <v>65</v>
      </c>
    </row>
    <row r="23" spans="1:29" s="5" customFormat="1" x14ac:dyDescent="0.35">
      <c r="A23" s="5" t="s">
        <v>54</v>
      </c>
      <c r="B23" s="5" t="s">
        <v>83</v>
      </c>
      <c r="C23" s="5" t="s">
        <v>60</v>
      </c>
      <c r="D23" s="5" t="s">
        <v>24</v>
      </c>
      <c r="F23" s="5">
        <f>2*0.00000059</f>
        <v>1.1799999999999999E-6</v>
      </c>
      <c r="G23" s="5">
        <v>0.01</v>
      </c>
      <c r="J23" s="5">
        <v>2180</v>
      </c>
      <c r="K23" s="5">
        <v>0.75</v>
      </c>
      <c r="P23" s="5">
        <v>20300</v>
      </c>
      <c r="Q23" s="5">
        <v>1.6</v>
      </c>
      <c r="R23" s="5">
        <v>7.3999999999999999E-4</v>
      </c>
      <c r="S23" s="5">
        <v>1</v>
      </c>
      <c r="T23" s="5">
        <v>78.693341054845206</v>
      </c>
      <c r="U23" s="5">
        <v>94770.099175531359</v>
      </c>
      <c r="V23" s="5">
        <v>77</v>
      </c>
      <c r="W23" s="5">
        <v>77</v>
      </c>
      <c r="X23" s="5">
        <v>0.34519491506951816</v>
      </c>
      <c r="Y23" s="5">
        <v>0.61286159824895914</v>
      </c>
      <c r="AC23" s="5" t="s">
        <v>65</v>
      </c>
    </row>
    <row r="24" spans="1:29" s="5" customFormat="1" x14ac:dyDescent="0.35">
      <c r="A24" s="5" t="s">
        <v>54</v>
      </c>
      <c r="B24" s="5" t="s">
        <v>83</v>
      </c>
      <c r="C24" s="5" t="s">
        <v>56</v>
      </c>
      <c r="D24" s="5" t="s">
        <v>24</v>
      </c>
      <c r="F24" s="5">
        <f>2*0.000000064</f>
        <v>1.2800000000000001E-7</v>
      </c>
      <c r="G24" s="5">
        <v>4</v>
      </c>
      <c r="J24" s="5">
        <v>1428</v>
      </c>
      <c r="K24" s="5">
        <v>0.47</v>
      </c>
      <c r="P24" s="5">
        <v>18900</v>
      </c>
      <c r="Q24" s="5">
        <v>1.5</v>
      </c>
      <c r="R24" s="5">
        <v>4.4000000000000002E-4</v>
      </c>
      <c r="S24" s="5">
        <v>1</v>
      </c>
      <c r="T24" s="5">
        <v>214.70652312494806</v>
      </c>
      <c r="U24" s="5">
        <v>96174.921041769718</v>
      </c>
      <c r="V24" s="5">
        <v>77</v>
      </c>
      <c r="W24" s="5">
        <v>77</v>
      </c>
      <c r="X24" s="5">
        <v>0.33211935010476368</v>
      </c>
      <c r="Y24" s="5">
        <v>0.572771422649476</v>
      </c>
      <c r="AC24" s="5" t="s">
        <v>65</v>
      </c>
    </row>
    <row r="25" spans="1:29" s="5" customFormat="1" x14ac:dyDescent="0.35">
      <c r="A25" s="5" t="s">
        <v>54</v>
      </c>
      <c r="B25" s="5" t="s">
        <v>83</v>
      </c>
      <c r="C25" s="5" t="s">
        <v>57</v>
      </c>
      <c r="D25" s="5" t="s">
        <v>24</v>
      </c>
      <c r="F25" s="5">
        <f>2*0.00000059</f>
        <v>1.1799999999999999E-6</v>
      </c>
      <c r="G25" s="5" t="s">
        <v>63</v>
      </c>
      <c r="J25" s="5">
        <v>1745</v>
      </c>
      <c r="K25" s="5">
        <v>0.64</v>
      </c>
      <c r="P25" s="5">
        <v>20900</v>
      </c>
      <c r="Q25" s="5">
        <v>1.4</v>
      </c>
      <c r="R25" s="5">
        <v>6.3000000000000003E-4</v>
      </c>
      <c r="S25" s="5">
        <v>1</v>
      </c>
      <c r="T25" s="5">
        <v>350.71970519505084</v>
      </c>
      <c r="U25" s="5">
        <v>96538.270542442697</v>
      </c>
      <c r="V25" s="5">
        <v>77</v>
      </c>
      <c r="W25" s="5">
        <v>77</v>
      </c>
      <c r="X25" s="5">
        <v>0.2984806089171359</v>
      </c>
      <c r="Y25" s="5">
        <v>0.42557263328682021</v>
      </c>
      <c r="AC25" s="5" t="s">
        <v>65</v>
      </c>
    </row>
    <row r="26" spans="1:29" s="5" customFormat="1" x14ac:dyDescent="0.35">
      <c r="A26" s="5" t="s">
        <v>54</v>
      </c>
      <c r="B26" s="5" t="s">
        <v>83</v>
      </c>
      <c r="C26" s="5" t="s">
        <v>58</v>
      </c>
      <c r="D26" s="5" t="s">
        <v>24</v>
      </c>
      <c r="F26" s="5">
        <f>2*0.00000059</f>
        <v>1.1799999999999999E-6</v>
      </c>
      <c r="G26" s="5" t="s">
        <v>64</v>
      </c>
      <c r="J26" s="5">
        <v>1412</v>
      </c>
      <c r="K26" s="5">
        <v>0.49</v>
      </c>
      <c r="P26" s="5">
        <v>23900</v>
      </c>
      <c r="Q26" s="5">
        <v>1.4</v>
      </c>
      <c r="R26" s="5">
        <v>5.1999999999999995E-4</v>
      </c>
      <c r="S26" s="5">
        <v>1</v>
      </c>
      <c r="T26" s="5">
        <v>350.71970519505084</v>
      </c>
      <c r="U26" s="5">
        <v>96538.270542442697</v>
      </c>
      <c r="V26" s="5">
        <v>77</v>
      </c>
      <c r="W26" s="5">
        <v>77</v>
      </c>
      <c r="X26" s="5">
        <v>0.2984806089171359</v>
      </c>
      <c r="Y26" s="5">
        <v>0.42557263328682021</v>
      </c>
      <c r="AC26" s="5" t="s">
        <v>65</v>
      </c>
    </row>
    <row r="27" spans="1:29" s="5" customFormat="1" x14ac:dyDescent="0.35">
      <c r="A27" s="5" t="s">
        <v>50</v>
      </c>
      <c r="B27" s="5" t="s">
        <v>83</v>
      </c>
      <c r="C27" s="5" t="s">
        <v>66</v>
      </c>
      <c r="D27" s="5" t="s">
        <v>24</v>
      </c>
      <c r="J27" s="5">
        <v>921</v>
      </c>
      <c r="L27" s="5">
        <v>0.77</v>
      </c>
      <c r="M27" s="5">
        <v>370</v>
      </c>
      <c r="O27" s="5">
        <v>2174</v>
      </c>
      <c r="P27" s="5">
        <f>1/0.00406/0.03204</f>
        <v>7687.4350411739024</v>
      </c>
      <c r="Q27" s="5">
        <v>2.59</v>
      </c>
      <c r="R27" s="5">
        <v>4.8200000000000001E-4</v>
      </c>
      <c r="S27" s="5">
        <v>1</v>
      </c>
      <c r="T27" s="5">
        <v>3200</v>
      </c>
      <c r="U27" s="5">
        <v>28000</v>
      </c>
      <c r="V27" s="5">
        <v>288.06</v>
      </c>
      <c r="W27" s="5">
        <v>393.15</v>
      </c>
      <c r="X27" s="5">
        <v>1.4090999999999999E-2</v>
      </c>
      <c r="Y27" s="5">
        <v>0.37490699999999999</v>
      </c>
      <c r="AC27" s="5" t="s">
        <v>72</v>
      </c>
    </row>
    <row r="28" spans="1:29" s="5" customFormat="1" x14ac:dyDescent="0.35">
      <c r="A28" s="5" t="s">
        <v>50</v>
      </c>
      <c r="B28" s="5" t="s">
        <v>83</v>
      </c>
      <c r="C28" s="5" t="s">
        <v>67</v>
      </c>
      <c r="D28" s="5" t="s">
        <v>24</v>
      </c>
      <c r="J28" s="5">
        <v>1045</v>
      </c>
      <c r="L28" s="5">
        <v>0.87</v>
      </c>
      <c r="M28" s="5">
        <v>370</v>
      </c>
      <c r="O28" s="5">
        <v>2139</v>
      </c>
      <c r="P28" s="5">
        <f>1/0.00449/0.03204</f>
        <v>6951.2218857830831</v>
      </c>
      <c r="Q28" s="5">
        <v>2.27</v>
      </c>
      <c r="R28" s="5">
        <v>5.1900000000000004E-4</v>
      </c>
      <c r="S28" s="5">
        <v>1</v>
      </c>
      <c r="T28" s="5">
        <v>3200</v>
      </c>
      <c r="U28" s="5">
        <v>28000</v>
      </c>
      <c r="V28" s="5">
        <v>288.11700000000002</v>
      </c>
      <c r="W28" s="5">
        <v>393.00299999999999</v>
      </c>
      <c r="X28" s="5">
        <v>7.3759999999999997E-3</v>
      </c>
      <c r="Y28" s="5">
        <v>0.41370000000000001</v>
      </c>
      <c r="AC28" s="5" t="s">
        <v>72</v>
      </c>
    </row>
    <row r="29" spans="1:29" s="5" customFormat="1" x14ac:dyDescent="0.35">
      <c r="A29" s="5" t="s">
        <v>50</v>
      </c>
      <c r="B29" s="5" t="s">
        <v>83</v>
      </c>
      <c r="C29" s="5" t="s">
        <v>68</v>
      </c>
      <c r="D29" s="5" t="s">
        <v>24</v>
      </c>
      <c r="J29" s="5">
        <v>1009</v>
      </c>
      <c r="L29" s="5">
        <v>0.84</v>
      </c>
      <c r="M29" s="5">
        <v>420</v>
      </c>
      <c r="O29" s="5">
        <v>2259</v>
      </c>
      <c r="P29" s="5">
        <f>1/0.00547/0.03204</f>
        <v>5705.847580834743</v>
      </c>
      <c r="Q29" s="5">
        <v>1.8</v>
      </c>
      <c r="R29" s="5">
        <v>5.3499999999999999E-4</v>
      </c>
      <c r="S29" s="5">
        <v>1</v>
      </c>
      <c r="T29" s="5">
        <v>3200</v>
      </c>
      <c r="U29" s="5">
        <v>28500</v>
      </c>
      <c r="V29" s="5">
        <v>288.21199999999999</v>
      </c>
      <c r="W29" s="5">
        <v>393.01600000000002</v>
      </c>
      <c r="X29" s="5">
        <v>5.4799999999999996E-3</v>
      </c>
      <c r="Y29" s="5">
        <v>0.42950500000000003</v>
      </c>
      <c r="AC29" s="5" t="s">
        <v>72</v>
      </c>
    </row>
    <row r="30" spans="1:29" s="5" customFormat="1" x14ac:dyDescent="0.35">
      <c r="A30" s="5" t="s">
        <v>50</v>
      </c>
      <c r="B30" s="5" t="s">
        <v>83</v>
      </c>
      <c r="C30" s="5" t="s">
        <v>69</v>
      </c>
      <c r="D30" s="5" t="s">
        <v>24</v>
      </c>
      <c r="J30" s="5">
        <v>1111</v>
      </c>
      <c r="L30" s="5">
        <v>0.75</v>
      </c>
      <c r="M30" s="5">
        <v>370</v>
      </c>
      <c r="O30" s="5">
        <v>2169</v>
      </c>
      <c r="P30" s="5">
        <f>1/0.00462/0.03204</f>
        <v>6755.6247331528239</v>
      </c>
      <c r="Q30" s="5">
        <v>2.06</v>
      </c>
      <c r="R30" s="5">
        <v>5.5099999999999995E-4</v>
      </c>
      <c r="S30" s="5">
        <v>1</v>
      </c>
      <c r="T30" s="5">
        <v>3200</v>
      </c>
      <c r="U30" s="5">
        <v>28000</v>
      </c>
      <c r="V30" s="5">
        <v>288.11700000000002</v>
      </c>
      <c r="W30" s="5">
        <v>393.10599999999999</v>
      </c>
      <c r="X30" s="5">
        <v>9.6600000000000002E-3</v>
      </c>
      <c r="Y30" s="5">
        <v>0.42402499999999999</v>
      </c>
      <c r="AC30" s="5" t="s">
        <v>72</v>
      </c>
    </row>
    <row r="31" spans="1:29" s="5" customFormat="1" x14ac:dyDescent="0.35">
      <c r="A31" s="5" t="s">
        <v>50</v>
      </c>
      <c r="B31" s="5" t="s">
        <v>83</v>
      </c>
      <c r="C31" s="5" t="s">
        <v>70</v>
      </c>
      <c r="D31" s="5" t="s">
        <v>24</v>
      </c>
      <c r="J31" s="5">
        <v>1288</v>
      </c>
      <c r="L31" s="5">
        <v>0.82</v>
      </c>
      <c r="M31" s="5">
        <v>380</v>
      </c>
      <c r="O31" s="5">
        <v>2142</v>
      </c>
      <c r="P31" s="5">
        <f>1/0.00626/0.03204</f>
        <v>4985.7805538603907</v>
      </c>
      <c r="Q31" s="5">
        <v>1.85</v>
      </c>
      <c r="R31" s="5">
        <v>6.3299999999999999E-4</v>
      </c>
      <c r="S31" s="5">
        <v>1</v>
      </c>
      <c r="T31" s="5">
        <v>3100</v>
      </c>
      <c r="U31" s="5">
        <v>28320</v>
      </c>
      <c r="V31" s="5">
        <v>288.06700000000001</v>
      </c>
      <c r="W31" s="5">
        <v>393.14400000000001</v>
      </c>
      <c r="X31" s="5">
        <v>5.7239999999999999E-3</v>
      </c>
      <c r="Y31" s="5">
        <v>0.47014299999999998</v>
      </c>
      <c r="AC31" s="5" t="s">
        <v>72</v>
      </c>
    </row>
    <row r="32" spans="1:29" s="5" customFormat="1" x14ac:dyDescent="0.35">
      <c r="A32" s="5" t="s">
        <v>50</v>
      </c>
      <c r="B32" s="5" t="s">
        <v>83</v>
      </c>
      <c r="C32" s="5" t="s">
        <v>71</v>
      </c>
      <c r="D32" s="5" t="s">
        <v>24</v>
      </c>
      <c r="J32" s="5">
        <v>1414</v>
      </c>
      <c r="L32" s="5">
        <v>0.88</v>
      </c>
      <c r="M32" s="5">
        <v>330</v>
      </c>
      <c r="O32" s="5">
        <v>2191</v>
      </c>
      <c r="P32" s="5">
        <f>1/0.00666/0.03204</f>
        <v>4686.3342743492558</v>
      </c>
      <c r="Q32" s="5">
        <v>1.76</v>
      </c>
      <c r="R32" s="5">
        <v>7.8600000000000002E-4</v>
      </c>
      <c r="S32" s="5">
        <v>1</v>
      </c>
      <c r="T32" s="5">
        <v>2910</v>
      </c>
      <c r="U32" s="5">
        <v>27900</v>
      </c>
      <c r="V32" s="5">
        <v>288.09899999999999</v>
      </c>
      <c r="W32" s="5">
        <v>367.84199999999998</v>
      </c>
      <c r="X32" s="5">
        <v>7.4349999999999998E-3</v>
      </c>
      <c r="Y32" s="5">
        <v>0.574349</v>
      </c>
      <c r="AC32" s="5" t="s">
        <v>72</v>
      </c>
    </row>
    <row r="33" spans="1:29" s="6" customFormat="1" x14ac:dyDescent="0.35">
      <c r="A33" s="6" t="s">
        <v>54</v>
      </c>
      <c r="B33" s="6" t="s">
        <v>83</v>
      </c>
      <c r="C33" s="6" t="s">
        <v>66</v>
      </c>
      <c r="D33" s="6" t="s">
        <v>24</v>
      </c>
      <c r="J33" s="6">
        <v>921</v>
      </c>
      <c r="L33" s="6">
        <v>0.77</v>
      </c>
      <c r="M33" s="6">
        <v>370</v>
      </c>
      <c r="O33" s="6">
        <v>2174</v>
      </c>
      <c r="P33" s="6">
        <v>6486</v>
      </c>
      <c r="Q33" s="6">
        <v>1.7</v>
      </c>
      <c r="R33" s="6">
        <v>4.6900000000000002E-4</v>
      </c>
      <c r="S33" s="6">
        <v>1</v>
      </c>
      <c r="AC33" s="6" t="s">
        <v>72</v>
      </c>
    </row>
    <row r="34" spans="1:29" s="6" customFormat="1" x14ac:dyDescent="0.35">
      <c r="A34" s="6" t="s">
        <v>54</v>
      </c>
      <c r="B34" s="6" t="s">
        <v>83</v>
      </c>
      <c r="C34" s="6" t="s">
        <v>67</v>
      </c>
      <c r="D34" s="6" t="s">
        <v>24</v>
      </c>
      <c r="J34" s="6">
        <v>1045</v>
      </c>
      <c r="L34" s="6">
        <v>0.87</v>
      </c>
      <c r="M34" s="6">
        <v>370</v>
      </c>
      <c r="O34" s="6">
        <v>2139</v>
      </c>
      <c r="P34" s="6">
        <v>6161</v>
      </c>
      <c r="Q34" s="6">
        <v>1.4</v>
      </c>
      <c r="R34" s="6">
        <v>5.2999999999999998E-4</v>
      </c>
      <c r="S34" s="6">
        <v>1</v>
      </c>
      <c r="AC34" s="6" t="s">
        <v>72</v>
      </c>
    </row>
    <row r="35" spans="1:29" s="6" customFormat="1" x14ac:dyDescent="0.35">
      <c r="A35" s="6" t="s">
        <v>54</v>
      </c>
      <c r="B35" s="6" t="s">
        <v>83</v>
      </c>
      <c r="C35" s="6" t="s">
        <v>68</v>
      </c>
      <c r="D35" s="6" t="s">
        <v>24</v>
      </c>
      <c r="J35" s="6">
        <v>1009</v>
      </c>
      <c r="L35" s="6">
        <v>0.84</v>
      </c>
      <c r="M35" s="6">
        <v>420</v>
      </c>
      <c r="O35" s="6">
        <v>2259</v>
      </c>
      <c r="P35" s="6">
        <v>5059</v>
      </c>
      <c r="Q35" s="6">
        <v>1.2</v>
      </c>
      <c r="R35" s="6">
        <v>5.4500000000000002E-4</v>
      </c>
      <c r="S35" s="6">
        <v>1</v>
      </c>
      <c r="AC35" s="6" t="s">
        <v>72</v>
      </c>
    </row>
    <row r="36" spans="1:29" s="6" customFormat="1" x14ac:dyDescent="0.35">
      <c r="A36" s="6" t="s">
        <v>54</v>
      </c>
      <c r="B36" s="6" t="s">
        <v>83</v>
      </c>
      <c r="C36" s="6" t="s">
        <v>69</v>
      </c>
      <c r="D36" s="6" t="s">
        <v>24</v>
      </c>
      <c r="J36" s="6">
        <v>1111</v>
      </c>
      <c r="L36" s="6">
        <v>0.75</v>
      </c>
      <c r="M36" s="6">
        <v>370</v>
      </c>
      <c r="O36" s="6">
        <v>2169</v>
      </c>
      <c r="P36" s="6">
        <v>6119</v>
      </c>
      <c r="Q36" s="6">
        <v>1.2</v>
      </c>
      <c r="R36" s="6">
        <v>5.7600000000000001E-4</v>
      </c>
      <c r="S36" s="6">
        <v>1</v>
      </c>
      <c r="AC36" s="6" t="s">
        <v>72</v>
      </c>
    </row>
    <row r="37" spans="1:29" s="6" customFormat="1" x14ac:dyDescent="0.35">
      <c r="A37" s="6" t="s">
        <v>54</v>
      </c>
      <c r="B37" s="6" t="s">
        <v>83</v>
      </c>
      <c r="C37" s="6" t="s">
        <v>70</v>
      </c>
      <c r="D37" s="6" t="s">
        <v>24</v>
      </c>
      <c r="J37" s="6">
        <v>1288</v>
      </c>
      <c r="L37" s="6">
        <v>0.82</v>
      </c>
      <c r="M37" s="6">
        <v>380</v>
      </c>
      <c r="O37" s="6">
        <v>2142</v>
      </c>
      <c r="P37" s="6">
        <v>4366</v>
      </c>
      <c r="Q37" s="6">
        <v>1.1000000000000001</v>
      </c>
      <c r="R37" s="6">
        <v>6.9499999999999998E-4</v>
      </c>
      <c r="S37" s="6">
        <v>1</v>
      </c>
      <c r="AC37" s="6" t="s">
        <v>72</v>
      </c>
    </row>
    <row r="38" spans="1:29" s="6" customFormat="1" x14ac:dyDescent="0.35">
      <c r="A38" s="6" t="s">
        <v>54</v>
      </c>
      <c r="B38" s="6" t="s">
        <v>83</v>
      </c>
      <c r="C38" s="6" t="s">
        <v>71</v>
      </c>
      <c r="D38" s="6" t="s">
        <v>24</v>
      </c>
      <c r="J38" s="6">
        <v>1414</v>
      </c>
      <c r="L38" s="6">
        <v>0.88</v>
      </c>
      <c r="M38" s="6">
        <v>330</v>
      </c>
      <c r="O38" s="6">
        <v>2191</v>
      </c>
      <c r="P38" s="6">
        <v>4119</v>
      </c>
      <c r="Q38" s="6">
        <v>1.2</v>
      </c>
      <c r="R38" s="6">
        <v>7.7200000000000001E-4</v>
      </c>
      <c r="S38" s="6">
        <v>1</v>
      </c>
      <c r="AC38" s="6" t="s">
        <v>72</v>
      </c>
    </row>
    <row r="39" spans="1:29" s="6" customFormat="1" x14ac:dyDescent="0.35">
      <c r="A39" s="6" t="s">
        <v>50</v>
      </c>
      <c r="B39" s="6" t="s">
        <v>102</v>
      </c>
      <c r="C39" s="8" t="s">
        <v>100</v>
      </c>
      <c r="D39" s="6" t="s">
        <v>24</v>
      </c>
      <c r="P39" s="6">
        <f>8.31446261815324/(0.0001496202)^(1/Q39)</f>
        <v>5947.2896082687357</v>
      </c>
      <c r="Q39" s="6">
        <v>1.34</v>
      </c>
      <c r="R39" s="6">
        <v>3.6546000000000001E-4</v>
      </c>
      <c r="S39" s="6">
        <v>1</v>
      </c>
      <c r="AC39" s="6" t="s">
        <v>76</v>
      </c>
    </row>
    <row r="40" spans="1:29" s="6" customFormat="1" x14ac:dyDescent="0.35">
      <c r="A40" s="6" t="s">
        <v>50</v>
      </c>
      <c r="B40" s="6" t="s">
        <v>102</v>
      </c>
      <c r="C40" s="6" t="s">
        <v>74</v>
      </c>
      <c r="D40" s="6" t="s">
        <v>24</v>
      </c>
      <c r="P40" s="6">
        <f>8.31446261815324/(0.00031972)^(1/Q40)</f>
        <v>4941.1314067711537</v>
      </c>
      <c r="Q40" s="6">
        <v>1.26</v>
      </c>
      <c r="R40" s="6">
        <v>4.0499999999999998E-4</v>
      </c>
      <c r="S40" s="6">
        <v>1</v>
      </c>
      <c r="AC40" s="6" t="s">
        <v>76</v>
      </c>
    </row>
    <row r="41" spans="1:29" s="6" customFormat="1" x14ac:dyDescent="0.35">
      <c r="A41" s="6" t="s">
        <v>50</v>
      </c>
      <c r="B41" s="6" t="s">
        <v>102</v>
      </c>
      <c r="C41" s="6" t="s">
        <v>73</v>
      </c>
      <c r="D41" s="6" t="s">
        <v>24</v>
      </c>
      <c r="P41" s="6">
        <f>8.31446261815324/(0.0002574)^(1/Q41)</f>
        <v>4335.2252735947632</v>
      </c>
      <c r="Q41" s="6">
        <v>1.321</v>
      </c>
      <c r="R41" s="6">
        <v>8.5999999999999998E-4</v>
      </c>
      <c r="S41" s="6">
        <v>1</v>
      </c>
      <c r="AC41" s="6" t="s">
        <v>76</v>
      </c>
    </row>
    <row r="42" spans="1:29" s="6" customFormat="1" x14ac:dyDescent="0.35">
      <c r="A42" s="6" t="s">
        <v>50</v>
      </c>
      <c r="B42" s="6" t="s">
        <v>102</v>
      </c>
      <c r="C42" s="6" t="s">
        <v>75</v>
      </c>
      <c r="D42" s="6" t="s">
        <v>24</v>
      </c>
      <c r="P42" s="6">
        <f>8.31446261815324/(0.0008898)^(1/Q42)</f>
        <v>4402.3062896906404</v>
      </c>
      <c r="Q42" s="6">
        <v>1.1200000000000001</v>
      </c>
      <c r="R42" s="6">
        <v>9.8799999999999995E-4</v>
      </c>
      <c r="S42" s="6">
        <v>1</v>
      </c>
      <c r="AC42" s="6" t="s">
        <v>76</v>
      </c>
    </row>
    <row r="43" spans="1:29" s="6" customFormat="1" x14ac:dyDescent="0.35">
      <c r="A43" s="6" t="s">
        <v>50</v>
      </c>
      <c r="B43" s="6" t="s">
        <v>83</v>
      </c>
      <c r="C43" s="6" t="s">
        <v>77</v>
      </c>
      <c r="D43" s="6" t="s">
        <v>24</v>
      </c>
      <c r="M43" s="6">
        <v>760</v>
      </c>
      <c r="P43" s="6">
        <f>8.31446261815324/(0.00002067)^(1/Q43)</f>
        <v>7072.5736184964198</v>
      </c>
      <c r="Q43" s="6">
        <v>1.599</v>
      </c>
      <c r="R43" s="6">
        <v>3.6299999999999999E-4</v>
      </c>
      <c r="S43" s="6">
        <v>1</v>
      </c>
      <c r="AC43" s="6" t="s">
        <v>78</v>
      </c>
    </row>
    <row r="44" spans="1:29" s="6" customFormat="1" x14ac:dyDescent="0.35">
      <c r="A44" s="6" t="s">
        <v>79</v>
      </c>
      <c r="B44" s="6" t="s">
        <v>84</v>
      </c>
      <c r="C44" s="6" t="s">
        <v>80</v>
      </c>
      <c r="D44" s="6" t="s">
        <v>24</v>
      </c>
      <c r="G44" s="6">
        <v>7.1999999999999995E-2</v>
      </c>
      <c r="J44" s="6">
        <v>3142</v>
      </c>
      <c r="K44" s="6">
        <v>1.7</v>
      </c>
      <c r="P44" s="6">
        <v>5740</v>
      </c>
      <c r="Q44" s="6">
        <v>1.47</v>
      </c>
      <c r="R44" s="6">
        <v>1.175E-3</v>
      </c>
      <c r="S44" s="6">
        <v>1</v>
      </c>
      <c r="AC44" s="6" t="s">
        <v>81</v>
      </c>
    </row>
    <row r="45" spans="1:29" s="5" customFormat="1" x14ac:dyDescent="0.35">
      <c r="A45" s="5" t="s">
        <v>82</v>
      </c>
      <c r="B45" s="5" t="s">
        <v>84</v>
      </c>
      <c r="C45" s="5" t="s">
        <v>80</v>
      </c>
      <c r="D45" s="5" t="s">
        <v>24</v>
      </c>
      <c r="F45" s="5">
        <v>1.9999999999999999E-6</v>
      </c>
      <c r="J45" s="5">
        <v>3200</v>
      </c>
      <c r="K45" s="5">
        <v>1.7</v>
      </c>
      <c r="P45" s="5">
        <v>3939</v>
      </c>
      <c r="Q45" s="5">
        <v>1.1499999999999999</v>
      </c>
      <c r="R45" s="5">
        <v>4.0499999999999998E-3</v>
      </c>
      <c r="S45" s="5">
        <v>1</v>
      </c>
      <c r="T45" s="5">
        <v>112960</v>
      </c>
      <c r="U45" s="5">
        <v>1381720</v>
      </c>
      <c r="V45" s="5">
        <v>297.95</v>
      </c>
      <c r="W45" s="5">
        <v>347.46</v>
      </c>
      <c r="X45" s="5">
        <v>0.10552</v>
      </c>
      <c r="Y45" s="5">
        <v>1.44</v>
      </c>
      <c r="AA45" s="5">
        <v>0.03</v>
      </c>
      <c r="AB45" s="5" t="s">
        <v>179</v>
      </c>
      <c r="AC45" s="5" t="s">
        <v>87</v>
      </c>
    </row>
    <row r="46" spans="1:29" s="5" customFormat="1" x14ac:dyDescent="0.35">
      <c r="A46" s="5" t="s">
        <v>82</v>
      </c>
      <c r="B46" s="5" t="s">
        <v>85</v>
      </c>
      <c r="C46" s="5" t="s">
        <v>86</v>
      </c>
      <c r="D46" s="5" t="s">
        <v>24</v>
      </c>
      <c r="F46" s="5">
        <v>1.9999999999999999E-6</v>
      </c>
      <c r="J46" s="5">
        <v>2200</v>
      </c>
      <c r="K46" s="5">
        <v>1</v>
      </c>
      <c r="P46" s="5">
        <v>4098</v>
      </c>
      <c r="Q46" s="5">
        <v>1.0900000000000001</v>
      </c>
      <c r="R46" s="5">
        <v>4.5799999999999999E-3</v>
      </c>
      <c r="S46" s="5">
        <v>1</v>
      </c>
      <c r="T46" s="5">
        <v>18790</v>
      </c>
      <c r="U46" s="5">
        <v>1287470</v>
      </c>
      <c r="V46" s="5">
        <v>298.08</v>
      </c>
      <c r="W46" s="5">
        <v>347.37</v>
      </c>
      <c r="X46" s="5">
        <v>0.05</v>
      </c>
      <c r="Y46" s="5">
        <v>0.94</v>
      </c>
      <c r="AA46" s="5">
        <v>5.0000000000000001E-3</v>
      </c>
      <c r="AB46" s="5" t="s">
        <v>180</v>
      </c>
      <c r="AC46" s="5" t="s">
        <v>87</v>
      </c>
    </row>
    <row r="47" spans="1:29" s="5" customFormat="1" x14ac:dyDescent="0.35">
      <c r="A47" s="5" t="s">
        <v>101</v>
      </c>
      <c r="B47" s="5" t="s">
        <v>103</v>
      </c>
      <c r="C47" s="5" t="s">
        <v>105</v>
      </c>
      <c r="D47" s="5" t="s">
        <v>24</v>
      </c>
      <c r="O47" s="5">
        <v>2200</v>
      </c>
      <c r="P47" s="5">
        <v>14870</v>
      </c>
      <c r="Q47" s="5">
        <v>1.6</v>
      </c>
      <c r="R47" s="5">
        <v>2.7900000000000001E-4</v>
      </c>
      <c r="S47" s="5">
        <v>1</v>
      </c>
      <c r="T47" s="5">
        <v>23000</v>
      </c>
      <c r="U47" s="5">
        <v>649000</v>
      </c>
      <c r="V47" s="5">
        <v>273.14999999999998</v>
      </c>
      <c r="W47" s="5">
        <v>353.15</v>
      </c>
      <c r="X47" s="5">
        <v>0.14499999999999999</v>
      </c>
      <c r="Y47" s="5">
        <v>0.36899999999999999</v>
      </c>
      <c r="Z47" s="5">
        <v>1.4</v>
      </c>
      <c r="AB47" s="5" t="s">
        <v>181</v>
      </c>
      <c r="AC47" s="5" t="s">
        <v>108</v>
      </c>
    </row>
    <row r="48" spans="1:29" s="5" customFormat="1" x14ac:dyDescent="0.35">
      <c r="A48" s="5" t="s">
        <v>101</v>
      </c>
      <c r="B48" s="5" t="s">
        <v>104</v>
      </c>
      <c r="C48" s="5" t="s">
        <v>106</v>
      </c>
      <c r="D48" s="5" t="s">
        <v>24</v>
      </c>
      <c r="J48" s="5">
        <v>1143</v>
      </c>
      <c r="O48" s="5">
        <v>2200</v>
      </c>
      <c r="P48" s="5">
        <v>8897</v>
      </c>
      <c r="Q48" s="5">
        <v>0.95</v>
      </c>
      <c r="R48" s="5">
        <v>4.4900000000000002E-4</v>
      </c>
      <c r="S48" s="5">
        <v>1</v>
      </c>
      <c r="T48" s="5">
        <v>42000</v>
      </c>
      <c r="U48" s="5">
        <v>622000</v>
      </c>
      <c r="V48" s="5">
        <v>273.14999999999998</v>
      </c>
      <c r="W48" s="5">
        <v>353.15</v>
      </c>
      <c r="X48" s="5">
        <v>0.122</v>
      </c>
      <c r="Y48" s="5">
        <v>0.58399999999999996</v>
      </c>
      <c r="Z48" s="5">
        <v>3.1</v>
      </c>
      <c r="AB48" s="5" t="s">
        <v>181</v>
      </c>
      <c r="AC48" s="5" t="s">
        <v>108</v>
      </c>
    </row>
    <row r="49" spans="1:29" s="5" customFormat="1" x14ac:dyDescent="0.35">
      <c r="A49" s="5" t="s">
        <v>101</v>
      </c>
      <c r="B49" s="5" t="s">
        <v>104</v>
      </c>
      <c r="C49" s="5" t="s">
        <v>107</v>
      </c>
      <c r="D49" s="5" t="s">
        <v>24</v>
      </c>
      <c r="O49" s="5">
        <v>2200</v>
      </c>
      <c r="P49" s="5">
        <v>8269</v>
      </c>
      <c r="Q49" s="5">
        <v>1.5</v>
      </c>
      <c r="R49" s="5">
        <v>1.5479999999999999E-3</v>
      </c>
      <c r="S49" s="5">
        <v>1</v>
      </c>
      <c r="T49" s="5">
        <v>28000</v>
      </c>
      <c r="U49" s="5">
        <v>632000</v>
      </c>
      <c r="V49" s="5">
        <v>273.14999999999998</v>
      </c>
      <c r="W49" s="5">
        <v>353.15</v>
      </c>
      <c r="X49" s="5">
        <v>0.216</v>
      </c>
      <c r="Y49" s="5">
        <v>2.0099999999999998</v>
      </c>
      <c r="Z49" s="5">
        <v>2.6</v>
      </c>
      <c r="AB49" s="5" t="s">
        <v>181</v>
      </c>
      <c r="AC49" s="5" t="s">
        <v>108</v>
      </c>
    </row>
    <row r="50" spans="1:29" s="6" customFormat="1" x14ac:dyDescent="0.35">
      <c r="A50" s="6" t="s">
        <v>101</v>
      </c>
      <c r="B50" s="6" t="s">
        <v>83</v>
      </c>
      <c r="C50" s="6" t="s">
        <v>80</v>
      </c>
      <c r="D50" s="6" t="s">
        <v>24</v>
      </c>
      <c r="G50" s="6">
        <v>7.1999999999999995E-2</v>
      </c>
      <c r="J50" s="6">
        <v>3150</v>
      </c>
      <c r="K50" s="6">
        <v>1.7</v>
      </c>
      <c r="P50" s="6">
        <v>8460</v>
      </c>
      <c r="Q50" s="6">
        <v>1.3</v>
      </c>
      <c r="R50" s="6">
        <v>1.6490000000000001E-3</v>
      </c>
      <c r="S50" s="6">
        <v>1</v>
      </c>
      <c r="AB50" s="5" t="s">
        <v>182</v>
      </c>
      <c r="AC50" s="6" t="s">
        <v>109</v>
      </c>
    </row>
    <row r="51" spans="1:29" s="6" customFormat="1" x14ac:dyDescent="0.35">
      <c r="A51" s="6" t="s">
        <v>101</v>
      </c>
      <c r="B51" s="6" t="s">
        <v>83</v>
      </c>
      <c r="C51" s="6" t="s">
        <v>80</v>
      </c>
      <c r="D51" s="6" t="s">
        <v>24</v>
      </c>
      <c r="G51" s="6">
        <v>7.1999999999999995E-2</v>
      </c>
      <c r="J51" s="6">
        <v>3150</v>
      </c>
      <c r="K51" s="6">
        <v>1.7</v>
      </c>
      <c r="P51" s="6">
        <v>8700</v>
      </c>
      <c r="Q51" s="6">
        <v>1.17</v>
      </c>
      <c r="R51" s="6">
        <v>1.9450000000000001</v>
      </c>
      <c r="S51" s="6">
        <v>-1</v>
      </c>
      <c r="AB51" s="5" t="s">
        <v>182</v>
      </c>
      <c r="AC51" s="6" t="s">
        <v>109</v>
      </c>
    </row>
    <row r="52" spans="1:29" s="5" customFormat="1" x14ac:dyDescent="0.35">
      <c r="A52" s="5" t="s">
        <v>101</v>
      </c>
      <c r="B52" s="5" t="s">
        <v>83</v>
      </c>
      <c r="C52" s="5" t="s">
        <v>55</v>
      </c>
      <c r="D52" s="5" t="s">
        <v>24</v>
      </c>
      <c r="P52" s="5">
        <f>8.31446261815324/(0.000005)^(1/Q52)</f>
        <v>10916.593119395702</v>
      </c>
      <c r="Q52" s="5">
        <v>1.7</v>
      </c>
      <c r="R52" s="5">
        <v>7.67E-4</v>
      </c>
      <c r="S52" s="5">
        <v>1</v>
      </c>
      <c r="T52" s="5">
        <v>131850</v>
      </c>
      <c r="U52" s="5">
        <v>965390</v>
      </c>
      <c r="V52" s="5">
        <v>303.35000000000002</v>
      </c>
      <c r="W52" s="5">
        <v>351.65</v>
      </c>
      <c r="X52" s="5">
        <v>0.42159000000000002</v>
      </c>
      <c r="Y52" s="5">
        <v>1.2043200000000001</v>
      </c>
      <c r="Z52" s="5">
        <v>1.07</v>
      </c>
      <c r="AB52" s="5" t="s">
        <v>181</v>
      </c>
      <c r="AC52" s="5" t="s">
        <v>110</v>
      </c>
    </row>
    <row r="53" spans="1:29" s="5" customFormat="1" x14ac:dyDescent="0.35">
      <c r="A53" s="5" t="s">
        <v>101</v>
      </c>
      <c r="B53" s="5" t="s">
        <v>85</v>
      </c>
      <c r="C53" s="5" t="s">
        <v>86</v>
      </c>
      <c r="D53" s="5" t="s">
        <v>24</v>
      </c>
      <c r="P53" s="5">
        <f>8.31446261815324/(0.00003)^(1/Q53)</f>
        <v>8611.6561722213282</v>
      </c>
      <c r="Q53" s="5">
        <v>1.5</v>
      </c>
      <c r="R53" s="5">
        <v>1.01E-3</v>
      </c>
      <c r="S53" s="5">
        <v>1</v>
      </c>
      <c r="T53" s="5">
        <v>139320</v>
      </c>
      <c r="U53" s="5">
        <v>994090</v>
      </c>
      <c r="V53" s="5">
        <v>299.95</v>
      </c>
      <c r="W53" s="5">
        <v>352.35</v>
      </c>
      <c r="X53" s="5">
        <v>0.44932</v>
      </c>
      <c r="Y53" s="5">
        <v>0.93974000000000002</v>
      </c>
      <c r="Z53" s="5">
        <v>1.34</v>
      </c>
      <c r="AB53" s="5" t="s">
        <v>181</v>
      </c>
      <c r="AC53" s="5" t="s">
        <v>110</v>
      </c>
    </row>
    <row r="54" spans="1:29" s="5" customFormat="1" x14ac:dyDescent="0.35">
      <c r="A54" s="5" t="s">
        <v>101</v>
      </c>
      <c r="B54" s="5" t="s">
        <v>83</v>
      </c>
      <c r="C54" s="5" t="s">
        <v>55</v>
      </c>
      <c r="D54" s="5" t="s">
        <v>24</v>
      </c>
      <c r="P54" s="5">
        <f>8.31446261815324/(0.000003)^(1/Q54)</f>
        <v>9729.7157939201988</v>
      </c>
      <c r="Q54" s="5">
        <v>1.8</v>
      </c>
      <c r="R54" s="5">
        <v>0.92600000000000005</v>
      </c>
      <c r="S54" s="5">
        <v>-1</v>
      </c>
      <c r="T54" s="5">
        <v>131850</v>
      </c>
      <c r="U54" s="5">
        <v>965390</v>
      </c>
      <c r="V54" s="5">
        <v>303.35000000000002</v>
      </c>
      <c r="W54" s="5">
        <v>351.65</v>
      </c>
      <c r="X54" s="5">
        <v>0.42159000000000002</v>
      </c>
      <c r="Y54" s="5">
        <v>1.2043200000000001</v>
      </c>
      <c r="Z54" s="5">
        <v>2.54</v>
      </c>
      <c r="AB54" s="5" t="s">
        <v>181</v>
      </c>
      <c r="AC54" s="5" t="s">
        <v>110</v>
      </c>
    </row>
    <row r="55" spans="1:29" s="5" customFormat="1" x14ac:dyDescent="0.35">
      <c r="A55" s="5" t="s">
        <v>101</v>
      </c>
      <c r="B55" s="5" t="s">
        <v>85</v>
      </c>
      <c r="C55" s="5" t="s">
        <v>86</v>
      </c>
      <c r="D55" s="5" t="s">
        <v>24</v>
      </c>
      <c r="P55" s="5">
        <f>8.31446261815324/(0.00007)^(1/Q55)</f>
        <v>7720.0710864348775</v>
      </c>
      <c r="Q55" s="5">
        <v>1.4</v>
      </c>
      <c r="R55" s="5">
        <v>1.256</v>
      </c>
      <c r="S55" s="5">
        <v>-1</v>
      </c>
      <c r="T55" s="5">
        <v>139320</v>
      </c>
      <c r="U55" s="5">
        <v>994090</v>
      </c>
      <c r="V55" s="5">
        <v>299.95</v>
      </c>
      <c r="W55" s="5">
        <v>352.35</v>
      </c>
      <c r="X55" s="5">
        <v>0.44932</v>
      </c>
      <c r="Y55" s="5">
        <v>0.93974000000000002</v>
      </c>
      <c r="Z55" s="5">
        <v>3.2</v>
      </c>
      <c r="AB55" s="5" t="s">
        <v>181</v>
      </c>
      <c r="AC55" s="5" t="s">
        <v>110</v>
      </c>
    </row>
    <row r="56" spans="1:29" s="5" customFormat="1" x14ac:dyDescent="0.35">
      <c r="A56" s="5" t="s">
        <v>111</v>
      </c>
      <c r="B56" s="5" t="s">
        <v>84</v>
      </c>
      <c r="C56" s="5" t="s">
        <v>80</v>
      </c>
      <c r="D56" s="5" t="s">
        <v>24</v>
      </c>
      <c r="G56" s="5">
        <v>7.1999999999999995E-2</v>
      </c>
      <c r="J56" s="5">
        <v>3140</v>
      </c>
      <c r="K56" s="5">
        <v>1.7</v>
      </c>
      <c r="O56" s="5">
        <v>2200</v>
      </c>
      <c r="P56" s="5">
        <f>59600*0.0726</f>
        <v>4326.96</v>
      </c>
      <c r="Q56" s="5">
        <v>1.17</v>
      </c>
      <c r="R56" s="5">
        <v>5.96E-3</v>
      </c>
      <c r="S56" s="5">
        <v>1</v>
      </c>
      <c r="T56" s="5">
        <v>48831</v>
      </c>
      <c r="U56" s="5">
        <v>819185</v>
      </c>
      <c r="V56" s="5">
        <v>283.14999999999998</v>
      </c>
      <c r="W56" s="5">
        <v>323.14999999999998</v>
      </c>
      <c r="X56" s="5">
        <v>0.21476000000000001</v>
      </c>
      <c r="Y56" s="5">
        <v>1.81246</v>
      </c>
      <c r="AB56" s="5" t="s">
        <v>183</v>
      </c>
      <c r="AC56" s="5" t="s">
        <v>112</v>
      </c>
    </row>
    <row r="57" spans="1:29" s="5" customFormat="1" x14ac:dyDescent="0.35">
      <c r="A57" s="5" t="s">
        <v>111</v>
      </c>
      <c r="B57" s="5" t="s">
        <v>85</v>
      </c>
      <c r="C57" s="5" t="s">
        <v>86</v>
      </c>
      <c r="D57" s="5" t="s">
        <v>24</v>
      </c>
      <c r="G57" s="5">
        <v>2.1600000000000001E-2</v>
      </c>
      <c r="J57" s="5">
        <v>2000</v>
      </c>
      <c r="K57" s="5">
        <v>1.03</v>
      </c>
      <c r="O57" s="5">
        <v>800</v>
      </c>
      <c r="P57" s="5">
        <f>72500*0.0726</f>
        <v>5263.5</v>
      </c>
      <c r="Q57" s="5">
        <v>1.43</v>
      </c>
      <c r="R57" s="5">
        <v>3.2499999999999999E-3</v>
      </c>
      <c r="S57" s="5">
        <v>1</v>
      </c>
      <c r="T57" s="5">
        <v>59390</v>
      </c>
      <c r="U57" s="5">
        <v>957340</v>
      </c>
      <c r="V57" s="5">
        <v>283.14999999999998</v>
      </c>
      <c r="W57" s="5">
        <v>323.14999999999998</v>
      </c>
      <c r="X57" s="5">
        <v>0.16550000000000001</v>
      </c>
      <c r="Y57" s="5">
        <v>1.09799</v>
      </c>
      <c r="AB57" s="5" t="s">
        <v>183</v>
      </c>
      <c r="AC57" s="5" t="s">
        <v>112</v>
      </c>
    </row>
    <row r="58" spans="1:29" s="6" customFormat="1" x14ac:dyDescent="0.35">
      <c r="A58" s="6" t="s">
        <v>113</v>
      </c>
      <c r="B58" s="6" t="s">
        <v>83</v>
      </c>
      <c r="C58" s="6" t="s">
        <v>114</v>
      </c>
      <c r="D58" s="6" t="s">
        <v>24</v>
      </c>
      <c r="F58" s="6">
        <v>2.7999999999999998E-4</v>
      </c>
      <c r="J58" s="6">
        <v>1050</v>
      </c>
      <c r="K58" s="6">
        <v>1.04</v>
      </c>
      <c r="M58" s="6">
        <v>480</v>
      </c>
      <c r="P58" s="6">
        <f>6885800*0.0862</f>
        <v>593555.96</v>
      </c>
      <c r="Q58" s="6">
        <v>1.36</v>
      </c>
      <c r="R58" s="6">
        <v>1.139E-3</v>
      </c>
      <c r="S58" s="6">
        <v>1</v>
      </c>
      <c r="T58" s="6">
        <v>6670</v>
      </c>
      <c r="U58" s="6">
        <v>870740</v>
      </c>
      <c r="V58" s="6">
        <v>298.14999999999998</v>
      </c>
      <c r="W58" s="6">
        <v>348.15</v>
      </c>
      <c r="X58" s="6">
        <v>3.9114999999999997E-2</v>
      </c>
      <c r="Y58" s="6">
        <v>0.42176900000000001</v>
      </c>
      <c r="AB58" s="6" t="s">
        <v>184</v>
      </c>
      <c r="AC58" s="6" t="s">
        <v>115</v>
      </c>
    </row>
    <row r="59" spans="1:29" s="6" customFormat="1" x14ac:dyDescent="0.35">
      <c r="A59" s="6" t="s">
        <v>116</v>
      </c>
      <c r="B59" s="6" t="s">
        <v>83</v>
      </c>
      <c r="C59" s="6" t="s">
        <v>114</v>
      </c>
      <c r="D59" s="6" t="s">
        <v>24</v>
      </c>
      <c r="F59" s="6">
        <v>2.7999999999999998E-4</v>
      </c>
      <c r="J59" s="6">
        <v>1050</v>
      </c>
      <c r="K59" s="6">
        <v>1.04</v>
      </c>
      <c r="M59" s="6">
        <v>480</v>
      </c>
      <c r="P59" s="6">
        <f>0.0976*98140</f>
        <v>9578.4639999999999</v>
      </c>
      <c r="Q59" s="6">
        <v>1.03</v>
      </c>
      <c r="R59" s="6">
        <v>1.0349999999999999E-3</v>
      </c>
      <c r="S59" s="6">
        <v>1</v>
      </c>
      <c r="T59" s="6">
        <v>14330</v>
      </c>
      <c r="U59" s="6">
        <v>1179920</v>
      </c>
      <c r="V59" s="6">
        <v>298.14999999999998</v>
      </c>
      <c r="W59" s="6">
        <v>348.15</v>
      </c>
      <c r="X59" s="6">
        <v>0.14097100000000001</v>
      </c>
      <c r="Y59" s="6">
        <v>0.51927500000000004</v>
      </c>
      <c r="AB59" s="6" t="s">
        <v>184</v>
      </c>
      <c r="AC59" s="6" t="s">
        <v>117</v>
      </c>
    </row>
    <row r="60" spans="1:29" s="5" customFormat="1" x14ac:dyDescent="0.35">
      <c r="A60" s="5" t="s">
        <v>118</v>
      </c>
      <c r="B60" s="5" t="s">
        <v>84</v>
      </c>
      <c r="C60" s="5" t="s">
        <v>80</v>
      </c>
      <c r="D60" s="5" t="s">
        <v>24</v>
      </c>
      <c r="G60" s="5">
        <v>7.1999999999999995E-2</v>
      </c>
      <c r="J60" s="5">
        <v>3276</v>
      </c>
      <c r="K60" s="5">
        <v>1.79</v>
      </c>
      <c r="O60" s="5">
        <v>2246</v>
      </c>
      <c r="P60" s="5">
        <v>4757.3</v>
      </c>
      <c r="Q60" s="5">
        <v>1.05</v>
      </c>
      <c r="R60" s="5">
        <v>2.1930000000000001E-3</v>
      </c>
      <c r="S60" s="5">
        <v>1</v>
      </c>
      <c r="T60" s="5">
        <v>9470</v>
      </c>
      <c r="U60" s="5">
        <v>2197470</v>
      </c>
      <c r="V60" s="5">
        <v>120.2</v>
      </c>
      <c r="W60" s="5">
        <v>348.2</v>
      </c>
      <c r="X60" s="5">
        <v>1.285E-2</v>
      </c>
      <c r="Y60" s="5">
        <v>0.75044</v>
      </c>
      <c r="Z60" s="5">
        <v>7</v>
      </c>
      <c r="AB60" s="5" t="s">
        <v>185</v>
      </c>
      <c r="AC60" s="5" t="s">
        <v>123</v>
      </c>
    </row>
    <row r="61" spans="1:29" s="6" customFormat="1" x14ac:dyDescent="0.35">
      <c r="A61" s="6" t="s">
        <v>118</v>
      </c>
      <c r="B61" s="6" t="s">
        <v>83</v>
      </c>
      <c r="C61" s="6" t="s">
        <v>119</v>
      </c>
      <c r="D61" s="6" t="s">
        <v>24</v>
      </c>
      <c r="J61" s="6">
        <v>3106</v>
      </c>
      <c r="K61" s="6">
        <v>1.29</v>
      </c>
      <c r="P61" s="6">
        <v>5464.1</v>
      </c>
      <c r="Q61" s="6">
        <v>1.26</v>
      </c>
      <c r="R61" s="6">
        <v>1.08E-3</v>
      </c>
      <c r="S61" s="6">
        <v>1</v>
      </c>
      <c r="V61" s="6">
        <v>233</v>
      </c>
      <c r="W61" s="6">
        <v>333</v>
      </c>
      <c r="AB61" s="6" t="s">
        <v>185</v>
      </c>
      <c r="AC61" s="6" t="s">
        <v>123</v>
      </c>
    </row>
    <row r="62" spans="1:29" s="6" customFormat="1" x14ac:dyDescent="0.35">
      <c r="A62" s="6" t="s">
        <v>118</v>
      </c>
      <c r="B62" s="6" t="s">
        <v>85</v>
      </c>
      <c r="C62" s="6" t="s">
        <v>86</v>
      </c>
      <c r="D62" s="6" t="s">
        <v>24</v>
      </c>
      <c r="J62" s="6">
        <v>2206</v>
      </c>
      <c r="K62" s="6">
        <v>1.01</v>
      </c>
      <c r="P62" s="6">
        <v>6198.4</v>
      </c>
      <c r="Q62" s="6">
        <v>1.51</v>
      </c>
      <c r="R62" s="6">
        <v>7.1699999999999997E-4</v>
      </c>
      <c r="S62" s="6">
        <v>1</v>
      </c>
      <c r="V62" s="6">
        <v>278</v>
      </c>
      <c r="W62" s="6">
        <v>348</v>
      </c>
      <c r="AB62" s="6" t="s">
        <v>185</v>
      </c>
      <c r="AC62" s="6" t="s">
        <v>123</v>
      </c>
    </row>
    <row r="63" spans="1:29" s="6" customFormat="1" x14ac:dyDescent="0.35">
      <c r="A63" s="6" t="s">
        <v>118</v>
      </c>
      <c r="B63" s="6" t="s">
        <v>83</v>
      </c>
      <c r="C63" s="6" t="s">
        <v>120</v>
      </c>
      <c r="D63" s="6" t="s">
        <v>24</v>
      </c>
      <c r="J63" s="6">
        <v>1150</v>
      </c>
      <c r="K63" s="6">
        <v>0.43</v>
      </c>
      <c r="P63" s="6">
        <v>7040</v>
      </c>
      <c r="Q63" s="6">
        <v>1.54</v>
      </c>
      <c r="R63" s="6">
        <v>3.6000000000000002E-4</v>
      </c>
      <c r="S63" s="6">
        <v>1</v>
      </c>
      <c r="V63" s="6">
        <v>273</v>
      </c>
      <c r="W63" s="6">
        <v>333</v>
      </c>
      <c r="AB63" s="6" t="s">
        <v>185</v>
      </c>
      <c r="AC63" s="6" t="s">
        <v>123</v>
      </c>
    </row>
    <row r="64" spans="1:29" s="6" customFormat="1" x14ac:dyDescent="0.35">
      <c r="A64" s="6" t="s">
        <v>118</v>
      </c>
      <c r="B64" s="6" t="s">
        <v>83</v>
      </c>
      <c r="C64" s="6" t="s">
        <v>67</v>
      </c>
      <c r="D64" s="6" t="s">
        <v>24</v>
      </c>
      <c r="J64" s="6">
        <v>1450</v>
      </c>
      <c r="K64" s="6">
        <v>0.47</v>
      </c>
      <c r="P64" s="6">
        <v>7500</v>
      </c>
      <c r="Q64" s="6">
        <v>1.73</v>
      </c>
      <c r="R64" s="6">
        <v>4.2999999999999999E-4</v>
      </c>
      <c r="S64" s="6">
        <v>1</v>
      </c>
      <c r="V64" s="6">
        <v>273</v>
      </c>
      <c r="W64" s="6">
        <v>323</v>
      </c>
      <c r="AB64" s="6" t="s">
        <v>185</v>
      </c>
      <c r="AC64" s="6" t="s">
        <v>123</v>
      </c>
    </row>
    <row r="65" spans="1:29" s="6" customFormat="1" x14ac:dyDescent="0.35">
      <c r="A65" s="6" t="s">
        <v>118</v>
      </c>
      <c r="B65" s="6" t="s">
        <v>83</v>
      </c>
      <c r="C65" s="6" t="s">
        <v>121</v>
      </c>
      <c r="D65" s="6" t="s">
        <v>24</v>
      </c>
      <c r="J65" s="6">
        <v>994</v>
      </c>
      <c r="K65" s="6">
        <v>0.39</v>
      </c>
      <c r="P65" s="6">
        <v>7742.9</v>
      </c>
      <c r="Q65" s="6">
        <v>1.81</v>
      </c>
      <c r="R65" s="6">
        <v>3.8900000000000002E-4</v>
      </c>
      <c r="S65" s="6">
        <v>1</v>
      </c>
      <c r="V65" s="6">
        <v>303</v>
      </c>
      <c r="W65" s="6">
        <v>343</v>
      </c>
      <c r="AB65" s="6" t="s">
        <v>185</v>
      </c>
      <c r="AC65" s="6" t="s">
        <v>123</v>
      </c>
    </row>
    <row r="66" spans="1:29" s="6" customFormat="1" x14ac:dyDescent="0.35">
      <c r="A66" s="6" t="s">
        <v>118</v>
      </c>
      <c r="B66" s="6" t="s">
        <v>103</v>
      </c>
      <c r="C66" s="6" t="s">
        <v>105</v>
      </c>
      <c r="D66" s="6" t="s">
        <v>24</v>
      </c>
      <c r="J66" s="6">
        <v>945</v>
      </c>
      <c r="K66" s="6">
        <v>0.51</v>
      </c>
      <c r="P66" s="6">
        <v>8684.1</v>
      </c>
      <c r="Q66" s="6">
        <v>1.86</v>
      </c>
      <c r="R66" s="6">
        <v>4.0700000000000003E-4</v>
      </c>
      <c r="S66" s="6">
        <v>1</v>
      </c>
      <c r="V66" s="6">
        <v>278</v>
      </c>
      <c r="W66" s="6">
        <v>348</v>
      </c>
      <c r="AB66" s="6" t="s">
        <v>185</v>
      </c>
      <c r="AC66" s="6" t="s">
        <v>123</v>
      </c>
    </row>
    <row r="67" spans="1:29" s="6" customFormat="1" x14ac:dyDescent="0.35">
      <c r="A67" s="6" t="s">
        <v>118</v>
      </c>
      <c r="B67" s="6" t="s">
        <v>83</v>
      </c>
      <c r="C67" s="6" t="s">
        <v>122</v>
      </c>
      <c r="D67" s="6" t="s">
        <v>24</v>
      </c>
      <c r="J67" s="6">
        <v>1250</v>
      </c>
      <c r="K67" s="6">
        <v>0.72</v>
      </c>
      <c r="P67" s="6">
        <v>8955.1</v>
      </c>
      <c r="Q67" s="6">
        <v>2.41</v>
      </c>
      <c r="R67" s="6">
        <v>3.0899999999999998E-4</v>
      </c>
      <c r="S67" s="6">
        <v>1</v>
      </c>
      <c r="V67" s="6">
        <v>293</v>
      </c>
      <c r="W67" s="6">
        <v>313</v>
      </c>
      <c r="AB67" s="6" t="s">
        <v>185</v>
      </c>
      <c r="AC67" s="6" t="s">
        <v>123</v>
      </c>
    </row>
    <row r="68" spans="1:29" s="5" customFormat="1" x14ac:dyDescent="0.35">
      <c r="A68" s="5" t="s">
        <v>48</v>
      </c>
      <c r="B68" s="5" t="s">
        <v>131</v>
      </c>
      <c r="C68" s="5" t="s">
        <v>124</v>
      </c>
      <c r="D68" s="5" t="s">
        <v>24</v>
      </c>
      <c r="F68" s="5">
        <v>7.4000000000000003E-6</v>
      </c>
      <c r="J68" s="5" t="s">
        <v>127</v>
      </c>
      <c r="K68" s="5">
        <v>7.0999999999999994E-2</v>
      </c>
      <c r="P68" s="5">
        <v>4000</v>
      </c>
      <c r="Q68" s="5">
        <v>5</v>
      </c>
      <c r="R68" s="5">
        <v>0.21</v>
      </c>
      <c r="S68" s="5">
        <v>-1</v>
      </c>
      <c r="T68" s="5">
        <v>476.7</v>
      </c>
      <c r="U68" s="5">
        <v>17942.599999999999</v>
      </c>
      <c r="V68" s="5">
        <v>298</v>
      </c>
      <c r="W68" s="5">
        <v>333</v>
      </c>
      <c r="X68" s="5">
        <v>7.8799999999999996E-4</v>
      </c>
      <c r="Y68" s="5">
        <v>0.21882399999999999</v>
      </c>
      <c r="AC68" s="5" t="s">
        <v>130</v>
      </c>
    </row>
    <row r="69" spans="1:29" s="5" customFormat="1" x14ac:dyDescent="0.35">
      <c r="A69" s="5" t="s">
        <v>48</v>
      </c>
      <c r="B69" s="5" t="s">
        <v>131</v>
      </c>
      <c r="C69" s="5" t="s">
        <v>125</v>
      </c>
      <c r="D69" s="5" t="s">
        <v>24</v>
      </c>
      <c r="F69" s="5">
        <v>3.7000000000000002E-6</v>
      </c>
      <c r="J69" s="5" t="s">
        <v>128</v>
      </c>
      <c r="K69" s="5">
        <v>0.27</v>
      </c>
      <c r="P69" s="5">
        <v>7600</v>
      </c>
      <c r="Q69" s="5">
        <v>2.9</v>
      </c>
      <c r="R69" s="5">
        <v>0.28499999999999998</v>
      </c>
      <c r="S69" s="5">
        <v>-1</v>
      </c>
      <c r="T69" s="5">
        <v>149.4</v>
      </c>
      <c r="U69" s="5">
        <v>17959.099999999999</v>
      </c>
      <c r="V69" s="5">
        <v>298</v>
      </c>
      <c r="W69" s="5">
        <v>333</v>
      </c>
      <c r="X69" s="5">
        <v>4.6032999999999998E-2</v>
      </c>
      <c r="Y69" s="5">
        <v>0.293742</v>
      </c>
      <c r="AC69" s="5" t="s">
        <v>130</v>
      </c>
    </row>
    <row r="70" spans="1:29" s="5" customFormat="1" x14ac:dyDescent="0.35">
      <c r="A70" s="5" t="s">
        <v>48</v>
      </c>
      <c r="B70" s="5" t="s">
        <v>131</v>
      </c>
      <c r="C70" s="5" t="s">
        <v>126</v>
      </c>
      <c r="D70" s="5" t="s">
        <v>24</v>
      </c>
      <c r="F70" s="5">
        <v>7.4000000000000003E-6</v>
      </c>
      <c r="J70" s="5" t="s">
        <v>129</v>
      </c>
      <c r="K70" s="5">
        <v>7.0000000000000007E-2</v>
      </c>
      <c r="P70" s="5">
        <v>2700</v>
      </c>
      <c r="Q70" s="5">
        <v>6</v>
      </c>
      <c r="R70" s="5">
        <v>0.22</v>
      </c>
      <c r="S70" s="5">
        <v>-1</v>
      </c>
      <c r="T70" s="5">
        <v>849.4</v>
      </c>
      <c r="U70" s="5">
        <v>13946.4</v>
      </c>
      <c r="V70" s="5">
        <v>298</v>
      </c>
      <c r="W70" s="5">
        <v>333</v>
      </c>
      <c r="X70" s="5">
        <v>4.6299999999999998E-4</v>
      </c>
      <c r="Y70" s="5">
        <v>0.22515099999999999</v>
      </c>
      <c r="AC70" s="5" t="s">
        <v>130</v>
      </c>
    </row>
    <row r="71" spans="1:29" s="5" customFormat="1" x14ac:dyDescent="0.35">
      <c r="A71" s="5" t="s">
        <v>48</v>
      </c>
      <c r="B71" s="5" t="s">
        <v>131</v>
      </c>
      <c r="C71" s="5" t="s">
        <v>124</v>
      </c>
      <c r="D71" s="5" t="s">
        <v>24</v>
      </c>
      <c r="F71" s="5">
        <v>7.4000000000000003E-6</v>
      </c>
      <c r="J71" s="5">
        <v>132</v>
      </c>
      <c r="K71" s="5">
        <v>8.6999999999999994E-2</v>
      </c>
      <c r="P71" s="5">
        <v>4000</v>
      </c>
      <c r="Q71" s="5">
        <v>5</v>
      </c>
      <c r="R71" s="5">
        <v>0.21</v>
      </c>
      <c r="S71" s="5">
        <v>-1</v>
      </c>
      <c r="T71" s="5">
        <v>127</v>
      </c>
      <c r="U71" s="5">
        <v>9334.2999999999993</v>
      </c>
      <c r="V71" s="5">
        <v>298</v>
      </c>
      <c r="W71" s="5">
        <v>338</v>
      </c>
      <c r="X71" s="5">
        <v>1.1310000000000001E-3</v>
      </c>
      <c r="Y71" s="5">
        <v>0.21210399999999999</v>
      </c>
      <c r="AC71" s="5" t="s">
        <v>132</v>
      </c>
    </row>
    <row r="72" spans="1:29" s="5" customFormat="1" x14ac:dyDescent="0.35">
      <c r="A72" s="5" t="s">
        <v>48</v>
      </c>
      <c r="B72" s="5" t="s">
        <v>131</v>
      </c>
      <c r="C72" s="5" t="s">
        <v>125</v>
      </c>
      <c r="D72" s="5" t="s">
        <v>24</v>
      </c>
      <c r="F72" s="5">
        <v>3.7000000000000002E-6</v>
      </c>
      <c r="G72" s="5">
        <v>0.17</v>
      </c>
      <c r="J72" s="5">
        <v>590</v>
      </c>
      <c r="K72" s="5">
        <v>0.27689999999999998</v>
      </c>
      <c r="P72" s="5">
        <v>7000</v>
      </c>
      <c r="Q72" s="5">
        <v>3</v>
      </c>
      <c r="R72" s="5">
        <v>0.31</v>
      </c>
      <c r="S72" s="5">
        <v>-1</v>
      </c>
      <c r="T72" s="5">
        <v>79.92</v>
      </c>
      <c r="U72" s="5">
        <v>6944.81</v>
      </c>
      <c r="V72" s="5">
        <v>298</v>
      </c>
      <c r="W72" s="5">
        <v>333</v>
      </c>
      <c r="X72" s="5">
        <v>1.8837E-2</v>
      </c>
      <c r="Y72" s="5">
        <v>0.304504</v>
      </c>
      <c r="AC72" s="5" t="s">
        <v>132</v>
      </c>
    </row>
    <row r="73" spans="1:29" s="5" customFormat="1" x14ac:dyDescent="0.35">
      <c r="A73" s="5" t="s">
        <v>48</v>
      </c>
      <c r="B73" s="5" t="s">
        <v>133</v>
      </c>
      <c r="C73" s="5" t="s">
        <v>134</v>
      </c>
      <c r="D73" s="5" t="s">
        <v>24</v>
      </c>
      <c r="L73" s="5">
        <v>0.57999999999999996</v>
      </c>
      <c r="O73" s="5">
        <v>2553</v>
      </c>
      <c r="P73" s="5">
        <v>13986.238317402982</v>
      </c>
      <c r="Q73" s="5">
        <v>1.98</v>
      </c>
      <c r="R73" s="5">
        <v>0.129</v>
      </c>
      <c r="S73" s="5">
        <v>-1</v>
      </c>
      <c r="T73" s="5">
        <v>2.81</v>
      </c>
      <c r="U73" s="5">
        <v>6603.69</v>
      </c>
      <c r="V73" s="5">
        <v>298</v>
      </c>
      <c r="W73" s="5">
        <v>348</v>
      </c>
      <c r="X73" s="5">
        <v>6.1799999999999995E-4</v>
      </c>
      <c r="Y73" s="5">
        <v>0.135792</v>
      </c>
      <c r="AC73" s="5" t="s">
        <v>135</v>
      </c>
    </row>
    <row r="74" spans="1:29" s="5" customFormat="1" x14ac:dyDescent="0.35">
      <c r="A74" s="5" t="s">
        <v>48</v>
      </c>
      <c r="B74" s="5" t="s">
        <v>93</v>
      </c>
      <c r="C74" s="5" t="s">
        <v>136</v>
      </c>
      <c r="D74" s="5" t="s">
        <v>24</v>
      </c>
      <c r="F74" s="5">
        <v>1.9999999999999999E-6</v>
      </c>
      <c r="J74" s="5">
        <v>800</v>
      </c>
      <c r="K74" s="5">
        <v>0.4</v>
      </c>
      <c r="M74" s="5" t="s">
        <v>137</v>
      </c>
      <c r="P74" s="5">
        <f>220000*0.01801</f>
        <v>3962.2000000000003</v>
      </c>
      <c r="Q74" s="5">
        <v>1.1000000000000001</v>
      </c>
      <c r="R74" s="5">
        <v>0.38</v>
      </c>
      <c r="S74" s="5">
        <v>-1</v>
      </c>
      <c r="T74" s="5">
        <v>1000</v>
      </c>
      <c r="U74" s="5">
        <v>3900</v>
      </c>
      <c r="V74" s="5">
        <v>303.05700000000002</v>
      </c>
      <c r="W74" s="5">
        <v>419.51799999999997</v>
      </c>
      <c r="X74" s="5">
        <v>1.8309999999999999E-3</v>
      </c>
      <c r="Y74" s="5">
        <v>0.25151000000000001</v>
      </c>
      <c r="AC74" s="5" t="s">
        <v>176</v>
      </c>
    </row>
    <row r="75" spans="1:29" s="5" customFormat="1" x14ac:dyDescent="0.35">
      <c r="A75" s="5" t="s">
        <v>48</v>
      </c>
      <c r="B75" s="5" t="s">
        <v>138</v>
      </c>
      <c r="C75" s="5" t="s">
        <v>139</v>
      </c>
      <c r="D75" s="5" t="s">
        <v>24</v>
      </c>
      <c r="G75" s="5">
        <v>0.1075</v>
      </c>
      <c r="J75" s="5">
        <v>469.77699999999999</v>
      </c>
      <c r="P75" s="5">
        <v>10014.1</v>
      </c>
      <c r="Q75" s="5">
        <v>4</v>
      </c>
      <c r="R75" s="5">
        <v>0.46200000000000002</v>
      </c>
      <c r="S75" s="5">
        <v>-1</v>
      </c>
      <c r="T75" s="5">
        <v>4.97</v>
      </c>
      <c r="U75" s="5">
        <v>14163.11</v>
      </c>
      <c r="V75" s="5">
        <v>298.14999999999998</v>
      </c>
      <c r="W75" s="5">
        <v>328.15</v>
      </c>
      <c r="X75" s="5">
        <v>3.97E-4</v>
      </c>
      <c r="Y75" s="5">
        <v>0.47996899999999998</v>
      </c>
      <c r="AC75" s="5" t="s">
        <v>140</v>
      </c>
    </row>
    <row r="76" spans="1:29" s="5" customFormat="1" x14ac:dyDescent="0.35">
      <c r="A76" s="5" t="s">
        <v>48</v>
      </c>
      <c r="B76" s="5" t="s">
        <v>143</v>
      </c>
      <c r="C76" s="5" t="s">
        <v>141</v>
      </c>
      <c r="D76" s="5" t="s">
        <v>24</v>
      </c>
      <c r="G76" s="5">
        <v>2.581E-3</v>
      </c>
      <c r="M76" s="5" t="s">
        <v>144</v>
      </c>
      <c r="P76" s="5">
        <f>47370*0.01801</f>
        <v>853.13370000000009</v>
      </c>
      <c r="Q76" s="5">
        <v>0.5</v>
      </c>
      <c r="R76" s="5">
        <v>1.2</v>
      </c>
      <c r="S76" s="5">
        <v>-1</v>
      </c>
      <c r="T76" s="5">
        <v>747.2</v>
      </c>
      <c r="U76" s="5">
        <v>34963.5</v>
      </c>
      <c r="V76" s="5">
        <v>293.14999999999998</v>
      </c>
      <c r="W76" s="5">
        <v>363.15</v>
      </c>
      <c r="X76" s="5">
        <v>5.219E-2</v>
      </c>
      <c r="Y76" s="5">
        <v>0.65117000000000003</v>
      </c>
      <c r="AC76" s="5" t="s">
        <v>146</v>
      </c>
    </row>
    <row r="77" spans="1:29" s="5" customFormat="1" x14ac:dyDescent="0.35">
      <c r="A77" s="5" t="s">
        <v>48</v>
      </c>
      <c r="B77" s="5" t="s">
        <v>143</v>
      </c>
      <c r="C77" s="5" t="s">
        <v>142</v>
      </c>
      <c r="D77" s="5" t="s">
        <v>24</v>
      </c>
      <c r="G77" s="5">
        <v>1.9316E-2</v>
      </c>
      <c r="M77" s="5" t="s">
        <v>145</v>
      </c>
      <c r="P77" s="5">
        <f>41840*0.01801</f>
        <v>753.53840000000002</v>
      </c>
      <c r="Q77" s="5">
        <v>0.5</v>
      </c>
      <c r="R77" s="5">
        <v>1.76</v>
      </c>
      <c r="S77" s="5">
        <v>-1</v>
      </c>
      <c r="T77" s="5">
        <v>760.8</v>
      </c>
      <c r="U77" s="5">
        <v>34728.1</v>
      </c>
      <c r="V77" s="5">
        <v>293.14999999999998</v>
      </c>
      <c r="W77" s="5">
        <v>363.15</v>
      </c>
      <c r="X77" s="5">
        <v>6.404E-2</v>
      </c>
      <c r="Y77" s="5">
        <v>0.89307999999999998</v>
      </c>
      <c r="AC77" s="5" t="s">
        <v>146</v>
      </c>
    </row>
    <row r="78" spans="1:29" s="5" customFormat="1" x14ac:dyDescent="0.35">
      <c r="A78" s="5" t="s">
        <v>53</v>
      </c>
      <c r="B78" s="5" t="s">
        <v>84</v>
      </c>
      <c r="C78" s="5" t="s">
        <v>80</v>
      </c>
      <c r="D78" s="5" t="s">
        <v>24</v>
      </c>
      <c r="J78" s="5">
        <v>3045</v>
      </c>
      <c r="K78" s="5">
        <v>1.7</v>
      </c>
      <c r="P78" s="5">
        <v>5265</v>
      </c>
      <c r="Q78" s="5">
        <v>1.9</v>
      </c>
      <c r="R78" s="5">
        <v>1.24</v>
      </c>
      <c r="S78" s="5">
        <v>-1</v>
      </c>
      <c r="T78" s="5">
        <v>617.20000000000005</v>
      </c>
      <c r="U78" s="5">
        <v>44631.4</v>
      </c>
      <c r="V78" s="5">
        <v>303.14999999999998</v>
      </c>
      <c r="W78" s="5">
        <v>343.15</v>
      </c>
      <c r="X78" s="5">
        <v>0.14202999999999999</v>
      </c>
      <c r="Y78" s="5">
        <v>1.202639</v>
      </c>
      <c r="AC78" s="5" t="s">
        <v>147</v>
      </c>
    </row>
    <row r="79" spans="1:29" s="5" customFormat="1" x14ac:dyDescent="0.35">
      <c r="A79" s="5" t="s">
        <v>53</v>
      </c>
      <c r="B79" s="5" t="s">
        <v>84</v>
      </c>
      <c r="C79" s="5" t="s">
        <v>148</v>
      </c>
      <c r="D79" s="5" t="s">
        <v>24</v>
      </c>
      <c r="J79" s="5">
        <v>2992</v>
      </c>
      <c r="K79" s="5">
        <v>1.65</v>
      </c>
      <c r="P79" s="5">
        <v>5331</v>
      </c>
      <c r="Q79" s="5">
        <v>1.6</v>
      </c>
      <c r="R79" s="5">
        <v>1.0900000000000001</v>
      </c>
      <c r="S79" s="5">
        <v>-1</v>
      </c>
      <c r="T79" s="5">
        <v>984.1</v>
      </c>
      <c r="U79" s="5">
        <v>78150.2</v>
      </c>
      <c r="V79" s="5">
        <v>293.14999999999998</v>
      </c>
      <c r="W79" s="5">
        <v>353.15</v>
      </c>
      <c r="X79" s="5">
        <v>0.29154999999999998</v>
      </c>
      <c r="Y79" s="5">
        <v>1.0958600000000001</v>
      </c>
      <c r="AC79" s="5" t="s">
        <v>147</v>
      </c>
    </row>
    <row r="80" spans="1:29" s="5" customFormat="1" x14ac:dyDescent="0.35">
      <c r="A80" s="5" t="s">
        <v>53</v>
      </c>
      <c r="B80" s="5" t="s">
        <v>84</v>
      </c>
      <c r="C80" s="5" t="s">
        <v>149</v>
      </c>
      <c r="D80" s="5" t="s">
        <v>24</v>
      </c>
      <c r="J80" s="5">
        <v>3029</v>
      </c>
      <c r="K80" s="5">
        <v>1.73</v>
      </c>
      <c r="P80" s="5">
        <v>4780</v>
      </c>
      <c r="Q80" s="5">
        <v>1.9</v>
      </c>
      <c r="R80" s="5">
        <v>1.25</v>
      </c>
      <c r="S80" s="5">
        <v>-1</v>
      </c>
      <c r="T80" s="5">
        <v>932.7</v>
      </c>
      <c r="U80" s="5">
        <v>55573.2</v>
      </c>
      <c r="V80" s="5">
        <v>303.14999999999998</v>
      </c>
      <c r="W80" s="5">
        <v>353.15</v>
      </c>
      <c r="X80" s="5">
        <v>0.22339000000000001</v>
      </c>
      <c r="Y80" s="5">
        <v>1.2117</v>
      </c>
      <c r="AC80" s="5" t="s">
        <v>147</v>
      </c>
    </row>
    <row r="81" spans="1:29" s="5" customFormat="1" x14ac:dyDescent="0.35">
      <c r="A81" s="5" t="s">
        <v>53</v>
      </c>
      <c r="B81" s="5" t="s">
        <v>84</v>
      </c>
      <c r="C81" s="5" t="s">
        <v>80</v>
      </c>
      <c r="D81" s="5" t="s">
        <v>24</v>
      </c>
      <c r="F81" s="5">
        <v>1.9999999999999999E-6</v>
      </c>
      <c r="J81" s="5">
        <v>3200</v>
      </c>
      <c r="P81" s="5">
        <v>5538</v>
      </c>
      <c r="Q81" s="5">
        <v>1.75</v>
      </c>
      <c r="R81" s="5">
        <v>1.2</v>
      </c>
      <c r="S81" s="5">
        <v>-1</v>
      </c>
      <c r="T81" s="5">
        <v>7885.86980214904</v>
      </c>
      <c r="U81" s="5">
        <v>7885.86980214904</v>
      </c>
      <c r="V81" s="5">
        <v>293.14999999999998</v>
      </c>
      <c r="W81" s="5">
        <v>333.15</v>
      </c>
      <c r="X81" s="5">
        <v>0.18099999999999999</v>
      </c>
      <c r="Y81" s="5">
        <v>1.0012000000000001</v>
      </c>
      <c r="AC81" s="5" t="s">
        <v>150</v>
      </c>
    </row>
    <row r="82" spans="1:29" s="5" customFormat="1" x14ac:dyDescent="0.35">
      <c r="A82" s="5" t="s">
        <v>53</v>
      </c>
      <c r="B82" s="5" t="s">
        <v>85</v>
      </c>
      <c r="C82" s="5" t="s">
        <v>86</v>
      </c>
      <c r="D82" s="5" t="s">
        <v>24</v>
      </c>
      <c r="F82" s="5">
        <v>2.1600000000000002E-8</v>
      </c>
      <c r="J82" s="5">
        <v>1930</v>
      </c>
      <c r="K82" s="5">
        <v>1.028</v>
      </c>
      <c r="P82" s="5">
        <f>8.31446261815324/(0.000001716)^(1/Q82)</f>
        <v>6347.1029599394433</v>
      </c>
      <c r="Q82" s="5">
        <v>2</v>
      </c>
      <c r="R82" s="5">
        <v>0.79700000000000004</v>
      </c>
      <c r="S82" s="5">
        <v>-1</v>
      </c>
      <c r="T82" s="5">
        <v>7885.86980214904</v>
      </c>
      <c r="U82" s="5">
        <v>7885.86980214904</v>
      </c>
      <c r="V82" s="5">
        <v>300.14999999999998</v>
      </c>
      <c r="W82" s="5">
        <v>333.15</v>
      </c>
      <c r="X82" s="5">
        <v>0.28174084500000002</v>
      </c>
      <c r="Y82" s="5">
        <v>0.668876056</v>
      </c>
      <c r="AC82" s="5" t="s">
        <v>151</v>
      </c>
    </row>
    <row r="83" spans="1:29" s="5" customFormat="1" x14ac:dyDescent="0.35">
      <c r="A83" s="5" t="s">
        <v>53</v>
      </c>
      <c r="B83" s="5" t="s">
        <v>152</v>
      </c>
      <c r="C83" s="5" t="s">
        <v>153</v>
      </c>
      <c r="D83" s="5" t="s">
        <v>24</v>
      </c>
      <c r="P83" s="5">
        <v>6527.4</v>
      </c>
      <c r="Q83" s="5">
        <v>2.6032999999999999</v>
      </c>
      <c r="R83" s="5">
        <v>1.1005</v>
      </c>
      <c r="S83" s="5">
        <v>-1</v>
      </c>
      <c r="V83" s="5">
        <v>288.14999999999998</v>
      </c>
      <c r="W83" s="5">
        <v>328.15</v>
      </c>
      <c r="X83" s="5">
        <v>0.14018</v>
      </c>
      <c r="Y83" s="5">
        <v>1.20106</v>
      </c>
      <c r="Z83" s="5">
        <v>4</v>
      </c>
      <c r="AC83" s="5" t="s">
        <v>154</v>
      </c>
    </row>
    <row r="84" spans="1:29" s="5" customFormat="1" x14ac:dyDescent="0.35">
      <c r="A84" s="5" t="s">
        <v>53</v>
      </c>
      <c r="B84" s="5" t="s">
        <v>155</v>
      </c>
      <c r="C84" s="5" t="s">
        <v>156</v>
      </c>
      <c r="D84" s="5" t="s">
        <v>24</v>
      </c>
      <c r="F84" s="5">
        <v>1.2500000000000001E-6</v>
      </c>
      <c r="J84" s="5">
        <v>3060</v>
      </c>
      <c r="K84" s="5">
        <v>1.9</v>
      </c>
      <c r="P84" s="5">
        <f>128000*0.04607</f>
        <v>5896.96</v>
      </c>
      <c r="Q84" s="5">
        <v>2</v>
      </c>
      <c r="R84" s="5">
        <v>1.43</v>
      </c>
      <c r="S84" s="5">
        <v>-1</v>
      </c>
      <c r="T84" s="5">
        <v>1202.5</v>
      </c>
      <c r="U84" s="5">
        <v>35425.5</v>
      </c>
      <c r="V84" s="5">
        <v>303.14999999999998</v>
      </c>
      <c r="W84" s="5">
        <v>343.15</v>
      </c>
      <c r="X84" s="5">
        <v>0.22134999999999999</v>
      </c>
      <c r="Y84" s="5">
        <v>1.43957</v>
      </c>
      <c r="AC84" s="5" t="s">
        <v>158</v>
      </c>
    </row>
    <row r="85" spans="1:29" s="5" customFormat="1" x14ac:dyDescent="0.35">
      <c r="A85" s="5" t="s">
        <v>53</v>
      </c>
      <c r="B85" s="5" t="s">
        <v>155</v>
      </c>
      <c r="C85" s="5" t="s">
        <v>157</v>
      </c>
      <c r="D85" s="5" t="s">
        <v>24</v>
      </c>
      <c r="F85" s="5">
        <v>1.7799999999999999E-6</v>
      </c>
      <c r="J85" s="5">
        <v>2910</v>
      </c>
      <c r="K85" s="5">
        <v>2.5299999999999998</v>
      </c>
      <c r="P85" s="5">
        <f>90000*0.04607</f>
        <v>4146.3</v>
      </c>
      <c r="Q85" s="5">
        <v>1.5</v>
      </c>
      <c r="R85" s="5">
        <v>1.98</v>
      </c>
      <c r="S85" s="5">
        <v>-1</v>
      </c>
      <c r="T85" s="5">
        <v>1221.5</v>
      </c>
      <c r="U85" s="5">
        <v>48959.6</v>
      </c>
      <c r="V85" s="5">
        <v>303.14999999999998</v>
      </c>
      <c r="W85" s="5">
        <v>343.15</v>
      </c>
      <c r="X85" s="5">
        <v>0.14319000000000001</v>
      </c>
      <c r="Y85" s="5">
        <v>1.9504300000000001</v>
      </c>
      <c r="AC85" s="5" t="s">
        <v>158</v>
      </c>
    </row>
    <row r="86" spans="1:29" s="6" customFormat="1" x14ac:dyDescent="0.35">
      <c r="A86" s="6" t="s">
        <v>159</v>
      </c>
      <c r="B86" s="6" t="s">
        <v>84</v>
      </c>
      <c r="C86" s="6" t="s">
        <v>80</v>
      </c>
      <c r="D86" s="6" t="s">
        <v>24</v>
      </c>
      <c r="F86" s="6">
        <f>0.000002008</f>
        <v>2.0080000000000001E-6</v>
      </c>
      <c r="G86" s="6">
        <v>7.1999999999999995E-2</v>
      </c>
      <c r="J86" s="6">
        <v>3140</v>
      </c>
      <c r="K86" s="6">
        <v>2.0099999999999998</v>
      </c>
      <c r="M86" s="6">
        <v>310</v>
      </c>
      <c r="P86" s="6">
        <f>300000*0.05812</f>
        <v>17436</v>
      </c>
      <c r="Q86" s="6">
        <v>1.05</v>
      </c>
      <c r="R86" s="6">
        <v>0.8</v>
      </c>
      <c r="S86" s="6">
        <v>-1</v>
      </c>
      <c r="T86" s="6">
        <v>14970</v>
      </c>
      <c r="U86" s="6">
        <v>286440</v>
      </c>
      <c r="V86" s="6">
        <v>298.14999999999998</v>
      </c>
      <c r="W86" s="6">
        <v>328.15</v>
      </c>
      <c r="X86" s="6">
        <v>0.41270000000000001</v>
      </c>
      <c r="Y86" s="6">
        <v>0.79959999999999998</v>
      </c>
      <c r="AC86" s="6" t="s">
        <v>160</v>
      </c>
    </row>
    <row r="87" spans="1:29" s="5" customFormat="1" x14ac:dyDescent="0.35">
      <c r="A87" s="5" t="s">
        <v>50</v>
      </c>
      <c r="B87" s="5" t="s">
        <v>83</v>
      </c>
      <c r="C87" s="5" t="s">
        <v>161</v>
      </c>
      <c r="D87" s="5" t="s">
        <v>24</v>
      </c>
      <c r="P87" s="5">
        <f>8.31446261815324/(0.00000967)^(1/Q87)</f>
        <v>6843.5888402290257</v>
      </c>
      <c r="Q87" s="5">
        <v>1.72</v>
      </c>
      <c r="R87" s="5">
        <v>0.15</v>
      </c>
      <c r="S87" s="5">
        <v>-1</v>
      </c>
      <c r="T87" s="5">
        <v>3250</v>
      </c>
      <c r="U87" s="5">
        <v>30350</v>
      </c>
      <c r="V87" s="5">
        <v>292.75</v>
      </c>
      <c r="W87" s="5">
        <v>362.95</v>
      </c>
      <c r="X87" s="5">
        <v>0.04</v>
      </c>
      <c r="Y87" s="5">
        <v>0.13</v>
      </c>
      <c r="AC87" s="5" t="s">
        <v>164</v>
      </c>
    </row>
    <row r="88" spans="1:29" s="5" customFormat="1" x14ac:dyDescent="0.35">
      <c r="A88" s="5" t="s">
        <v>50</v>
      </c>
      <c r="B88" s="5" t="s">
        <v>83</v>
      </c>
      <c r="C88" s="5" t="s">
        <v>162</v>
      </c>
      <c r="D88" s="5" t="s">
        <v>24</v>
      </c>
      <c r="P88" s="5">
        <f>8.31446261815324/(0.000000848)^(1/Q88)</f>
        <v>6900.405945733557</v>
      </c>
      <c r="Q88" s="5">
        <v>2.08</v>
      </c>
      <c r="R88" s="5">
        <v>0.28000000000000003</v>
      </c>
      <c r="S88" s="5">
        <v>-1</v>
      </c>
      <c r="T88" s="5">
        <v>3550</v>
      </c>
      <c r="U88" s="5">
        <v>29350</v>
      </c>
      <c r="V88" s="5">
        <v>293.04999999999995</v>
      </c>
      <c r="W88" s="5">
        <v>363.04999999999995</v>
      </c>
      <c r="X88" s="5">
        <v>3550</v>
      </c>
      <c r="Y88" s="5">
        <v>29350</v>
      </c>
      <c r="AC88" s="5" t="s">
        <v>164</v>
      </c>
    </row>
    <row r="89" spans="1:29" s="5" customFormat="1" x14ac:dyDescent="0.35">
      <c r="A89" s="5" t="s">
        <v>50</v>
      </c>
      <c r="B89" s="5" t="s">
        <v>83</v>
      </c>
      <c r="C89" s="5" t="s">
        <v>163</v>
      </c>
      <c r="D89" s="5" t="s">
        <v>24</v>
      </c>
      <c r="P89" s="5">
        <f>8.31446261815324/(0.00000908)^(1/Q89)</f>
        <v>5654.1877483306507</v>
      </c>
      <c r="Q89" s="5">
        <v>1.78</v>
      </c>
      <c r="R89" s="5">
        <v>0.27</v>
      </c>
      <c r="S89" s="5">
        <v>-1</v>
      </c>
      <c r="T89" s="5">
        <v>3000</v>
      </c>
      <c r="U89" s="5">
        <v>28800</v>
      </c>
      <c r="V89" s="5">
        <v>302.84999999999997</v>
      </c>
      <c r="W89" s="5">
        <v>363.04999999999995</v>
      </c>
      <c r="X89" s="5">
        <v>0.05</v>
      </c>
      <c r="Y89" s="5">
        <v>0.22</v>
      </c>
      <c r="AC89" s="5" t="s">
        <v>164</v>
      </c>
    </row>
    <row r="90" spans="1:29" s="5" customFormat="1" x14ac:dyDescent="0.35">
      <c r="A90" s="5" t="s">
        <v>50</v>
      </c>
      <c r="B90" s="5" t="s">
        <v>83</v>
      </c>
      <c r="C90" s="5" t="s">
        <v>162</v>
      </c>
      <c r="D90" s="5" t="s">
        <v>24</v>
      </c>
      <c r="H90" s="5">
        <v>4.0000000000000001E-3</v>
      </c>
      <c r="I90" s="5">
        <v>0.01</v>
      </c>
      <c r="J90" s="5">
        <v>951</v>
      </c>
      <c r="K90" s="5">
        <v>0.66300000000000003</v>
      </c>
      <c r="P90" s="5">
        <f>8.31446261815324/(0.000016)^(1/Q90)</f>
        <v>6571.2332704082273</v>
      </c>
      <c r="Q90" s="5">
        <v>1.655</v>
      </c>
      <c r="R90" s="5">
        <v>0.33</v>
      </c>
      <c r="S90" s="5">
        <v>-1</v>
      </c>
      <c r="T90" s="5">
        <v>89</v>
      </c>
      <c r="U90" s="5">
        <v>16492.400000000001</v>
      </c>
      <c r="V90" s="5">
        <v>278.14999999999998</v>
      </c>
      <c r="W90" s="5">
        <v>298.14999999999998</v>
      </c>
      <c r="X90" s="5">
        <f>20.588/1000</f>
        <v>2.0588000000000002E-2</v>
      </c>
      <c r="Y90" s="5">
        <f>332.976/1000</f>
        <v>0.33297599999999999</v>
      </c>
      <c r="AC90" s="5" t="s">
        <v>165</v>
      </c>
    </row>
    <row r="91" spans="1:29" s="5" customFormat="1" x14ac:dyDescent="0.35">
      <c r="A91" s="5" t="s">
        <v>50</v>
      </c>
      <c r="B91" s="5" t="s">
        <v>83</v>
      </c>
      <c r="C91" s="5" t="s">
        <v>163</v>
      </c>
      <c r="D91" s="5" t="s">
        <v>24</v>
      </c>
      <c r="G91" s="5">
        <v>4.0000000000000001E-3</v>
      </c>
      <c r="J91" s="5">
        <v>1231</v>
      </c>
      <c r="K91" s="5">
        <v>0.46400000000000002</v>
      </c>
      <c r="P91" s="5">
        <f>8.31446261815324/(0.000028)^(1/Q91)</f>
        <v>4776.7481918832873</v>
      </c>
      <c r="Q91" s="5">
        <v>1.65</v>
      </c>
      <c r="R91" s="5">
        <v>0.49</v>
      </c>
      <c r="S91" s="5">
        <v>-1</v>
      </c>
      <c r="T91" s="5">
        <v>103.3</v>
      </c>
      <c r="U91" s="5">
        <v>16460.099999999999</v>
      </c>
      <c r="V91" s="5">
        <v>278.14999999999998</v>
      </c>
      <c r="W91" s="5">
        <v>298.14999999999998</v>
      </c>
      <c r="X91" s="5">
        <v>6.3670000000000003E-3</v>
      </c>
      <c r="Y91" s="5">
        <v>0.486595</v>
      </c>
      <c r="AC91" s="5" t="s">
        <v>165</v>
      </c>
    </row>
    <row r="92" spans="1:29" s="5" customFormat="1" x14ac:dyDescent="0.35">
      <c r="A92" s="5" t="s">
        <v>101</v>
      </c>
      <c r="B92" s="5" t="s">
        <v>84</v>
      </c>
      <c r="C92" s="5" t="s">
        <v>80</v>
      </c>
      <c r="D92" s="5" t="s">
        <v>24</v>
      </c>
      <c r="F92" s="5">
        <v>1.9999999999999999E-6</v>
      </c>
      <c r="J92" s="5">
        <v>3150</v>
      </c>
      <c r="K92" s="5">
        <v>1.7</v>
      </c>
      <c r="O92" s="5">
        <v>2200</v>
      </c>
      <c r="P92" s="5">
        <v>7332.69</v>
      </c>
      <c r="Q92" s="5">
        <v>1.29</v>
      </c>
      <c r="R92" s="5">
        <v>2.2200000000000002</v>
      </c>
      <c r="S92" s="5">
        <v>-1</v>
      </c>
      <c r="T92" s="5">
        <v>19642.900000000001</v>
      </c>
      <c r="U92" s="5">
        <v>694643</v>
      </c>
      <c r="V92" s="5">
        <v>278.14999999999998</v>
      </c>
      <c r="W92" s="5">
        <v>358.15</v>
      </c>
      <c r="X92" s="5">
        <v>0.49795899999999998</v>
      </c>
      <c r="Y92" s="5">
        <v>2.21224</v>
      </c>
      <c r="Z92" s="5">
        <v>2.98</v>
      </c>
      <c r="AC92" s="5" t="s">
        <v>166</v>
      </c>
    </row>
    <row r="93" spans="1:29" s="5" customFormat="1" x14ac:dyDescent="0.35">
      <c r="A93" s="5" t="s">
        <v>101</v>
      </c>
      <c r="B93" s="5" t="s">
        <v>85</v>
      </c>
      <c r="C93" s="5" t="s">
        <v>86</v>
      </c>
      <c r="D93" s="5" t="s">
        <v>24</v>
      </c>
      <c r="F93" s="5">
        <v>2.1600000000000001E-6</v>
      </c>
      <c r="J93" s="5">
        <v>1930</v>
      </c>
      <c r="K93" s="5">
        <v>1.05</v>
      </c>
      <c r="O93" s="5">
        <v>2200</v>
      </c>
      <c r="P93" s="5">
        <v>7136.01</v>
      </c>
      <c r="Q93" s="5">
        <v>1.49</v>
      </c>
      <c r="R93" s="5">
        <v>1.29</v>
      </c>
      <c r="S93" s="5">
        <v>-1</v>
      </c>
      <c r="T93" s="5">
        <v>17485</v>
      </c>
      <c r="U93" s="5">
        <v>685047</v>
      </c>
      <c r="V93" s="5">
        <v>278.14999999999998</v>
      </c>
      <c r="W93" s="5">
        <v>328.15</v>
      </c>
      <c r="X93" s="5">
        <v>5.756E-2</v>
      </c>
      <c r="Y93" s="5">
        <v>1.28264</v>
      </c>
      <c r="Z93" s="5">
        <v>5.48</v>
      </c>
      <c r="AC93" s="5" t="s">
        <v>166</v>
      </c>
    </row>
    <row r="94" spans="1:29" s="5" customFormat="1" x14ac:dyDescent="0.35">
      <c r="A94" s="5" t="s">
        <v>41</v>
      </c>
      <c r="B94" s="5" t="s">
        <v>84</v>
      </c>
      <c r="C94" s="5" t="s">
        <v>80</v>
      </c>
      <c r="D94" s="5" t="s">
        <v>24</v>
      </c>
      <c r="F94" s="5">
        <v>1.9999999999999999E-6</v>
      </c>
      <c r="J94" s="5">
        <v>3150</v>
      </c>
      <c r="K94" s="5">
        <v>1.7</v>
      </c>
      <c r="O94" s="5">
        <v>2200</v>
      </c>
      <c r="P94" s="5">
        <v>8577.9</v>
      </c>
      <c r="Q94" s="5">
        <v>1.22</v>
      </c>
      <c r="R94" s="5">
        <v>0.9</v>
      </c>
      <c r="S94" s="5">
        <v>-1</v>
      </c>
      <c r="T94" s="5">
        <v>11406</v>
      </c>
      <c r="U94" s="5">
        <v>763858</v>
      </c>
      <c r="V94" s="5">
        <v>278.14999999999998</v>
      </c>
      <c r="W94" s="5">
        <v>358.15</v>
      </c>
      <c r="X94" s="5">
        <v>0.18424599999999999</v>
      </c>
      <c r="Y94" s="5">
        <v>0.85812900000000003</v>
      </c>
      <c r="Z94" s="5">
        <v>4.12</v>
      </c>
      <c r="AC94" s="5" t="s">
        <v>166</v>
      </c>
    </row>
    <row r="95" spans="1:29" s="5" customFormat="1" x14ac:dyDescent="0.35">
      <c r="A95" s="5" t="s">
        <v>111</v>
      </c>
      <c r="B95" s="5" t="s">
        <v>84</v>
      </c>
      <c r="C95" s="5" t="s">
        <v>80</v>
      </c>
      <c r="D95" s="5" t="s">
        <v>24</v>
      </c>
      <c r="F95" s="5">
        <v>1.9999999999999999E-6</v>
      </c>
      <c r="J95" s="5">
        <v>3150</v>
      </c>
      <c r="K95" s="5">
        <v>1.7</v>
      </c>
      <c r="O95" s="5">
        <v>2200</v>
      </c>
      <c r="P95" s="5">
        <v>5254.38</v>
      </c>
      <c r="Q95" s="5">
        <v>1.36</v>
      </c>
      <c r="R95" s="5">
        <v>2.0699999999999998</v>
      </c>
      <c r="S95" s="5">
        <v>-1</v>
      </c>
      <c r="T95" s="5">
        <v>35045</v>
      </c>
      <c r="U95" s="5">
        <v>1433809</v>
      </c>
      <c r="V95" s="5">
        <v>278.14999999999998</v>
      </c>
      <c r="W95" s="5">
        <v>328.15</v>
      </c>
      <c r="X95" s="5">
        <v>0.11303000000000001</v>
      </c>
      <c r="Y95" s="5">
        <v>2.0834600000000001</v>
      </c>
      <c r="Z95" s="5">
        <v>3.3</v>
      </c>
      <c r="AC95" s="5" t="s">
        <v>166</v>
      </c>
    </row>
    <row r="96" spans="1:29" s="5" customFormat="1" x14ac:dyDescent="0.35">
      <c r="A96" s="5" t="s">
        <v>79</v>
      </c>
      <c r="B96" s="5" t="s">
        <v>84</v>
      </c>
      <c r="C96" s="5" t="s">
        <v>80</v>
      </c>
      <c r="D96" s="5" t="s">
        <v>24</v>
      </c>
      <c r="F96" s="5">
        <v>1.9999999999999999E-6</v>
      </c>
      <c r="J96" s="5">
        <v>3150</v>
      </c>
      <c r="K96" s="5">
        <v>1.7</v>
      </c>
      <c r="O96" s="5">
        <v>2200</v>
      </c>
      <c r="P96" s="5">
        <v>7547.25</v>
      </c>
      <c r="Q96" s="5">
        <v>1.34</v>
      </c>
      <c r="R96" s="5">
        <v>2.0499999999999998</v>
      </c>
      <c r="S96" s="5">
        <v>-1</v>
      </c>
      <c r="T96" s="5">
        <v>4827</v>
      </c>
      <c r="U96" s="5">
        <v>1067573</v>
      </c>
      <c r="V96" s="5">
        <v>278.14999999999998</v>
      </c>
      <c r="W96" s="5">
        <v>318.14999999999998</v>
      </c>
      <c r="X96" s="5">
        <v>0.19899</v>
      </c>
      <c r="Y96" s="5">
        <v>2.0667399999999998</v>
      </c>
      <c r="Z96" s="5">
        <v>2.57</v>
      </c>
      <c r="AC96" s="5" t="s">
        <v>166</v>
      </c>
    </row>
    <row r="97" spans="1:29" s="5" customFormat="1" x14ac:dyDescent="0.35">
      <c r="A97" s="5" t="s">
        <v>79</v>
      </c>
      <c r="B97" s="5" t="s">
        <v>85</v>
      </c>
      <c r="C97" s="5" t="s">
        <v>86</v>
      </c>
      <c r="D97" s="5" t="s">
        <v>24</v>
      </c>
      <c r="F97" s="5">
        <v>2.1600000000000001E-6</v>
      </c>
      <c r="J97" s="5">
        <v>1930</v>
      </c>
      <c r="K97" s="5">
        <v>1.05</v>
      </c>
      <c r="O97" s="5">
        <v>2200</v>
      </c>
      <c r="P97" s="5">
        <v>8100.78</v>
      </c>
      <c r="Q97" s="5">
        <v>1.45</v>
      </c>
      <c r="R97" s="5">
        <v>1.19</v>
      </c>
      <c r="S97" s="5">
        <v>-1</v>
      </c>
      <c r="T97" s="5">
        <v>15701</v>
      </c>
      <c r="U97" s="5">
        <v>1141964</v>
      </c>
      <c r="V97" s="5">
        <v>278.14999999999998</v>
      </c>
      <c r="W97" s="5">
        <v>318.14999999999998</v>
      </c>
      <c r="X97" s="5">
        <v>9.8738000000000006E-2</v>
      </c>
      <c r="Y97" s="5">
        <v>1.2</v>
      </c>
      <c r="Z97" s="5">
        <v>3.18</v>
      </c>
      <c r="AC97" s="5" t="s">
        <v>166</v>
      </c>
    </row>
    <row r="98" spans="1:29" s="5" customFormat="1" x14ac:dyDescent="0.35">
      <c r="A98" s="5" t="s">
        <v>50</v>
      </c>
      <c r="B98" s="5" t="s">
        <v>84</v>
      </c>
      <c r="C98" s="5" t="s">
        <v>80</v>
      </c>
      <c r="D98" s="5" t="s">
        <v>24</v>
      </c>
      <c r="J98" s="5">
        <v>3150</v>
      </c>
      <c r="P98" s="5">
        <f>8.31446261815324/(0.000004022)^(1/Q98)</f>
        <v>4145.8458664608397</v>
      </c>
      <c r="Q98" s="5">
        <v>2</v>
      </c>
      <c r="R98" s="5">
        <v>1.24</v>
      </c>
      <c r="S98" s="5">
        <v>-1</v>
      </c>
      <c r="T98" s="5">
        <v>5500</v>
      </c>
      <c r="U98" s="5">
        <v>9900</v>
      </c>
      <c r="V98" s="5">
        <v>293.14999999999998</v>
      </c>
      <c r="W98" s="5">
        <v>333.15</v>
      </c>
      <c r="X98" s="5">
        <v>4.4299999999999999E-2</v>
      </c>
      <c r="Y98" s="5">
        <v>1.1619999999999999</v>
      </c>
      <c r="AC98" s="5" t="s">
        <v>168</v>
      </c>
    </row>
    <row r="99" spans="1:29" s="5" customFormat="1" x14ac:dyDescent="0.35">
      <c r="A99" s="5" t="s">
        <v>50</v>
      </c>
      <c r="B99" s="5" t="s">
        <v>83</v>
      </c>
      <c r="C99" s="5" t="s">
        <v>167</v>
      </c>
      <c r="D99" s="5" t="s">
        <v>24</v>
      </c>
      <c r="P99" s="5">
        <f>8.31446261815324/(0.000003012)^(1/Q99)</f>
        <v>4790.7852227673966</v>
      </c>
      <c r="Q99" s="5">
        <v>2</v>
      </c>
      <c r="R99" s="5">
        <v>0.70499999999999996</v>
      </c>
      <c r="S99" s="5">
        <v>-1</v>
      </c>
      <c r="T99" s="5">
        <v>5500</v>
      </c>
      <c r="U99" s="5">
        <v>9900</v>
      </c>
      <c r="V99" s="5">
        <v>293.14999999999998</v>
      </c>
      <c r="W99" s="5">
        <v>333.15</v>
      </c>
      <c r="X99" s="5">
        <v>6.0100000000000001E-2</v>
      </c>
      <c r="Y99" s="5">
        <v>0.66849999999999998</v>
      </c>
      <c r="AC99" s="5" t="s">
        <v>168</v>
      </c>
    </row>
    <row r="100" spans="1:29" s="6" customFormat="1" x14ac:dyDescent="0.35">
      <c r="A100" s="6" t="s">
        <v>50</v>
      </c>
      <c r="B100" s="6" t="s">
        <v>83</v>
      </c>
      <c r="C100" s="6" t="s">
        <v>170</v>
      </c>
      <c r="D100" s="6" t="s">
        <v>24</v>
      </c>
      <c r="P100" s="6">
        <v>5625</v>
      </c>
      <c r="Q100" s="6">
        <v>1.31</v>
      </c>
      <c r="R100" s="6">
        <v>5.3399999999999997E-4</v>
      </c>
      <c r="S100" s="6">
        <v>1</v>
      </c>
      <c r="V100" s="6">
        <f>54+273.15</f>
        <v>327.14999999999998</v>
      </c>
      <c r="W100" s="6">
        <f>88+273.15</f>
        <v>361.15</v>
      </c>
      <c r="AC100" s="6" t="s">
        <v>169</v>
      </c>
    </row>
    <row r="101" spans="1:29" s="6" customFormat="1" x14ac:dyDescent="0.35">
      <c r="A101" s="6" t="s">
        <v>50</v>
      </c>
      <c r="B101" s="6" t="s">
        <v>83</v>
      </c>
      <c r="C101" s="6" t="s">
        <v>171</v>
      </c>
      <c r="D101" s="6" t="s">
        <v>24</v>
      </c>
      <c r="P101" s="6">
        <v>8500</v>
      </c>
      <c r="Q101" s="6">
        <v>2</v>
      </c>
      <c r="R101" s="6">
        <v>2.5799999999999998E-4</v>
      </c>
      <c r="S101" s="6">
        <v>1</v>
      </c>
      <c r="V101" s="6">
        <f>273.15+91</f>
        <v>364.15</v>
      </c>
      <c r="W101" s="6">
        <f>273.15+91</f>
        <v>364.15</v>
      </c>
      <c r="AC101" s="6" t="s">
        <v>169</v>
      </c>
    </row>
    <row r="102" spans="1:29" s="6" customFormat="1" x14ac:dyDescent="0.35">
      <c r="A102" s="6" t="s">
        <v>50</v>
      </c>
      <c r="B102" s="6" t="s">
        <v>83</v>
      </c>
      <c r="C102" s="6" t="s">
        <v>172</v>
      </c>
      <c r="D102" s="6" t="s">
        <v>24</v>
      </c>
      <c r="P102" s="6">
        <v>7100</v>
      </c>
      <c r="Q102" s="6">
        <v>2.15</v>
      </c>
      <c r="R102" s="6">
        <v>4.2700000000000002E-4</v>
      </c>
      <c r="S102" s="6">
        <v>1</v>
      </c>
      <c r="V102" s="6">
        <f>263.15</f>
        <v>263.14999999999998</v>
      </c>
      <c r="W102" s="6">
        <f>393.15</f>
        <v>393.15</v>
      </c>
      <c r="AC102" s="6" t="s">
        <v>169</v>
      </c>
    </row>
    <row r="103" spans="1:29" s="6" customFormat="1" x14ac:dyDescent="0.35">
      <c r="A103" s="6" t="s">
        <v>50</v>
      </c>
      <c r="B103" s="6" t="s">
        <v>83</v>
      </c>
      <c r="C103" s="6" t="s">
        <v>120</v>
      </c>
      <c r="D103" s="6" t="s">
        <v>24</v>
      </c>
      <c r="P103" s="6">
        <v>6700</v>
      </c>
      <c r="Q103" s="6">
        <v>1.45</v>
      </c>
      <c r="R103" s="6">
        <v>4.1399999999999998E-4</v>
      </c>
      <c r="S103" s="6">
        <v>1</v>
      </c>
      <c r="V103" s="6">
        <f>38+273.15</f>
        <v>311.14999999999998</v>
      </c>
      <c r="W103" s="6">
        <f>107+293.15</f>
        <v>400.15</v>
      </c>
      <c r="AC103" s="6" t="s">
        <v>169</v>
      </c>
    </row>
    <row r="104" spans="1:29" s="6" customFormat="1" x14ac:dyDescent="0.35">
      <c r="A104" s="6" t="s">
        <v>50</v>
      </c>
      <c r="B104" s="6" t="s">
        <v>83</v>
      </c>
      <c r="C104" s="6" t="s">
        <v>173</v>
      </c>
      <c r="D104" s="6" t="s">
        <v>24</v>
      </c>
      <c r="P104" s="6">
        <v>7800</v>
      </c>
      <c r="Q104" s="6">
        <v>2</v>
      </c>
      <c r="R104" s="6">
        <v>4.15E-4</v>
      </c>
      <c r="S104" s="6">
        <v>1</v>
      </c>
      <c r="V104" s="6">
        <v>293.14999999999998</v>
      </c>
      <c r="W104" s="6">
        <v>293.14999999999998</v>
      </c>
      <c r="AC104" s="6" t="s">
        <v>169</v>
      </c>
    </row>
    <row r="105" spans="1:29" s="6" customFormat="1" x14ac:dyDescent="0.35">
      <c r="A105" s="6" t="s">
        <v>101</v>
      </c>
      <c r="B105" s="6" t="s">
        <v>83</v>
      </c>
      <c r="C105" s="6" t="s">
        <v>174</v>
      </c>
      <c r="D105" s="6" t="s">
        <v>24</v>
      </c>
      <c r="F105" s="6">
        <v>1.9999999999999999E-6</v>
      </c>
      <c r="J105" s="6">
        <v>900</v>
      </c>
      <c r="K105" s="6">
        <v>0.88</v>
      </c>
      <c r="M105" s="6">
        <v>510</v>
      </c>
      <c r="P105" s="6">
        <v>9575</v>
      </c>
      <c r="Q105" s="6">
        <v>1.83</v>
      </c>
      <c r="R105" s="6">
        <v>1.68</v>
      </c>
      <c r="S105" s="6">
        <v>-1</v>
      </c>
      <c r="V105" s="6">
        <v>293.14999999999998</v>
      </c>
      <c r="W105" s="6">
        <v>363.15</v>
      </c>
      <c r="AC105" s="6" t="s">
        <v>175</v>
      </c>
    </row>
  </sheetData>
  <autoFilter ref="A1:AC105" xr:uid="{00000000-0001-0000-0000-000000000000}"/>
  <phoneticPr fontId="18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DubininAstakhov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Mirko Engelpracht</cp:lastModifiedBy>
  <dcterms:created xsi:type="dcterms:W3CDTF">2020-03-08T11:54:55Z</dcterms:created>
  <dcterms:modified xsi:type="dcterms:W3CDTF">2021-07-11T09:44:09Z</dcterms:modified>
</cp:coreProperties>
</file>