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791" documentId="8_{5C6B0FED-E830-41ED-9B72-9196984C427E}" xr6:coauthVersionLast="47" xr6:coauthVersionMax="47" xr10:uidLastSave="{AE99A5AA-F470-49ED-B58C-96A6972EB8DB}"/>
  <bookViews>
    <workbookView xWindow="-22597" yWindow="-98" windowWidth="22695" windowHeight="14595" xr2:uid="{00000000-000D-0000-FFFF-FFFF00000000}"/>
  </bookViews>
  <sheets>
    <sheet name="SaturatedLiquidDensity_E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1" l="1"/>
  <c r="K47" i="1"/>
  <c r="Y47" i="1"/>
  <c r="Q46" i="1"/>
  <c r="M46" i="1"/>
  <c r="K46" i="1"/>
  <c r="Y46" i="1"/>
  <c r="Q48" i="1"/>
  <c r="M48" i="1"/>
  <c r="K48" i="1"/>
  <c r="Y48" i="1"/>
  <c r="P44" i="1"/>
  <c r="N44" i="1"/>
  <c r="L44" i="1"/>
  <c r="J44" i="1"/>
  <c r="P28" i="1"/>
  <c r="N28" i="1"/>
  <c r="L28" i="1"/>
  <c r="J28" i="1"/>
  <c r="P22" i="1"/>
  <c r="N22" i="1"/>
  <c r="L22" i="1"/>
  <c r="J22" i="1"/>
  <c r="P19" i="1"/>
  <c r="N19" i="1"/>
  <c r="L19" i="1"/>
  <c r="J19" i="1"/>
  <c r="P15" i="1"/>
  <c r="N15" i="1"/>
  <c r="L15" i="1"/>
  <c r="J15" i="1"/>
  <c r="P8" i="1"/>
  <c r="N8" i="1"/>
  <c r="L8" i="1"/>
  <c r="J8" i="1"/>
  <c r="P45" i="1"/>
  <c r="N45" i="1"/>
  <c r="L45" i="1"/>
  <c r="J45" i="1"/>
  <c r="P16" i="1"/>
  <c r="N16" i="1"/>
  <c r="L16" i="1"/>
  <c r="J16" i="1"/>
  <c r="P49" i="1"/>
  <c r="N49" i="1"/>
  <c r="L49" i="1"/>
  <c r="J49" i="1"/>
  <c r="P41" i="1"/>
  <c r="N41" i="1"/>
  <c r="L41" i="1"/>
  <c r="J41" i="1"/>
  <c r="P39" i="1"/>
  <c r="N39" i="1"/>
  <c r="L39" i="1"/>
  <c r="J39" i="1"/>
  <c r="P32" i="1"/>
  <c r="N32" i="1"/>
  <c r="L32" i="1"/>
  <c r="J32" i="1"/>
  <c r="P20" i="1"/>
  <c r="N20" i="1"/>
  <c r="L20" i="1"/>
  <c r="J20" i="1"/>
  <c r="P10" i="1"/>
  <c r="N10" i="1"/>
  <c r="L10" i="1"/>
  <c r="J10" i="1"/>
  <c r="Y4" i="1"/>
  <c r="P4" i="1"/>
  <c r="Q4" i="1"/>
  <c r="N4" i="1"/>
  <c r="M4" i="1"/>
  <c r="L4" i="1"/>
  <c r="J4" i="1"/>
  <c r="P27" i="1"/>
  <c r="N27" i="1"/>
  <c r="L27" i="1"/>
  <c r="J27" i="1"/>
  <c r="P25" i="1"/>
  <c r="N25" i="1"/>
  <c r="L25" i="1"/>
  <c r="J25" i="1"/>
  <c r="F43" i="1"/>
  <c r="F42" i="1"/>
  <c r="F38" i="1"/>
  <c r="F35" i="1"/>
  <c r="F33" i="1"/>
  <c r="F17" i="1"/>
  <c r="F9" i="1"/>
  <c r="P12" i="1"/>
  <c r="N12" i="1"/>
  <c r="L12" i="1"/>
  <c r="J12" i="1"/>
  <c r="P6" i="1"/>
  <c r="N6" i="1"/>
  <c r="L6" i="1"/>
  <c r="J6" i="1"/>
  <c r="P30" i="1"/>
  <c r="N30" i="1"/>
  <c r="L30" i="1"/>
  <c r="J30" i="1"/>
  <c r="J31" i="1"/>
  <c r="L31" i="1"/>
  <c r="N31" i="1"/>
  <c r="P24" i="1"/>
  <c r="N24" i="1"/>
  <c r="L24" i="1"/>
  <c r="J24" i="1"/>
  <c r="J14" i="1"/>
  <c r="L14" i="1"/>
  <c r="N14" i="1"/>
  <c r="P14" i="1"/>
  <c r="P51" i="1"/>
  <c r="N51" i="1"/>
  <c r="L51" i="1"/>
  <c r="J5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9" i="1"/>
  <c r="Y50" i="1"/>
  <c r="Y51" i="1"/>
  <c r="Y3" i="1"/>
  <c r="Q40" i="1"/>
  <c r="O40" i="1"/>
  <c r="M40" i="1"/>
  <c r="K40" i="1"/>
  <c r="O38" i="1"/>
  <c r="M38" i="1"/>
  <c r="K38" i="1"/>
  <c r="Q37" i="1"/>
  <c r="M37" i="1"/>
  <c r="K37" i="1"/>
  <c r="K35" i="1"/>
  <c r="Q33" i="1"/>
  <c r="M33" i="1"/>
  <c r="O26" i="1"/>
  <c r="M26" i="1"/>
  <c r="K26" i="1"/>
  <c r="M7" i="1"/>
  <c r="K7" i="1"/>
  <c r="Q51" i="1"/>
  <c r="M51" i="1"/>
  <c r="Q49" i="1"/>
  <c r="M49" i="1"/>
  <c r="Q45" i="1"/>
  <c r="M45" i="1"/>
  <c r="Q44" i="1"/>
  <c r="M44" i="1"/>
  <c r="Q41" i="1"/>
  <c r="M41" i="1"/>
  <c r="Q39" i="1"/>
  <c r="M39" i="1"/>
  <c r="Q32" i="1"/>
  <c r="M32" i="1"/>
  <c r="Q31" i="1"/>
  <c r="M31" i="1"/>
  <c r="Q30" i="1"/>
  <c r="M30" i="1"/>
  <c r="Q28" i="1"/>
  <c r="M28" i="1"/>
  <c r="Q27" i="1"/>
  <c r="M27" i="1"/>
  <c r="Q25" i="1"/>
  <c r="M25" i="1"/>
  <c r="Q24" i="1"/>
  <c r="M24" i="1"/>
  <c r="Q22" i="1"/>
  <c r="M22" i="1"/>
  <c r="Q20" i="1"/>
  <c r="M20" i="1"/>
  <c r="Q19" i="1"/>
  <c r="M19" i="1"/>
  <c r="Q18" i="1"/>
  <c r="M18" i="1"/>
  <c r="Q16" i="1"/>
  <c r="M16" i="1"/>
  <c r="Q15" i="1"/>
  <c r="M15" i="1"/>
  <c r="Q14" i="1"/>
  <c r="M14" i="1"/>
  <c r="Q12" i="1"/>
  <c r="M12" i="1"/>
  <c r="Q10" i="1"/>
  <c r="M10" i="1"/>
  <c r="Q8" i="1"/>
  <c r="M8" i="1"/>
  <c r="Q6" i="1"/>
  <c r="M6" i="1"/>
  <c r="Q5" i="1"/>
  <c r="M5" i="1"/>
</calcChain>
</file>

<file path=xl/sharedStrings.xml><?xml version="1.0" encoding="utf-8"?>
<sst xmlns="http://schemas.openxmlformats.org/spreadsheetml/2006/main" count="299" uniqueCount="92">
  <si>
    <t>refrigerant</t>
  </si>
  <si>
    <t>sorbent</t>
  </si>
  <si>
    <t>sorbent-subtype</t>
  </si>
  <si>
    <t>type</t>
  </si>
  <si>
    <t>literature</t>
  </si>
  <si>
    <t>in -</t>
  </si>
  <si>
    <t>in K</t>
  </si>
  <si>
    <t>-</t>
  </si>
  <si>
    <t>in kg/m3</t>
  </si>
  <si>
    <t>dum_sorb</t>
  </si>
  <si>
    <t>dum_subtype</t>
  </si>
  <si>
    <t>refrig</t>
  </si>
  <si>
    <t>T_crit</t>
  </si>
  <si>
    <t>fac1</t>
  </si>
  <si>
    <t>exp1</t>
  </si>
  <si>
    <t>fac2</t>
  </si>
  <si>
    <t>exp2</t>
  </si>
  <si>
    <t>fac3</t>
  </si>
  <si>
    <t>exp3</t>
  </si>
  <si>
    <t>fac4</t>
  </si>
  <si>
    <t>exp4</t>
  </si>
  <si>
    <t>fac5</t>
  </si>
  <si>
    <t>exp5</t>
  </si>
  <si>
    <t>fac6</t>
  </si>
  <si>
    <t>exp6</t>
  </si>
  <si>
    <t>rho_crit</t>
  </si>
  <si>
    <t>flag</t>
  </si>
  <si>
    <t>fac7</t>
  </si>
  <si>
    <t>exp7</t>
  </si>
  <si>
    <t>fac8</t>
  </si>
  <si>
    <t>exp8</t>
  </si>
  <si>
    <t>2-Propanol</t>
  </si>
  <si>
    <t>Acetone</t>
  </si>
  <si>
    <t>Ammonia</t>
  </si>
  <si>
    <t>Argon</t>
  </si>
  <si>
    <t>Benzene</t>
  </si>
  <si>
    <t>Butane</t>
  </si>
  <si>
    <t>Cyclohexane</t>
  </si>
  <si>
    <t>Cyclohexene</t>
  </si>
  <si>
    <t>Ethanol</t>
  </si>
  <si>
    <t>Hexane</t>
  </si>
  <si>
    <t>Isobutane</t>
  </si>
  <si>
    <t>Krypton</t>
  </si>
  <si>
    <t>Methane</t>
  </si>
  <si>
    <t>Methanol</t>
  </si>
  <si>
    <t>Nitrogen</t>
  </si>
  <si>
    <t>Oxygen</t>
  </si>
  <si>
    <t>Propane</t>
  </si>
  <si>
    <t>R-12</t>
  </si>
  <si>
    <t>R-123</t>
  </si>
  <si>
    <t xml:space="preserve">R-1234ze(E) </t>
  </si>
  <si>
    <t>R-125</t>
  </si>
  <si>
    <t>R-134a</t>
  </si>
  <si>
    <t>R-142b</t>
  </si>
  <si>
    <t>R-143a</t>
  </si>
  <si>
    <t>R-22</t>
  </si>
  <si>
    <t xml:space="preserve">R-227ea </t>
  </si>
  <si>
    <t>R-23</t>
  </si>
  <si>
    <t>R-32</t>
  </si>
  <si>
    <t>Toluene</t>
  </si>
  <si>
    <t>Water</t>
  </si>
  <si>
    <t>CarbonDioxide</t>
  </si>
  <si>
    <t>EthyleneGlycol</t>
  </si>
  <si>
    <t>Verein Deutscher Ingenieure (2010): VDI Heat Atlas. 2. Ed. Heidelberg: Springer. Online: http://dx.doi.org/10.1007/978-3-540-77877-6.</t>
  </si>
  <si>
    <t>Span, Roland; Wagner, Wolfgang (1996): A New Equation of State for Carbon Dioxide Covering the Fluid Region from the Triple‐Point Temperature to 1100 K at Pressures up to 800 MPa. In: Journal of Physical and Chemical Reference Data 25 (6), S. 1509–1596. DOI: 10.1063/1.555991.</t>
  </si>
  <si>
    <t>Miyamoto, H.; Watanabe, K. (2002): A Thermodynamic Property Model for Fluid-Phase Isobutane. In: International Journal of Thermophysics 23 (2), S. 477–499. DOI: 10.1023/A:1015161519954.</t>
  </si>
  <si>
    <t>Setzmann, U.; Wagner, W. (1991): A New Equation of State and Tables of Thermodynamic Properties for Methane Covering the Range from the Melting Line to 625 K at Pressures up to 100 MPa. In: Journal of Physical and Chemical Reference Data 20 (6), S. 1061–1155. DOI: 10.1063/1.555898.</t>
  </si>
  <si>
    <t>Lemmon, Eric W.; McLinden, Mark O.; Wagner, Wolfgang (2009): Thermodynamic Properties of Propane. III. A Reference Equation of State for Temperatures from the Melting Line to 650 K and Pressures up to 1000 MPa. In: J. Chem. Eng. Data 54 (12), S. 3141–3180. DOI: 10.1021/je900217v.</t>
  </si>
  <si>
    <t>Tillner-Roth, Reiner; Baehr, Hans Dieter (1994): An International Standard Formulation for the Thermodynamic Properties of 1,1,1,2‐Tetrafluoroethane (HFC‐134a) for Temperatures from 170 K to 455 K and Pressures up to 70 MPa. In: Journal of Physical and Chemical Reference Data 23 (5), S. 657–729. DOI: 10.1063/1.555958.</t>
  </si>
  <si>
    <t>Wagner, W.; Pruß, A. (2002): The IAPWS Formulation 1995 for the Thermodynamic Properties of Ordinary Water Substance for General and Scientific Use. In: Journal of Physical and Chemical Reference Data 31 (2), S. 387–535. DOI: 10.1063/1.1461829.</t>
  </si>
  <si>
    <t>Scalabrin, G.; Stringari, P. (2009): A Fundamental Equation of State for 2-propanol (C3H8O) in the Extended Equation of State Format. In: Journal of Physical and Chemical Reference Data 38 (2), S. 127–170. DOI: 10.1063/1.3112608.</t>
  </si>
  <si>
    <t>Tegeler, Ch.; Span, Roland; Wagner, Wolfgang (1999): A New Equation of State for Argon Covering the Fluid Region for Temperatures From the Melting Line to 700 K at Pressures up to 1000 MPa. In: Journal of Physical and Chemical Reference Data 28 (3), S. 779–850. DOI: 10.1063/1.556037.</t>
  </si>
  <si>
    <t>Goodwin, Robert D. (1988): Benzene Thermophysical Properties from 279 to 900 K at Pressures to 1000 Bar. In: Journal of Physical and Chemical Reference Data 17 (4), S. 1541–1636. DOI: 10.1063/1.555813.</t>
  </si>
  <si>
    <t>Bücker, D.; Wagner, W. (2006): Reference Equations of State for the Thermodynamic Properties of Fluid Phase n-Butane and Isobutane. In: Journal of Physical and Chemical Reference Data 35 (2), S. 929–1019. DOI: 10.1063/1.1901687.</t>
  </si>
  <si>
    <t>Schroeder, J. A.; Penoncello, S. G.; Schroeder, J. S. (2014): A Fundamental Equation of State for Ethanol. In: Journal of Physical and Chemical Reference Data 43 (4), S. 43102. DOI: 10.1063/1.4895394.</t>
  </si>
  <si>
    <t>Span, Roland; Lemmon, Eric W.; Jacobsen, Richard T.; Wagner, Wolfgang; Yokozeki, Akimichi (2000): A Reference Equation of State for the Thermodynamic Properties of Nitrogen for Temperatures from 63.151 to 1000 K and Pressures to 2200 MPa. In: Journal of Physical and Chemical Reference Data 29 (6), S. 1361–1433. DOI: 10.1063/1.1349047.</t>
  </si>
  <si>
    <t>Younglove, Ben A.; McLinden, Mark O. (1994): An International Standard Equation of State for the Thermodynamic Properties of Refrigerant 123 (2,2‐Dichloro‐1,1,1‐Trifluoroethane). In: Journal of Physical and Chemical Reference Data 23 (5), S. 731–779. DOI: 10.1063/1.555950.</t>
  </si>
  <si>
    <t>Thol, Monika; Lemmon, Eric W. (2016): Equation of State for the Thermodynamic Properties of trans-1,3,3,3-Tetrafluoropropene [R-1234ze(E)]. In: Int J Thermophys 37 (3), S. 3710. DOI: 10.1007/s10765-016-2040-6.</t>
  </si>
  <si>
    <t>Lemmon, Eric W.; Jacobsen, Richard T. (2005): A New Functional Form and New Fitting Techniques for Equations of State with Application to Pentafluoroethane (HFC-125). In: Journal of Physical and Chemical Reference Data 34 (1), S. 69–108. DOI: 10.1063/1.1797813.</t>
  </si>
  <si>
    <t>McLinden, M. O.: Physical Properties of Alternatives to the Fully Halogenated Chlorofluorocarbons.</t>
  </si>
  <si>
    <t>Lemmon, Eric W.; Jacobsen, Richard T. (2000): An International Standard Formulation for the Thermodynamic Properties of 1,1,1-Trifluoroethane (HFC-143a) for Temperatures From 161 to 450 K and Pressures to 50 MPa. In: Journal of Physical and Chemical Reference Data 29 (4), S. 521–552. DOI: 10.1063/1.1318909.</t>
  </si>
  <si>
    <t>Wagner, W.; Marx, V.; Pruβ, A. (1993): A new equation of state for chlorodifluoromethane (R22) covering the entire fluid region from 116 K to 550 K at pressures up to 200 MPa. In: International Journal of Refrigeration 16 (6), S. 373–389. DOI: 10.1016/0140-7007(93)90055-D.</t>
  </si>
  <si>
    <t>Lemmon, Eric W.; Span, Roland (2015): Thermodynamic Properties of R-227ea, R-365mfc, R-115, and R-13I1. In: J. Chem. Eng. Data 60 (12), S. 3745–3758. DOI: 10.1021/acs.jced.5b00684.</t>
  </si>
  <si>
    <t>Penoncello, Steven G.; Lemmon, Eric W.; Jacobsen, Richard T.; Shan, Zhengjun (2003): A Fundamental Equation for Trifluoromethane (R-23). In: Journal of Physical and Chemical Reference Data 32 (4), S. 1473–1499. DOI: 10.1063/1.1559671.</t>
  </si>
  <si>
    <t>validity-temperature-min</t>
  </si>
  <si>
    <t>validity-temperature-max</t>
  </si>
  <si>
    <t>Propylene</t>
  </si>
  <si>
    <t>R-410a</t>
  </si>
  <si>
    <t>Online: https://www.freon.com/en/-/media/files/freon/freon-410a-si-thermodynamic-properties.pdf?rev=6b72bfaa299142d697540982b88a56eb</t>
  </si>
  <si>
    <t>R-404a</t>
  </si>
  <si>
    <t>R-407c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</si>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</sst>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zoomScaleNormal="100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Z3" sqref="Z3"/>
    </sheetView>
  </sheetViews>
  <sheetFormatPr baseColWidth="10" defaultRowHeight="14.5" x14ac:dyDescent="0.35"/>
  <cols>
    <col min="1" max="1" width="12.90625" bestFit="1" customWidth="1"/>
    <col min="2" max="2" width="9.36328125" bestFit="1" customWidth="1"/>
    <col min="3" max="3" width="14.7265625" bestFit="1" customWidth="1"/>
    <col min="4" max="4" width="5.26953125" bestFit="1" customWidth="1"/>
    <col min="5" max="5" width="17.6328125" customWidth="1"/>
    <col min="6" max="6" width="16.54296875" bestFit="1" customWidth="1"/>
    <col min="7" max="8" width="17.1796875" bestFit="1" customWidth="1"/>
    <col min="9" max="9" width="16.54296875" bestFit="1" customWidth="1"/>
    <col min="10" max="10" width="17.1796875" bestFit="1" customWidth="1"/>
    <col min="11" max="11" width="16.453125" bestFit="1" customWidth="1"/>
    <col min="12" max="12" width="17.1796875" bestFit="1" customWidth="1"/>
    <col min="13" max="13" width="16.54296875" bestFit="1" customWidth="1"/>
    <col min="14" max="14" width="17.1796875" bestFit="1" customWidth="1"/>
    <col min="15" max="15" width="16.54296875" bestFit="1" customWidth="1"/>
    <col min="16" max="16" width="17.1796875" bestFit="1" customWidth="1"/>
    <col min="17" max="17" width="16.54296875" bestFit="1" customWidth="1"/>
    <col min="18" max="18" width="17.1796875" bestFit="1" customWidth="1"/>
    <col min="19" max="19" width="16.54296875" bestFit="1" customWidth="1"/>
    <col min="20" max="20" width="17.1796875" bestFit="1" customWidth="1"/>
    <col min="21" max="21" width="16.54296875" bestFit="1" customWidth="1"/>
    <col min="22" max="22" width="18.6328125" bestFit="1" customWidth="1"/>
    <col min="23" max="23" width="19" bestFit="1" customWidth="1"/>
    <col min="24" max="26" width="19" customWidth="1"/>
    <col min="27" max="27" width="239.5429687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25</v>
      </c>
      <c r="G1" s="1" t="s">
        <v>26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84</v>
      </c>
      <c r="Y1" s="1" t="s">
        <v>85</v>
      </c>
      <c r="Z1" s="1" t="s">
        <v>91</v>
      </c>
      <c r="AA1" s="1" t="s">
        <v>4</v>
      </c>
    </row>
    <row r="2" spans="1:27" x14ac:dyDescent="0.35">
      <c r="A2" s="2" t="s">
        <v>7</v>
      </c>
      <c r="B2" s="2" t="s">
        <v>7</v>
      </c>
      <c r="C2" s="2" t="s">
        <v>7</v>
      </c>
      <c r="D2" s="2" t="s">
        <v>7</v>
      </c>
      <c r="E2" s="2" t="s">
        <v>6</v>
      </c>
      <c r="F2" s="2" t="s">
        <v>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5</v>
      </c>
      <c r="S2" s="2" t="s">
        <v>5</v>
      </c>
      <c r="T2" s="2" t="s">
        <v>5</v>
      </c>
      <c r="U2" s="2" t="s">
        <v>5</v>
      </c>
      <c r="V2" s="2" t="s">
        <v>5</v>
      </c>
      <c r="W2" s="2" t="s">
        <v>5</v>
      </c>
      <c r="X2" s="2" t="s">
        <v>6</v>
      </c>
      <c r="Y2" s="2" t="s">
        <v>6</v>
      </c>
      <c r="Z2" s="5" t="s">
        <v>7</v>
      </c>
      <c r="AA2" s="2" t="s">
        <v>7</v>
      </c>
    </row>
    <row r="3" spans="1:27" x14ac:dyDescent="0.35">
      <c r="A3" s="3" t="s">
        <v>31</v>
      </c>
      <c r="B3" s="3" t="s">
        <v>9</v>
      </c>
      <c r="C3" s="3" t="s">
        <v>10</v>
      </c>
      <c r="D3" s="3" t="s">
        <v>11</v>
      </c>
      <c r="E3" s="4">
        <v>508.3</v>
      </c>
      <c r="F3" s="4">
        <v>271</v>
      </c>
      <c r="G3" s="4">
        <v>-1</v>
      </c>
      <c r="H3" s="4">
        <v>-3.576E-2</v>
      </c>
      <c r="I3" s="4">
        <v>3.0000000000000001E-3</v>
      </c>
      <c r="J3" s="4">
        <v>-2.9550000000000002E-3</v>
      </c>
      <c r="K3" s="4">
        <v>0.26</v>
      </c>
      <c r="L3" s="4">
        <v>1.4458599999999999</v>
      </c>
      <c r="M3" s="4">
        <v>0.27</v>
      </c>
      <c r="N3" s="4">
        <v>-0.25473099999999999</v>
      </c>
      <c r="O3" s="4">
        <v>2.0299999999999998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184.9</v>
      </c>
      <c r="Y3" s="4">
        <f>E3</f>
        <v>508.3</v>
      </c>
      <c r="Z3" s="4"/>
      <c r="AA3" s="3" t="s">
        <v>70</v>
      </c>
    </row>
    <row r="4" spans="1:27" x14ac:dyDescent="0.35">
      <c r="A4" s="3" t="s">
        <v>31</v>
      </c>
      <c r="B4" s="3" t="s">
        <v>9</v>
      </c>
      <c r="C4" s="3" t="s">
        <v>10</v>
      </c>
      <c r="D4" s="3" t="s">
        <v>11</v>
      </c>
      <c r="E4" s="4">
        <v>508.25</v>
      </c>
      <c r="F4" s="4">
        <v>273</v>
      </c>
      <c r="G4" s="4">
        <v>1</v>
      </c>
      <c r="H4" s="4">
        <v>1</v>
      </c>
      <c r="I4" s="4">
        <v>0</v>
      </c>
      <c r="J4" s="4">
        <f>865.9165/F4</f>
        <v>3.1718553113553116</v>
      </c>
      <c r="K4" s="4">
        <v>0.35</v>
      </c>
      <c r="L4" s="4">
        <f>-744.0943/F4</f>
        <v>-2.7256201465201464</v>
      </c>
      <c r="M4" s="4">
        <f>2/3</f>
        <v>0.66666666666666663</v>
      </c>
      <c r="N4" s="4">
        <f>975.9052/F4</f>
        <v>3.5747443223443223</v>
      </c>
      <c r="O4" s="4">
        <v>1</v>
      </c>
      <c r="P4" s="4">
        <f>-381.1278/F4</f>
        <v>-1.3960725274725274</v>
      </c>
      <c r="Q4" s="4">
        <f>4/3</f>
        <v>1.3333333333333333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184.9</v>
      </c>
      <c r="Y4" s="4">
        <f>E4</f>
        <v>508.25</v>
      </c>
      <c r="Z4" s="4"/>
      <c r="AA4" s="3" t="s">
        <v>63</v>
      </c>
    </row>
    <row r="5" spans="1:27" x14ac:dyDescent="0.35">
      <c r="A5" s="3" t="s">
        <v>32</v>
      </c>
      <c r="B5" s="3" t="s">
        <v>9</v>
      </c>
      <c r="C5" s="3" t="s">
        <v>10</v>
      </c>
      <c r="D5" s="3" t="s">
        <v>11</v>
      </c>
      <c r="E5" s="4">
        <v>508.1</v>
      </c>
      <c r="F5" s="4">
        <v>274</v>
      </c>
      <c r="G5" s="4">
        <v>1</v>
      </c>
      <c r="H5" s="4">
        <v>1</v>
      </c>
      <c r="I5" s="4">
        <v>0</v>
      </c>
      <c r="J5" s="4">
        <v>1.9977445255474451</v>
      </c>
      <c r="K5" s="4">
        <v>0.35</v>
      </c>
      <c r="L5" s="4">
        <v>0.76183211678832108</v>
      </c>
      <c r="M5" s="4">
        <f>2/3</f>
        <v>0.66666666666666663</v>
      </c>
      <c r="N5" s="4">
        <v>-0.74364927007299264</v>
      </c>
      <c r="O5" s="4">
        <v>1</v>
      </c>
      <c r="P5" s="4">
        <v>0.92698394160583941</v>
      </c>
      <c r="Q5" s="4">
        <f>4/3</f>
        <v>1.3333333333333333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178.5</v>
      </c>
      <c r="Y5" s="4">
        <f t="shared" ref="Y5:Y51" si="0">E5</f>
        <v>508.1</v>
      </c>
      <c r="Z5" s="4"/>
      <c r="AA5" s="3" t="s">
        <v>63</v>
      </c>
    </row>
    <row r="6" spans="1:27" x14ac:dyDescent="0.35">
      <c r="A6" s="3" t="s">
        <v>33</v>
      </c>
      <c r="B6" s="3" t="s">
        <v>9</v>
      </c>
      <c r="C6" s="3" t="s">
        <v>10</v>
      </c>
      <c r="D6" s="3" t="s">
        <v>11</v>
      </c>
      <c r="E6" s="4">
        <v>405.5</v>
      </c>
      <c r="F6" s="4">
        <v>225</v>
      </c>
      <c r="G6" s="4">
        <v>1</v>
      </c>
      <c r="H6" s="4">
        <v>1</v>
      </c>
      <c r="I6" s="4">
        <v>0</v>
      </c>
      <c r="J6" s="4">
        <f>531.7253/F6</f>
        <v>2.3632235555555554</v>
      </c>
      <c r="K6" s="4">
        <v>0.35</v>
      </c>
      <c r="L6" s="4">
        <f>-31.5027/F6</f>
        <v>-0.140012</v>
      </c>
      <c r="M6" s="4">
        <f t="shared" ref="M6:M20" si="1">2/3</f>
        <v>0.66666666666666663</v>
      </c>
      <c r="N6" s="4">
        <f>257.0928/F6</f>
        <v>1.1426346666666667</v>
      </c>
      <c r="O6" s="4">
        <v>1</v>
      </c>
      <c r="P6" s="4">
        <f>-63.9457/F6</f>
        <v>-0.28420311111111113</v>
      </c>
      <c r="Q6" s="4">
        <f t="shared" ref="Q6:Q20" si="2">4/3</f>
        <v>1.3333333333333333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195.49</v>
      </c>
      <c r="Y6" s="4">
        <f t="shared" si="0"/>
        <v>405.5</v>
      </c>
      <c r="Z6" s="4"/>
      <c r="AA6" s="3" t="s">
        <v>63</v>
      </c>
    </row>
    <row r="7" spans="1:27" x14ac:dyDescent="0.35">
      <c r="A7" s="3" t="s">
        <v>34</v>
      </c>
      <c r="B7" s="3" t="s">
        <v>9</v>
      </c>
      <c r="C7" s="3" t="s">
        <v>10</v>
      </c>
      <c r="D7" s="3" t="s">
        <v>11</v>
      </c>
      <c r="E7" s="4">
        <v>150.68700000000001</v>
      </c>
      <c r="F7" s="4">
        <v>535.6</v>
      </c>
      <c r="G7" s="4">
        <v>-1</v>
      </c>
      <c r="H7" s="4">
        <v>1.5004261999999999</v>
      </c>
      <c r="I7" s="4">
        <v>0.33400000000000002</v>
      </c>
      <c r="J7" s="4">
        <v>-0.31381290000000001</v>
      </c>
      <c r="K7" s="4">
        <f>2/3</f>
        <v>0.66666666666666663</v>
      </c>
      <c r="L7" s="4">
        <v>8.6461622000000002E-2</v>
      </c>
      <c r="M7" s="4">
        <f>7/3</f>
        <v>2.3333333333333335</v>
      </c>
      <c r="N7" s="4">
        <v>-4.1477525000000001E-2</v>
      </c>
      <c r="O7" s="4">
        <v>4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83.805999999999997</v>
      </c>
      <c r="Y7" s="4">
        <f t="shared" si="0"/>
        <v>150.68700000000001</v>
      </c>
      <c r="Z7" s="4"/>
      <c r="AA7" s="3" t="s">
        <v>71</v>
      </c>
    </row>
    <row r="8" spans="1:27" x14ac:dyDescent="0.35">
      <c r="A8" s="3" t="s">
        <v>34</v>
      </c>
      <c r="B8" s="3" t="s">
        <v>9</v>
      </c>
      <c r="C8" s="3" t="s">
        <v>10</v>
      </c>
      <c r="D8" s="3" t="s">
        <v>11</v>
      </c>
      <c r="E8" s="4">
        <v>150.69</v>
      </c>
      <c r="F8" s="4">
        <v>536</v>
      </c>
      <c r="G8" s="4">
        <v>1</v>
      </c>
      <c r="H8" s="4">
        <v>1</v>
      </c>
      <c r="I8" s="4">
        <v>0</v>
      </c>
      <c r="J8" s="4">
        <f>895.4345/F8</f>
        <v>1.6705867537313432</v>
      </c>
      <c r="K8" s="4">
        <v>0.35</v>
      </c>
      <c r="L8" s="4">
        <f>297.7907/F8</f>
        <v>0.55557966417910454</v>
      </c>
      <c r="M8" s="4">
        <f t="shared" si="1"/>
        <v>0.66666666666666663</v>
      </c>
      <c r="N8" s="4">
        <f>-15.9601/F8</f>
        <v>-2.9776305970149256E-2</v>
      </c>
      <c r="O8" s="4">
        <v>1</v>
      </c>
      <c r="P8" s="4">
        <f>119.8686/F8</f>
        <v>0.22363544776119404</v>
      </c>
      <c r="Q8" s="4">
        <f t="shared" si="2"/>
        <v>1.3333333333333333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83.805999999999997</v>
      </c>
      <c r="Y8" s="4">
        <f t="shared" si="0"/>
        <v>150.69</v>
      </c>
      <c r="Z8" s="4"/>
      <c r="AA8" s="3" t="s">
        <v>63</v>
      </c>
    </row>
    <row r="9" spans="1:27" x14ac:dyDescent="0.35">
      <c r="A9" s="3" t="s">
        <v>35</v>
      </c>
      <c r="B9" s="3" t="s">
        <v>9</v>
      </c>
      <c r="C9" s="3" t="s">
        <v>10</v>
      </c>
      <c r="D9" s="3" t="s">
        <v>11</v>
      </c>
      <c r="E9" s="4">
        <v>561.75</v>
      </c>
      <c r="F9" s="4">
        <f>3.9*0.07811*1000</f>
        <v>304.62899999999996</v>
      </c>
      <c r="G9" s="4">
        <v>1</v>
      </c>
      <c r="H9" s="4">
        <v>1</v>
      </c>
      <c r="I9" s="4">
        <v>0</v>
      </c>
      <c r="J9" s="4">
        <v>1.9600181999999999</v>
      </c>
      <c r="K9" s="4">
        <v>0.35</v>
      </c>
      <c r="L9" s="4">
        <v>1.0628812000000001</v>
      </c>
      <c r="M9" s="4">
        <v>1</v>
      </c>
      <c r="N9" s="4">
        <v>-1.585664</v>
      </c>
      <c r="O9" s="4">
        <v>2</v>
      </c>
      <c r="P9" s="4">
        <v>2.0926703999999998</v>
      </c>
      <c r="Q9" s="4">
        <v>3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278.67</v>
      </c>
      <c r="Y9" s="4">
        <f t="shared" si="0"/>
        <v>561.75</v>
      </c>
      <c r="Z9" s="4"/>
      <c r="AA9" s="3" t="s">
        <v>72</v>
      </c>
    </row>
    <row r="10" spans="1:27" x14ac:dyDescent="0.35">
      <c r="A10" s="3" t="s">
        <v>35</v>
      </c>
      <c r="B10" s="3" t="s">
        <v>9</v>
      </c>
      <c r="C10" s="3" t="s">
        <v>10</v>
      </c>
      <c r="D10" s="3" t="s">
        <v>11</v>
      </c>
      <c r="E10" s="4">
        <v>562.01</v>
      </c>
      <c r="F10" s="4">
        <v>306</v>
      </c>
      <c r="G10" s="4">
        <v>1</v>
      </c>
      <c r="H10" s="4">
        <v>1</v>
      </c>
      <c r="I10" s="4">
        <v>0</v>
      </c>
      <c r="J10" s="4">
        <f>502.4341/F10</f>
        <v>1.6419415032679738</v>
      </c>
      <c r="K10" s="4">
        <v>0.35</v>
      </c>
      <c r="L10" s="4">
        <f>531.598/F10</f>
        <v>1.7372483660130718</v>
      </c>
      <c r="M10" s="4">
        <f t="shared" si="1"/>
        <v>0.66666666666666663</v>
      </c>
      <c r="N10" s="4">
        <f>-663.9865/F10</f>
        <v>-2.169890522875817</v>
      </c>
      <c r="O10" s="4">
        <v>1</v>
      </c>
      <c r="P10" s="4">
        <f>469.5949/F10</f>
        <v>1.5346238562091503</v>
      </c>
      <c r="Q10" s="4">
        <f t="shared" si="2"/>
        <v>1.3333333333333333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278.67</v>
      </c>
      <c r="Y10" s="4">
        <f t="shared" si="0"/>
        <v>562.01</v>
      </c>
      <c r="Z10" s="4"/>
      <c r="AA10" s="3" t="s">
        <v>63</v>
      </c>
    </row>
    <row r="11" spans="1:27" x14ac:dyDescent="0.35">
      <c r="A11" s="3" t="s">
        <v>36</v>
      </c>
      <c r="B11" s="3" t="s">
        <v>9</v>
      </c>
      <c r="C11" s="3" t="s">
        <v>10</v>
      </c>
      <c r="D11" s="3" t="s">
        <v>11</v>
      </c>
      <c r="E11" s="4">
        <v>425.125</v>
      </c>
      <c r="F11" s="4">
        <v>228</v>
      </c>
      <c r="G11" s="4">
        <v>1</v>
      </c>
      <c r="H11" s="4">
        <v>1</v>
      </c>
      <c r="I11" s="4">
        <v>0</v>
      </c>
      <c r="J11" s="4">
        <v>1.97874515</v>
      </c>
      <c r="K11" s="4">
        <v>0.34499999999999997</v>
      </c>
      <c r="L11" s="4">
        <v>0.85679950999999999</v>
      </c>
      <c r="M11" s="4">
        <v>1</v>
      </c>
      <c r="N11" s="4">
        <v>-0.34187188699999999</v>
      </c>
      <c r="O11" s="4">
        <v>1.5</v>
      </c>
      <c r="P11" s="4">
        <v>0.30433755800000001</v>
      </c>
      <c r="Q11" s="4">
        <v>3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134.9</v>
      </c>
      <c r="Y11" s="4">
        <f t="shared" si="0"/>
        <v>425.125</v>
      </c>
      <c r="Z11" s="4"/>
      <c r="AA11" s="3" t="s">
        <v>73</v>
      </c>
    </row>
    <row r="12" spans="1:27" x14ac:dyDescent="0.35">
      <c r="A12" s="3" t="s">
        <v>36</v>
      </c>
      <c r="B12" s="3" t="s">
        <v>9</v>
      </c>
      <c r="C12" s="3" t="s">
        <v>10</v>
      </c>
      <c r="D12" s="3" t="s">
        <v>11</v>
      </c>
      <c r="E12" s="4">
        <v>425.13</v>
      </c>
      <c r="F12" s="4">
        <v>228</v>
      </c>
      <c r="G12" s="4">
        <v>1</v>
      </c>
      <c r="H12" s="4">
        <v>1</v>
      </c>
      <c r="I12" s="4">
        <v>0</v>
      </c>
      <c r="J12" s="4">
        <f>418.6986/F12</f>
        <v>1.8363973684210526</v>
      </c>
      <c r="K12" s="4">
        <v>0.35</v>
      </c>
      <c r="L12" s="4">
        <f>246.8434/F12</f>
        <v>1.0826464912280702</v>
      </c>
      <c r="M12" s="4">
        <f t="shared" si="1"/>
        <v>0.66666666666666663</v>
      </c>
      <c r="N12" s="4">
        <f>-317.6272/F12</f>
        <v>-1.393101754385965</v>
      </c>
      <c r="O12" s="4">
        <v>1</v>
      </c>
      <c r="P12" s="4">
        <f>274.8875/F12</f>
        <v>1.2056469298245613</v>
      </c>
      <c r="Q12" s="4">
        <f t="shared" si="2"/>
        <v>1.3333333333333333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134.9</v>
      </c>
      <c r="Y12" s="4">
        <f t="shared" si="0"/>
        <v>425.13</v>
      </c>
      <c r="Z12" s="4"/>
      <c r="AA12" s="3" t="s">
        <v>63</v>
      </c>
    </row>
    <row r="13" spans="1:27" x14ac:dyDescent="0.35">
      <c r="A13" s="3" t="s">
        <v>61</v>
      </c>
      <c r="B13" s="3" t="s">
        <v>9</v>
      </c>
      <c r="C13" s="3" t="s">
        <v>10</v>
      </c>
      <c r="D13" s="3" t="s">
        <v>11</v>
      </c>
      <c r="E13" s="4">
        <v>304.12819999999999</v>
      </c>
      <c r="F13" s="4">
        <v>467.6</v>
      </c>
      <c r="G13" s="4">
        <v>-1</v>
      </c>
      <c r="H13" s="4">
        <v>1.9245108</v>
      </c>
      <c r="I13" s="4">
        <v>0.34</v>
      </c>
      <c r="J13" s="4">
        <v>-0.62385555000000004</v>
      </c>
      <c r="K13" s="4">
        <v>0.5</v>
      </c>
      <c r="L13" s="4">
        <v>-0.32731126999999999</v>
      </c>
      <c r="M13" s="4">
        <v>1.6666666666666601</v>
      </c>
      <c r="N13" s="4">
        <v>0.39245142</v>
      </c>
      <c r="O13" s="4">
        <v>1.8333333333333299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216.59</v>
      </c>
      <c r="Y13" s="4">
        <f t="shared" si="0"/>
        <v>304.12819999999999</v>
      </c>
      <c r="Z13" s="4"/>
      <c r="AA13" s="3" t="s">
        <v>64</v>
      </c>
    </row>
    <row r="14" spans="1:27" x14ac:dyDescent="0.35">
      <c r="A14" s="3" t="s">
        <v>61</v>
      </c>
      <c r="B14" s="3" t="s">
        <v>9</v>
      </c>
      <c r="C14" s="3" t="s">
        <v>10</v>
      </c>
      <c r="D14" s="3" t="s">
        <v>11</v>
      </c>
      <c r="E14" s="4">
        <v>304.13</v>
      </c>
      <c r="F14" s="4">
        <v>468</v>
      </c>
      <c r="G14" s="4">
        <v>1</v>
      </c>
      <c r="H14" s="4">
        <v>1</v>
      </c>
      <c r="I14" s="4">
        <v>0</v>
      </c>
      <c r="J14" s="4">
        <f>897.8727/F14</f>
        <v>1.9185314102564104</v>
      </c>
      <c r="K14" s="4">
        <v>0.35</v>
      </c>
      <c r="L14" s="4">
        <f>170.041/F14</f>
        <v>0.36333547008547007</v>
      </c>
      <c r="M14" s="4">
        <f t="shared" si="1"/>
        <v>0.66666666666666663</v>
      </c>
      <c r="N14" s="4">
        <f>169.0516/F14</f>
        <v>0.36122136752136752</v>
      </c>
      <c r="O14" s="4">
        <v>1</v>
      </c>
      <c r="P14" s="4">
        <f>37.9218/F14</f>
        <v>8.1029487179487172E-2</v>
      </c>
      <c r="Q14" s="4">
        <f t="shared" si="2"/>
        <v>1.3333333333333333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216.59</v>
      </c>
      <c r="Y14" s="4">
        <f t="shared" si="0"/>
        <v>304.13</v>
      </c>
      <c r="Z14" s="4"/>
      <c r="AA14" s="3" t="s">
        <v>63</v>
      </c>
    </row>
    <row r="15" spans="1:27" x14ac:dyDescent="0.35">
      <c r="A15" s="3" t="s">
        <v>37</v>
      </c>
      <c r="B15" s="3" t="s">
        <v>9</v>
      </c>
      <c r="C15" s="3" t="s">
        <v>10</v>
      </c>
      <c r="D15" s="3" t="s">
        <v>11</v>
      </c>
      <c r="E15" s="4">
        <v>553.6</v>
      </c>
      <c r="F15" s="4">
        <v>273</v>
      </c>
      <c r="G15" s="4">
        <v>1</v>
      </c>
      <c r="H15" s="4">
        <v>1</v>
      </c>
      <c r="I15" s="4">
        <v>0</v>
      </c>
      <c r="J15" s="4">
        <f>373.9221/F15</f>
        <v>1.369678021978022</v>
      </c>
      <c r="K15" s="4">
        <v>0.35</v>
      </c>
      <c r="L15" s="4">
        <f>848.7461/F15</f>
        <v>3.1089600732600733</v>
      </c>
      <c r="M15" s="4">
        <f t="shared" si="1"/>
        <v>0.66666666666666663</v>
      </c>
      <c r="N15" s="4">
        <f>-1261.1653/F15</f>
        <v>-4.6196531135531131</v>
      </c>
      <c r="O15" s="4">
        <v>1</v>
      </c>
      <c r="P15" s="4">
        <f>815.8631/F15</f>
        <v>2.9885095238095238</v>
      </c>
      <c r="Q15" s="4">
        <f t="shared" si="2"/>
        <v>1.3333333333333333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279.86</v>
      </c>
      <c r="Y15" s="4">
        <f t="shared" si="0"/>
        <v>553.6</v>
      </c>
      <c r="Z15" s="4"/>
      <c r="AA15" s="3" t="s">
        <v>63</v>
      </c>
    </row>
    <row r="16" spans="1:27" x14ac:dyDescent="0.35">
      <c r="A16" s="3" t="s">
        <v>38</v>
      </c>
      <c r="B16" s="3" t="s">
        <v>9</v>
      </c>
      <c r="C16" s="3" t="s">
        <v>10</v>
      </c>
      <c r="D16" s="3" t="s">
        <v>11</v>
      </c>
      <c r="E16" s="4">
        <v>560.45000000000005</v>
      </c>
      <c r="F16" s="4">
        <v>282</v>
      </c>
      <c r="G16" s="4">
        <v>1</v>
      </c>
      <c r="H16" s="4">
        <v>1</v>
      </c>
      <c r="I16" s="4">
        <v>0</v>
      </c>
      <c r="J16" s="4">
        <f>599.5886/F16</f>
        <v>2.1262007092198583</v>
      </c>
      <c r="K16" s="4">
        <v>0.35</v>
      </c>
      <c r="L16" s="4">
        <f>-158.4142/F16</f>
        <v>-0.56175248226950347</v>
      </c>
      <c r="M16" s="4">
        <f t="shared" si="1"/>
        <v>0.66666666666666663</v>
      </c>
      <c r="N16" s="4">
        <f>433.0116/F16</f>
        <v>1.5355021276595744</v>
      </c>
      <c r="O16" s="4">
        <v>1</v>
      </c>
      <c r="P16" s="4">
        <f>-115.6832/F16</f>
        <v>-0.41022411347517729</v>
      </c>
      <c r="Q16" s="4">
        <f t="shared" si="2"/>
        <v>1.3333333333333333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223.15</v>
      </c>
      <c r="Y16" s="4">
        <f t="shared" si="0"/>
        <v>560.45000000000005</v>
      </c>
      <c r="Z16" s="4"/>
      <c r="AA16" s="3" t="s">
        <v>63</v>
      </c>
    </row>
    <row r="17" spans="1:27" x14ac:dyDescent="0.35">
      <c r="A17" s="3" t="s">
        <v>39</v>
      </c>
      <c r="B17" s="3" t="s">
        <v>9</v>
      </c>
      <c r="C17" s="3" t="s">
        <v>10</v>
      </c>
      <c r="D17" s="3" t="s">
        <v>11</v>
      </c>
      <c r="E17" s="4">
        <v>514.71</v>
      </c>
      <c r="F17" s="4">
        <f>5.93*0.04607*1000</f>
        <v>273.19509999999997</v>
      </c>
      <c r="G17" s="4">
        <v>1</v>
      </c>
      <c r="H17" s="4">
        <v>1</v>
      </c>
      <c r="I17" s="4">
        <v>0</v>
      </c>
      <c r="J17" s="4">
        <v>9.0092099999999995</v>
      </c>
      <c r="K17" s="4">
        <v>0.5</v>
      </c>
      <c r="L17" s="4">
        <v>-23.166799999999999</v>
      </c>
      <c r="M17" s="4">
        <v>0.8</v>
      </c>
      <c r="N17" s="4">
        <v>30.909199999999998</v>
      </c>
      <c r="O17" s="4">
        <v>1.1000000000000001</v>
      </c>
      <c r="P17" s="4">
        <v>-16.5459</v>
      </c>
      <c r="Q17" s="4">
        <v>1.5</v>
      </c>
      <c r="R17" s="4">
        <v>3.6429399999999998</v>
      </c>
      <c r="S17" s="4">
        <v>3.3</v>
      </c>
      <c r="T17" s="4">
        <v>0</v>
      </c>
      <c r="U17" s="4">
        <v>0</v>
      </c>
      <c r="V17" s="4">
        <v>0</v>
      </c>
      <c r="W17" s="4">
        <v>0</v>
      </c>
      <c r="X17" s="4">
        <v>159</v>
      </c>
      <c r="Y17" s="4">
        <f t="shared" si="0"/>
        <v>514.71</v>
      </c>
      <c r="Z17" s="4"/>
      <c r="AA17" s="3" t="s">
        <v>74</v>
      </c>
    </row>
    <row r="18" spans="1:27" x14ac:dyDescent="0.35">
      <c r="A18" s="3" t="s">
        <v>39</v>
      </c>
      <c r="B18" s="3" t="s">
        <v>9</v>
      </c>
      <c r="C18" s="3" t="s">
        <v>10</v>
      </c>
      <c r="D18" s="3" t="s">
        <v>11</v>
      </c>
      <c r="E18" s="4">
        <v>513.9</v>
      </c>
      <c r="F18" s="4">
        <v>276</v>
      </c>
      <c r="G18" s="4">
        <v>1</v>
      </c>
      <c r="H18" s="4">
        <v>1</v>
      </c>
      <c r="I18" s="4">
        <v>0</v>
      </c>
      <c r="J18" s="4">
        <v>2.7321861313868614</v>
      </c>
      <c r="K18" s="4">
        <v>0.35</v>
      </c>
      <c r="L18" s="4">
        <v>-1.5049799270072994</v>
      </c>
      <c r="M18" s="4">
        <f t="shared" si="1"/>
        <v>0.66666666666666663</v>
      </c>
      <c r="N18" s="4">
        <v>2.8337171532846717</v>
      </c>
      <c r="O18" s="4">
        <v>1</v>
      </c>
      <c r="P18" s="4">
        <v>-1.5937058394160586</v>
      </c>
      <c r="Q18" s="4">
        <f t="shared" si="2"/>
        <v>1.3333333333333333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159</v>
      </c>
      <c r="Y18" s="4">
        <f t="shared" si="0"/>
        <v>513.9</v>
      </c>
      <c r="Z18" s="4"/>
      <c r="AA18" s="3" t="s">
        <v>63</v>
      </c>
    </row>
    <row r="19" spans="1:27" x14ac:dyDescent="0.35">
      <c r="A19" s="3" t="s">
        <v>62</v>
      </c>
      <c r="B19" s="3" t="s">
        <v>9</v>
      </c>
      <c r="C19" s="3" t="s">
        <v>10</v>
      </c>
      <c r="D19" s="3" t="s">
        <v>11</v>
      </c>
      <c r="E19" s="4">
        <v>719.15</v>
      </c>
      <c r="F19" s="4">
        <v>325</v>
      </c>
      <c r="G19" s="4">
        <v>1</v>
      </c>
      <c r="H19" s="4">
        <v>1</v>
      </c>
      <c r="I19" s="4">
        <v>0</v>
      </c>
      <c r="J19" s="4">
        <f>1305.5931/F19</f>
        <v>4.0172095384615387</v>
      </c>
      <c r="K19" s="4">
        <v>0.35</v>
      </c>
      <c r="L19" s="4">
        <f>-1374.2561/F19</f>
        <v>-4.2284803076923083</v>
      </c>
      <c r="M19" s="4">
        <f t="shared" si="1"/>
        <v>0.66666666666666663</v>
      </c>
      <c r="N19" s="4">
        <f>1691.0501/F19</f>
        <v>5.2032310769230765</v>
      </c>
      <c r="O19" s="4">
        <v>1</v>
      </c>
      <c r="P19" s="4">
        <f>-665.0358/F19</f>
        <v>-2.0462639999999999</v>
      </c>
      <c r="Q19" s="4">
        <f t="shared" si="2"/>
        <v>1.3333333333333333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260.60000000000002</v>
      </c>
      <c r="Y19" s="4">
        <f t="shared" si="0"/>
        <v>719.15</v>
      </c>
      <c r="Z19" s="4"/>
      <c r="AA19" s="3" t="s">
        <v>63</v>
      </c>
    </row>
    <row r="20" spans="1:27" x14ac:dyDescent="0.35">
      <c r="A20" s="3" t="s">
        <v>40</v>
      </c>
      <c r="B20" s="3" t="s">
        <v>9</v>
      </c>
      <c r="C20" s="3" t="s">
        <v>10</v>
      </c>
      <c r="D20" s="3" t="s">
        <v>11</v>
      </c>
      <c r="E20" s="4">
        <v>507.79</v>
      </c>
      <c r="F20" s="4">
        <v>223</v>
      </c>
      <c r="G20" s="4">
        <v>1</v>
      </c>
      <c r="H20" s="4">
        <v>1</v>
      </c>
      <c r="I20" s="4">
        <v>0</v>
      </c>
      <c r="J20" s="4">
        <f>537.394/F20</f>
        <v>2.4098385650224214</v>
      </c>
      <c r="K20" s="4">
        <v>0.35</v>
      </c>
      <c r="L20" s="4">
        <f>87.8728/F20</f>
        <v>0.39404843049327354</v>
      </c>
      <c r="M20" s="4">
        <f t="shared" si="1"/>
        <v>0.66666666666666663</v>
      </c>
      <c r="N20" s="4">
        <f>-283.3888/F20</f>
        <v>-1.2708017937219731</v>
      </c>
      <c r="O20" s="4">
        <v>1</v>
      </c>
      <c r="P20" s="4">
        <f>344.5049/F20</f>
        <v>1.5448650224215248</v>
      </c>
      <c r="Q20" s="4">
        <f t="shared" si="2"/>
        <v>1.3333333333333333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177.83</v>
      </c>
      <c r="Y20" s="4">
        <f t="shared" si="0"/>
        <v>507.79</v>
      </c>
      <c r="Z20" s="4"/>
      <c r="AA20" s="3" t="s">
        <v>63</v>
      </c>
    </row>
    <row r="21" spans="1:27" x14ac:dyDescent="0.35">
      <c r="A21" s="3" t="s">
        <v>41</v>
      </c>
      <c r="B21" s="3" t="s">
        <v>9</v>
      </c>
      <c r="C21" s="3" t="s">
        <v>10</v>
      </c>
      <c r="D21" s="3" t="s">
        <v>11</v>
      </c>
      <c r="E21" s="4">
        <v>407.81700000000001</v>
      </c>
      <c r="F21" s="4">
        <v>224.36</v>
      </c>
      <c r="G21" s="4">
        <v>-1</v>
      </c>
      <c r="H21" s="4">
        <v>1.60562</v>
      </c>
      <c r="I21" s="4">
        <v>0.33</v>
      </c>
      <c r="J21" s="4">
        <v>-2.3740950000000001</v>
      </c>
      <c r="K21" s="4">
        <v>1</v>
      </c>
      <c r="L21" s="4">
        <v>2.0987629999999999</v>
      </c>
      <c r="M21" s="4">
        <v>1.1000000000000001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113.73</v>
      </c>
      <c r="Y21" s="4">
        <f t="shared" si="0"/>
        <v>407.81700000000001</v>
      </c>
      <c r="Z21" s="4"/>
      <c r="AA21" s="3" t="s">
        <v>65</v>
      </c>
    </row>
    <row r="22" spans="1:27" x14ac:dyDescent="0.35">
      <c r="A22" s="3" t="s">
        <v>42</v>
      </c>
      <c r="B22" s="3" t="s">
        <v>9</v>
      </c>
      <c r="C22" s="3" t="s">
        <v>10</v>
      </c>
      <c r="D22" s="3" t="s">
        <v>11</v>
      </c>
      <c r="E22" s="4">
        <v>209.48</v>
      </c>
      <c r="F22" s="4">
        <v>910</v>
      </c>
      <c r="G22" s="4">
        <v>1</v>
      </c>
      <c r="H22" s="4">
        <v>1</v>
      </c>
      <c r="I22" s="4">
        <v>0</v>
      </c>
      <c r="J22" s="4">
        <f>1612.009/F22</f>
        <v>1.7714384615384615</v>
      </c>
      <c r="K22" s="4">
        <v>0.35</v>
      </c>
      <c r="L22" s="4">
        <f>342.437/F22</f>
        <v>0.3763043956043956</v>
      </c>
      <c r="M22" s="4">
        <f t="shared" ref="M22:M25" si="3">2/3</f>
        <v>0.66666666666666663</v>
      </c>
      <c r="N22" s="4">
        <f>130.7723/F22</f>
        <v>0.14370582417582417</v>
      </c>
      <c r="O22" s="4">
        <v>1</v>
      </c>
      <c r="P22" s="4">
        <f>178.6945/F22</f>
        <v>0.19636758241758243</v>
      </c>
      <c r="Q22" s="4">
        <f t="shared" ref="Q22:Q25" si="4">4/3</f>
        <v>1.3333333333333333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115.78</v>
      </c>
      <c r="Y22" s="4">
        <f t="shared" si="0"/>
        <v>209.48</v>
      </c>
      <c r="Z22" s="4"/>
      <c r="AA22" s="3" t="s">
        <v>63</v>
      </c>
    </row>
    <row r="23" spans="1:27" x14ac:dyDescent="0.35">
      <c r="A23" s="3" t="s">
        <v>43</v>
      </c>
      <c r="B23" s="3" t="s">
        <v>9</v>
      </c>
      <c r="C23" s="3" t="s">
        <v>10</v>
      </c>
      <c r="D23" s="3" t="s">
        <v>11</v>
      </c>
      <c r="E23" s="4">
        <v>190.56399999999999</v>
      </c>
      <c r="F23" s="4">
        <v>162.66</v>
      </c>
      <c r="G23" s="4">
        <v>-1</v>
      </c>
      <c r="H23" s="4">
        <v>1.9906389</v>
      </c>
      <c r="I23" s="4">
        <v>0.35399999999999998</v>
      </c>
      <c r="J23" s="4">
        <v>-0.78756196999999994</v>
      </c>
      <c r="K23" s="4">
        <v>0.5</v>
      </c>
      <c r="L23" s="4">
        <v>3.6976723000000003E-2</v>
      </c>
      <c r="M23" s="4">
        <v>2.5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90.694000000000003</v>
      </c>
      <c r="Y23" s="4">
        <f t="shared" si="0"/>
        <v>190.56399999999999</v>
      </c>
      <c r="Z23" s="4"/>
      <c r="AA23" s="3" t="s">
        <v>66</v>
      </c>
    </row>
    <row r="24" spans="1:27" x14ac:dyDescent="0.35">
      <c r="A24" s="3" t="s">
        <v>43</v>
      </c>
      <c r="B24" s="3" t="s">
        <v>9</v>
      </c>
      <c r="C24" s="3" t="s">
        <v>10</v>
      </c>
      <c r="D24" s="3" t="s">
        <v>11</v>
      </c>
      <c r="E24" s="4">
        <v>190.56</v>
      </c>
      <c r="F24" s="4">
        <v>163</v>
      </c>
      <c r="G24" s="4">
        <v>1</v>
      </c>
      <c r="H24" s="4">
        <v>1</v>
      </c>
      <c r="I24" s="4">
        <v>0</v>
      </c>
      <c r="J24" s="4">
        <f>267.8594/F24</f>
        <v>1.6433092024539877</v>
      </c>
      <c r="K24" s="4">
        <v>0.35</v>
      </c>
      <c r="L24" s="4">
        <f>129.3958/F24</f>
        <v>0.79383926380368108</v>
      </c>
      <c r="M24" s="4">
        <f t="shared" si="3"/>
        <v>0.66666666666666663</v>
      </c>
      <c r="N24" s="4">
        <f>-73.607/F24</f>
        <v>-0.4515766871165644</v>
      </c>
      <c r="O24" s="4">
        <v>1</v>
      </c>
      <c r="P24" s="4">
        <f>69.9714/F24</f>
        <v>0.42927239263803685</v>
      </c>
      <c r="Q24" s="4">
        <f t="shared" si="4"/>
        <v>1.3333333333333333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90.694000000000003</v>
      </c>
      <c r="Y24" s="4">
        <f t="shared" si="0"/>
        <v>190.56</v>
      </c>
      <c r="Z24" s="4"/>
      <c r="AA24" s="3" t="s">
        <v>63</v>
      </c>
    </row>
    <row r="25" spans="1:27" x14ac:dyDescent="0.35">
      <c r="A25" s="3" t="s">
        <v>44</v>
      </c>
      <c r="B25" s="3" t="s">
        <v>9</v>
      </c>
      <c r="C25" s="3" t="s">
        <v>10</v>
      </c>
      <c r="D25" s="3" t="s">
        <v>11</v>
      </c>
      <c r="E25" s="4">
        <v>513.38</v>
      </c>
      <c r="F25" s="4">
        <v>282</v>
      </c>
      <c r="G25" s="4">
        <v>1</v>
      </c>
      <c r="H25" s="4">
        <v>1</v>
      </c>
      <c r="I25" s="4">
        <v>0</v>
      </c>
      <c r="J25" s="4">
        <f>164.7611/F25</f>
        <v>0.58425921985815599</v>
      </c>
      <c r="K25" s="4">
        <v>0.35</v>
      </c>
      <c r="L25" s="4">
        <f>2257.7678/F25</f>
        <v>8.0062687943262407</v>
      </c>
      <c r="M25" s="4">
        <f t="shared" si="3"/>
        <v>0.66666666666666663</v>
      </c>
      <c r="N25" s="4">
        <f>-3545.6923/F25</f>
        <v>-12.573376950354611</v>
      </c>
      <c r="O25" s="4">
        <v>1</v>
      </c>
      <c r="P25" s="4">
        <f>1929.7376/F25</f>
        <v>6.8430411347517728</v>
      </c>
      <c r="Q25" s="4">
        <f t="shared" si="4"/>
        <v>1.3333333333333333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175.61</v>
      </c>
      <c r="Y25" s="4">
        <f t="shared" si="0"/>
        <v>513.38</v>
      </c>
      <c r="Z25" s="4"/>
      <c r="AA25" s="3" t="s">
        <v>63</v>
      </c>
    </row>
    <row r="26" spans="1:27" x14ac:dyDescent="0.35">
      <c r="A26" s="3" t="s">
        <v>45</v>
      </c>
      <c r="B26" s="3" t="s">
        <v>9</v>
      </c>
      <c r="C26" s="3" t="s">
        <v>10</v>
      </c>
      <c r="D26" s="3" t="s">
        <v>11</v>
      </c>
      <c r="E26" s="4">
        <v>126.19199999999999</v>
      </c>
      <c r="F26" s="4">
        <v>313</v>
      </c>
      <c r="G26" s="4">
        <v>-1</v>
      </c>
      <c r="H26" s="4">
        <v>1.48654237</v>
      </c>
      <c r="I26" s="4">
        <v>0.32940000000000003</v>
      </c>
      <c r="J26" s="4">
        <v>-0.28047606600000002</v>
      </c>
      <c r="K26" s="4">
        <f>2/3</f>
        <v>0.66666666666666663</v>
      </c>
      <c r="L26" s="4">
        <v>8.9414308499999998E-2</v>
      </c>
      <c r="M26" s="4">
        <f>8/3</f>
        <v>2.6666666666666665</v>
      </c>
      <c r="N26" s="4">
        <v>-0.119879866</v>
      </c>
      <c r="O26" s="4">
        <f>35/6</f>
        <v>5.833333333333333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63.151000000000003</v>
      </c>
      <c r="Y26" s="4">
        <f t="shared" si="0"/>
        <v>126.19199999999999</v>
      </c>
      <c r="Z26" s="4"/>
      <c r="AA26" s="3" t="s">
        <v>75</v>
      </c>
    </row>
    <row r="27" spans="1:27" x14ac:dyDescent="0.35">
      <c r="A27" s="3" t="s">
        <v>45</v>
      </c>
      <c r="B27" s="3" t="s">
        <v>9</v>
      </c>
      <c r="C27" s="3" t="s">
        <v>10</v>
      </c>
      <c r="D27" s="3" t="s">
        <v>11</v>
      </c>
      <c r="E27" s="4">
        <v>126.19</v>
      </c>
      <c r="F27" s="4">
        <v>313</v>
      </c>
      <c r="G27" s="4">
        <v>1</v>
      </c>
      <c r="H27" s="4">
        <v>1</v>
      </c>
      <c r="I27" s="4">
        <v>0</v>
      </c>
      <c r="J27" s="4">
        <f>470.9224/F27</f>
        <v>1.5045444089456868</v>
      </c>
      <c r="K27" s="4">
        <v>0.35</v>
      </c>
      <c r="L27" s="4">
        <f>493.2507/F27</f>
        <v>1.5758808306709264</v>
      </c>
      <c r="M27" s="4">
        <f t="shared" ref="M27:M32" si="5">2/3</f>
        <v>0.66666666666666663</v>
      </c>
      <c r="N27" s="4">
        <f>-560.4689/F27</f>
        <v>-1.7906354632587858</v>
      </c>
      <c r="O27" s="4">
        <v>1</v>
      </c>
      <c r="P27" s="4">
        <f>389.6108/F27</f>
        <v>1.2447629392971244</v>
      </c>
      <c r="Q27" s="4">
        <f t="shared" ref="Q27:Q32" si="6">4/3</f>
        <v>1.3333333333333333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63.151000000000003</v>
      </c>
      <c r="Y27" s="4">
        <f t="shared" si="0"/>
        <v>126.19</v>
      </c>
      <c r="Z27" s="4"/>
      <c r="AA27" s="3" t="s">
        <v>63</v>
      </c>
    </row>
    <row r="28" spans="1:27" x14ac:dyDescent="0.35">
      <c r="A28" s="3" t="s">
        <v>46</v>
      </c>
      <c r="B28" s="3" t="s">
        <v>9</v>
      </c>
      <c r="C28" s="3" t="s">
        <v>10</v>
      </c>
      <c r="D28" s="3" t="s">
        <v>11</v>
      </c>
      <c r="E28" s="4">
        <v>154.6</v>
      </c>
      <c r="F28" s="4">
        <v>427</v>
      </c>
      <c r="G28" s="4">
        <v>1</v>
      </c>
      <c r="H28" s="4">
        <v>1</v>
      </c>
      <c r="I28" s="4">
        <v>0</v>
      </c>
      <c r="J28" s="4">
        <f>748.3728/F28</f>
        <v>1.7526295081967214</v>
      </c>
      <c r="K28" s="4">
        <v>0.35</v>
      </c>
      <c r="L28" s="4">
        <f>396.2376/F28</f>
        <v>0.92795690866510538</v>
      </c>
      <c r="M28" s="4">
        <f t="shared" si="5"/>
        <v>0.66666666666666663</v>
      </c>
      <c r="N28" s="4">
        <f>-416.2389/F28</f>
        <v>-0.97479836065573766</v>
      </c>
      <c r="O28" s="4">
        <v>1</v>
      </c>
      <c r="P28" s="4">
        <f>372.6904/F28</f>
        <v>0.87281124121779863</v>
      </c>
      <c r="Q28" s="4">
        <f t="shared" si="6"/>
        <v>1.3333333333333333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54.360999999999997</v>
      </c>
      <c r="Y28" s="4">
        <f t="shared" si="0"/>
        <v>154.6</v>
      </c>
      <c r="Z28" s="4"/>
      <c r="AA28" s="3" t="s">
        <v>63</v>
      </c>
    </row>
    <row r="29" spans="1:27" x14ac:dyDescent="0.35">
      <c r="A29" s="3" t="s">
        <v>47</v>
      </c>
      <c r="B29" s="3" t="s">
        <v>9</v>
      </c>
      <c r="C29" s="3" t="s">
        <v>10</v>
      </c>
      <c r="D29" s="3" t="s">
        <v>11</v>
      </c>
      <c r="E29" s="4">
        <v>369.89</v>
      </c>
      <c r="F29" s="4">
        <v>220.48500000000001</v>
      </c>
      <c r="G29" s="4">
        <v>1</v>
      </c>
      <c r="H29" s="4">
        <v>1</v>
      </c>
      <c r="I29" s="4">
        <v>0</v>
      </c>
      <c r="J29" s="4">
        <v>1.8220499999999999</v>
      </c>
      <c r="K29" s="4">
        <v>0.34499999999999997</v>
      </c>
      <c r="L29" s="4">
        <v>0.65802000000000005</v>
      </c>
      <c r="M29" s="4">
        <v>0.74</v>
      </c>
      <c r="N29" s="4">
        <v>0.21109</v>
      </c>
      <c r="O29" s="4">
        <v>2.6</v>
      </c>
      <c r="P29" s="4">
        <v>8.3973000000000006E-2</v>
      </c>
      <c r="Q29" s="4">
        <v>7.2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85.525000000000006</v>
      </c>
      <c r="Y29" s="4">
        <f t="shared" si="0"/>
        <v>369.89</v>
      </c>
      <c r="Z29" s="4"/>
      <c r="AA29" s="3" t="s">
        <v>67</v>
      </c>
    </row>
    <row r="30" spans="1:27" x14ac:dyDescent="0.35">
      <c r="A30" s="3" t="s">
        <v>47</v>
      </c>
      <c r="B30" s="3" t="s">
        <v>9</v>
      </c>
      <c r="C30" s="3" t="s">
        <v>10</v>
      </c>
      <c r="D30" s="3" t="s">
        <v>11</v>
      </c>
      <c r="E30" s="4">
        <v>369.82</v>
      </c>
      <c r="F30" s="4">
        <v>221</v>
      </c>
      <c r="G30" s="4">
        <v>1</v>
      </c>
      <c r="H30" s="4">
        <v>1</v>
      </c>
      <c r="I30" s="4">
        <v>0</v>
      </c>
      <c r="J30" s="4">
        <f>373.2481/F30</f>
        <v>1.6889054298642534</v>
      </c>
      <c r="K30" s="4">
        <v>0.35</v>
      </c>
      <c r="L30" s="4">
        <f>324.1771/F30</f>
        <v>1.466864705882353</v>
      </c>
      <c r="M30" s="4">
        <f t="shared" si="5"/>
        <v>0.66666666666666663</v>
      </c>
      <c r="N30" s="4">
        <f>-431.6048/F30</f>
        <v>-1.952962895927602</v>
      </c>
      <c r="O30" s="4">
        <v>1</v>
      </c>
      <c r="P30" s="4">
        <f>327.5258/F30</f>
        <v>1.4820171945701357</v>
      </c>
      <c r="Q30" s="4">
        <f t="shared" si="6"/>
        <v>1.3333333333333333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85.525000000000006</v>
      </c>
      <c r="Y30" s="4">
        <f t="shared" si="0"/>
        <v>369.82</v>
      </c>
      <c r="Z30" s="4"/>
      <c r="AA30" s="3" t="s">
        <v>63</v>
      </c>
    </row>
    <row r="31" spans="1:27" x14ac:dyDescent="0.35">
      <c r="A31" s="3" t="s">
        <v>86</v>
      </c>
      <c r="B31" s="3" t="s">
        <v>9</v>
      </c>
      <c r="C31" s="3" t="s">
        <v>10</v>
      </c>
      <c r="D31" s="3" t="s">
        <v>11</v>
      </c>
      <c r="E31" s="4">
        <v>364.21</v>
      </c>
      <c r="F31" s="4">
        <v>230</v>
      </c>
      <c r="G31" s="4">
        <v>1</v>
      </c>
      <c r="H31" s="4">
        <v>1</v>
      </c>
      <c r="I31" s="4">
        <v>0</v>
      </c>
      <c r="J31" s="4">
        <f>373.2481/F31</f>
        <v>1.6228178260869566</v>
      </c>
      <c r="K31" s="4">
        <v>0.35</v>
      </c>
      <c r="L31" s="4">
        <f>324.1771/F31</f>
        <v>1.4094656521739131</v>
      </c>
      <c r="M31" s="4">
        <f t="shared" si="5"/>
        <v>0.66666666666666663</v>
      </c>
      <c r="N31" s="4">
        <f>-431.6048/F31</f>
        <v>-1.8765426086956523</v>
      </c>
      <c r="O31" s="4">
        <v>1</v>
      </c>
      <c r="P31" s="4">
        <v>0.79325328467153289</v>
      </c>
      <c r="Q31" s="4">
        <f t="shared" si="6"/>
        <v>1.3333333333333333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87.953000000000003</v>
      </c>
      <c r="Y31" s="4">
        <f t="shared" si="0"/>
        <v>364.21</v>
      </c>
      <c r="Z31" s="4"/>
      <c r="AA31" s="3" t="s">
        <v>63</v>
      </c>
    </row>
    <row r="32" spans="1:27" x14ac:dyDescent="0.35">
      <c r="A32" s="3" t="s">
        <v>48</v>
      </c>
      <c r="B32" s="3" t="s">
        <v>9</v>
      </c>
      <c r="C32" s="3" t="s">
        <v>10</v>
      </c>
      <c r="D32" s="3" t="s">
        <v>11</v>
      </c>
      <c r="E32" s="4">
        <v>385.12</v>
      </c>
      <c r="F32" s="4">
        <v>565</v>
      </c>
      <c r="G32" s="4">
        <v>1</v>
      </c>
      <c r="H32" s="4">
        <v>1</v>
      </c>
      <c r="I32" s="4">
        <v>0</v>
      </c>
      <c r="J32" s="4">
        <f>914.8406/F32</f>
        <v>1.6191869026548673</v>
      </c>
      <c r="K32" s="4">
        <v>0.35</v>
      </c>
      <c r="L32" s="4">
        <f>994.9276/F32</f>
        <v>1.7609338053097345</v>
      </c>
      <c r="M32" s="4">
        <f t="shared" si="5"/>
        <v>0.66666666666666663</v>
      </c>
      <c r="N32" s="4">
        <f>-1324.3128/F32</f>
        <v>-2.3439164601769908</v>
      </c>
      <c r="O32" s="4">
        <v>1</v>
      </c>
      <c r="P32" s="4">
        <f>961.0344/F32</f>
        <v>1.7009458407079645</v>
      </c>
      <c r="Q32" s="4">
        <f t="shared" si="6"/>
        <v>1.3333333333333333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116.1</v>
      </c>
      <c r="Y32" s="4">
        <f t="shared" si="0"/>
        <v>385.12</v>
      </c>
      <c r="Z32" s="4"/>
      <c r="AA32" s="3" t="s">
        <v>63</v>
      </c>
    </row>
    <row r="33" spans="1:27" x14ac:dyDescent="0.35">
      <c r="A33" s="3" t="s">
        <v>49</v>
      </c>
      <c r="B33" s="3" t="s">
        <v>9</v>
      </c>
      <c r="C33" s="3" t="s">
        <v>10</v>
      </c>
      <c r="D33" s="3" t="s">
        <v>11</v>
      </c>
      <c r="E33" s="4">
        <v>456.83100000000002</v>
      </c>
      <c r="F33" s="4">
        <f>3.596417*0.15293*1000</f>
        <v>550.00005181000006</v>
      </c>
      <c r="G33" s="4">
        <v>1</v>
      </c>
      <c r="H33" s="4">
        <v>1</v>
      </c>
      <c r="I33" s="4">
        <v>0</v>
      </c>
      <c r="J33" s="4">
        <v>2.0321254099999999</v>
      </c>
      <c r="K33" s="4">
        <v>0.35499999999999998</v>
      </c>
      <c r="L33" s="4">
        <v>0.615138615</v>
      </c>
      <c r="M33" s="4">
        <f>2/3</f>
        <v>0.66666666666666663</v>
      </c>
      <c r="N33" s="4">
        <v>-0.78030937499999997</v>
      </c>
      <c r="O33" s="4">
        <v>1</v>
      </c>
      <c r="P33" s="4">
        <v>0.95369802299999995</v>
      </c>
      <c r="Q33" s="4">
        <f>4/3</f>
        <v>1.3333333333333333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166</v>
      </c>
      <c r="Y33" s="4">
        <f t="shared" si="0"/>
        <v>456.83100000000002</v>
      </c>
      <c r="Z33" s="4"/>
      <c r="AA33" s="3" t="s">
        <v>76</v>
      </c>
    </row>
    <row r="34" spans="1:27" x14ac:dyDescent="0.35">
      <c r="A34" s="3" t="s">
        <v>50</v>
      </c>
      <c r="B34" s="3" t="s">
        <v>9</v>
      </c>
      <c r="C34" s="3" t="s">
        <v>10</v>
      </c>
      <c r="D34" s="3" t="s">
        <v>11</v>
      </c>
      <c r="E34" s="4">
        <v>382.51299999999998</v>
      </c>
      <c r="F34" s="4">
        <v>489.238</v>
      </c>
      <c r="G34" s="4">
        <v>1</v>
      </c>
      <c r="H34" s="4">
        <v>1</v>
      </c>
      <c r="I34" s="4">
        <v>0</v>
      </c>
      <c r="J34" s="4">
        <v>1.1913</v>
      </c>
      <c r="K34" s="4">
        <v>0.27</v>
      </c>
      <c r="L34" s="4">
        <v>2.2456</v>
      </c>
      <c r="M34" s="4">
        <v>0.7</v>
      </c>
      <c r="N34" s="4">
        <v>-1.7746999999999999</v>
      </c>
      <c r="O34" s="4">
        <v>1.25</v>
      </c>
      <c r="P34" s="4">
        <v>1.3096000000000001</v>
      </c>
      <c r="Q34" s="4">
        <v>1.9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169</v>
      </c>
      <c r="Y34" s="4">
        <f t="shared" si="0"/>
        <v>382.51299999999998</v>
      </c>
      <c r="Z34" s="4"/>
      <c r="AA34" s="3" t="s">
        <v>77</v>
      </c>
    </row>
    <row r="35" spans="1:27" x14ac:dyDescent="0.35">
      <c r="A35" s="3" t="s">
        <v>51</v>
      </c>
      <c r="B35" s="3" t="s">
        <v>9</v>
      </c>
      <c r="C35" s="3" t="s">
        <v>10</v>
      </c>
      <c r="D35" s="3" t="s">
        <v>11</v>
      </c>
      <c r="E35" s="4">
        <v>339.173</v>
      </c>
      <c r="F35" s="4">
        <f>4.779*0.12002*1000</f>
        <v>573.57557999999995</v>
      </c>
      <c r="G35" s="4">
        <v>1</v>
      </c>
      <c r="H35" s="4">
        <v>1</v>
      </c>
      <c r="I35" s="4">
        <v>0</v>
      </c>
      <c r="J35" s="4">
        <v>1.6684000000000001</v>
      </c>
      <c r="K35" s="4">
        <f>1/3</f>
        <v>0.33333333333333331</v>
      </c>
      <c r="L35" s="4">
        <v>0.88414999999999999</v>
      </c>
      <c r="M35" s="4">
        <v>0.6</v>
      </c>
      <c r="N35" s="4">
        <v>0.44383</v>
      </c>
      <c r="O35" s="4">
        <v>2.9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172.52</v>
      </c>
      <c r="Y35" s="4">
        <f t="shared" si="0"/>
        <v>339.173</v>
      </c>
      <c r="Z35" s="4"/>
      <c r="AA35" s="3" t="s">
        <v>78</v>
      </c>
    </row>
    <row r="36" spans="1:27" x14ac:dyDescent="0.35">
      <c r="A36" s="3" t="s">
        <v>52</v>
      </c>
      <c r="B36" s="3" t="s">
        <v>9</v>
      </c>
      <c r="C36" s="3" t="s">
        <v>10</v>
      </c>
      <c r="D36" s="3" t="s">
        <v>11</v>
      </c>
      <c r="E36" s="4">
        <v>374.18</v>
      </c>
      <c r="F36" s="4">
        <v>1</v>
      </c>
      <c r="G36" s="4">
        <v>1</v>
      </c>
      <c r="H36" s="4">
        <v>518.20000000000005</v>
      </c>
      <c r="I36" s="4">
        <v>0</v>
      </c>
      <c r="J36" s="4">
        <v>884.13</v>
      </c>
      <c r="K36" s="4">
        <v>0.33333333333333298</v>
      </c>
      <c r="L36" s="4">
        <v>485.84</v>
      </c>
      <c r="M36" s="4">
        <v>0.66666666666666696</v>
      </c>
      <c r="N36" s="4">
        <v>193.29</v>
      </c>
      <c r="O36" s="4">
        <v>3.3333333333333299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169.85</v>
      </c>
      <c r="Y36" s="4">
        <f t="shared" si="0"/>
        <v>374.18</v>
      </c>
      <c r="Z36" s="4"/>
      <c r="AA36" s="3" t="s">
        <v>68</v>
      </c>
    </row>
    <row r="37" spans="1:27" x14ac:dyDescent="0.35">
      <c r="A37" s="3" t="s">
        <v>53</v>
      </c>
      <c r="B37" s="3" t="s">
        <v>9</v>
      </c>
      <c r="C37" s="3" t="s">
        <v>10</v>
      </c>
      <c r="D37" s="3" t="s">
        <v>11</v>
      </c>
      <c r="E37" s="4">
        <v>410.25</v>
      </c>
      <c r="F37" s="4">
        <v>435</v>
      </c>
      <c r="G37" s="4">
        <v>1</v>
      </c>
      <c r="H37" s="4">
        <v>1</v>
      </c>
      <c r="I37" s="4">
        <v>0</v>
      </c>
      <c r="J37" s="4">
        <v>-0.27671499999999999</v>
      </c>
      <c r="K37" s="4">
        <f>1/3</f>
        <v>0.33333333333333331</v>
      </c>
      <c r="L37" s="4">
        <v>10.147275</v>
      </c>
      <c r="M37" s="4">
        <f>2/3</f>
        <v>0.66666666666666663</v>
      </c>
      <c r="N37" s="4">
        <v>-13.917142</v>
      </c>
      <c r="O37" s="4">
        <v>1</v>
      </c>
      <c r="P37" s="4">
        <v>7.1135586999999996</v>
      </c>
      <c r="Q37" s="4">
        <f>4/3</f>
        <v>1.3333333333333333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142.72</v>
      </c>
      <c r="Y37" s="4">
        <f t="shared" si="0"/>
        <v>410.25</v>
      </c>
      <c r="Z37" s="4"/>
      <c r="AA37" s="3" t="s">
        <v>79</v>
      </c>
    </row>
    <row r="38" spans="1:27" x14ac:dyDescent="0.35">
      <c r="A38" s="3" t="s">
        <v>54</v>
      </c>
      <c r="B38" s="3" t="s">
        <v>9</v>
      </c>
      <c r="C38" s="3" t="s">
        <v>10</v>
      </c>
      <c r="D38" s="3" t="s">
        <v>11</v>
      </c>
      <c r="E38" s="4">
        <v>345.85700000000003</v>
      </c>
      <c r="F38" s="4">
        <f>5.12845*0.08404*1000</f>
        <v>430.99493799999999</v>
      </c>
      <c r="G38" s="4">
        <v>1</v>
      </c>
      <c r="H38" s="4">
        <v>1</v>
      </c>
      <c r="I38" s="4">
        <v>0</v>
      </c>
      <c r="J38" s="4">
        <v>1.7949999999999999</v>
      </c>
      <c r="K38" s="4">
        <f>1/3</f>
        <v>0.33333333333333331</v>
      </c>
      <c r="L38" s="4">
        <v>0.87090000000000001</v>
      </c>
      <c r="M38" s="4">
        <f>2/3</f>
        <v>0.66666666666666663</v>
      </c>
      <c r="N38" s="4">
        <v>0.31159999999999999</v>
      </c>
      <c r="O38" s="4">
        <f>8/3</f>
        <v>2.6666666666666665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161.34</v>
      </c>
      <c r="Y38" s="4">
        <f t="shared" si="0"/>
        <v>345.85700000000003</v>
      </c>
      <c r="Z38" s="4"/>
      <c r="AA38" s="3" t="s">
        <v>80</v>
      </c>
    </row>
    <row r="39" spans="1:27" x14ac:dyDescent="0.35">
      <c r="A39" s="3" t="s">
        <v>54</v>
      </c>
      <c r="B39" s="3" t="s">
        <v>9</v>
      </c>
      <c r="C39" s="3" t="s">
        <v>10</v>
      </c>
      <c r="D39" s="3" t="s">
        <v>11</v>
      </c>
      <c r="E39" s="4">
        <v>345.86</v>
      </c>
      <c r="F39" s="4">
        <v>431</v>
      </c>
      <c r="G39" s="4">
        <v>1</v>
      </c>
      <c r="H39" s="4">
        <v>1</v>
      </c>
      <c r="I39" s="4">
        <v>0</v>
      </c>
      <c r="J39" s="4">
        <f>889.8086/F39</f>
        <v>2.0645211136890951</v>
      </c>
      <c r="K39" s="4">
        <v>0.35</v>
      </c>
      <c r="L39" s="4">
        <f>159.4135/F39</f>
        <v>0.36986890951276102</v>
      </c>
      <c r="M39" s="4">
        <f>2/3</f>
        <v>0.66666666666666663</v>
      </c>
      <c r="N39" s="4">
        <f>-27.5628/F39</f>
        <v>-6.3950812064965196E-2</v>
      </c>
      <c r="O39" s="4">
        <v>1</v>
      </c>
      <c r="P39" s="4">
        <f>218.1093/F39</f>
        <v>0.50605406032482592</v>
      </c>
      <c r="Q39" s="4">
        <f>4/3</f>
        <v>1.3333333333333333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161.34</v>
      </c>
      <c r="Y39" s="4">
        <f t="shared" si="0"/>
        <v>345.86</v>
      </c>
      <c r="Z39" s="4"/>
      <c r="AA39" s="3" t="s">
        <v>63</v>
      </c>
    </row>
    <row r="40" spans="1:27" x14ac:dyDescent="0.35">
      <c r="A40" s="3" t="s">
        <v>55</v>
      </c>
      <c r="B40" s="3" t="s">
        <v>9</v>
      </c>
      <c r="C40" s="3" t="s">
        <v>10</v>
      </c>
      <c r="D40" s="3" t="s">
        <v>11</v>
      </c>
      <c r="E40" s="4">
        <v>369.28</v>
      </c>
      <c r="F40" s="4">
        <v>520</v>
      </c>
      <c r="G40" s="4">
        <v>1</v>
      </c>
      <c r="H40" s="4">
        <v>1</v>
      </c>
      <c r="I40" s="4">
        <v>0</v>
      </c>
      <c r="J40" s="4">
        <v>1.75960033</v>
      </c>
      <c r="K40" s="4">
        <f>1/3</f>
        <v>0.33333333333333331</v>
      </c>
      <c r="L40" s="4">
        <v>0.78536315499999998</v>
      </c>
      <c r="M40" s="4">
        <f>2/3</f>
        <v>0.66666666666666663</v>
      </c>
      <c r="N40" s="4">
        <v>0.18887004099999999</v>
      </c>
      <c r="O40" s="4">
        <f>5/3</f>
        <v>1.6666666666666667</v>
      </c>
      <c r="P40" s="4">
        <v>0.20381812399999999</v>
      </c>
      <c r="Q40" s="4">
        <f>12/3</f>
        <v>4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115.73</v>
      </c>
      <c r="Y40" s="4">
        <f t="shared" si="0"/>
        <v>369.28</v>
      </c>
      <c r="Z40" s="4"/>
      <c r="AA40" s="3" t="s">
        <v>81</v>
      </c>
    </row>
    <row r="41" spans="1:27" x14ac:dyDescent="0.35">
      <c r="A41" s="3" t="s">
        <v>55</v>
      </c>
      <c r="B41" s="3" t="s">
        <v>9</v>
      </c>
      <c r="C41" s="3" t="s">
        <v>10</v>
      </c>
      <c r="D41" s="3" t="s">
        <v>11</v>
      </c>
      <c r="E41" s="4">
        <v>369.28</v>
      </c>
      <c r="F41" s="4">
        <v>520</v>
      </c>
      <c r="G41" s="4">
        <v>1</v>
      </c>
      <c r="H41" s="4">
        <v>1</v>
      </c>
      <c r="I41" s="4">
        <v>0</v>
      </c>
      <c r="J41" s="4">
        <f>904.1231/F41</f>
        <v>1.7386982692307693</v>
      </c>
      <c r="K41" s="4">
        <v>0.35</v>
      </c>
      <c r="L41" s="4">
        <f>874.1686/F41</f>
        <v>1.6810934615384614</v>
      </c>
      <c r="M41" s="4">
        <f>2/3</f>
        <v>0.66666666666666663</v>
      </c>
      <c r="N41" s="4">
        <f>-1176.1342/F41</f>
        <v>-2.2617965384615384</v>
      </c>
      <c r="O41" s="4">
        <v>1</v>
      </c>
      <c r="P41" s="4">
        <f>881.006/F41</f>
        <v>1.6942423076923077</v>
      </c>
      <c r="Q41" s="4">
        <f>4/3</f>
        <v>1.3333333333333333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115.73</v>
      </c>
      <c r="Y41" s="4">
        <f t="shared" si="0"/>
        <v>369.28</v>
      </c>
      <c r="Z41" s="4"/>
      <c r="AA41" s="3" t="s">
        <v>63</v>
      </c>
    </row>
    <row r="42" spans="1:27" x14ac:dyDescent="0.35">
      <c r="A42" s="3" t="s">
        <v>56</v>
      </c>
      <c r="B42" s="3" t="s">
        <v>9</v>
      </c>
      <c r="C42" s="3" t="s">
        <v>10</v>
      </c>
      <c r="D42" s="3" t="s">
        <v>11</v>
      </c>
      <c r="E42" s="4">
        <v>374.9</v>
      </c>
      <c r="F42" s="4">
        <f>3.495*1000*0.17003</f>
        <v>594.25484999999992</v>
      </c>
      <c r="G42" s="4">
        <v>1</v>
      </c>
      <c r="H42" s="4">
        <v>1</v>
      </c>
      <c r="I42" s="4">
        <v>0</v>
      </c>
      <c r="J42" s="4">
        <v>-0.29926000000000003</v>
      </c>
      <c r="K42" s="4">
        <v>0.15</v>
      </c>
      <c r="L42" s="4">
        <v>2.8025000000000002</v>
      </c>
      <c r="M42" s="4">
        <v>0.3</v>
      </c>
      <c r="N42" s="4">
        <v>-1.9601999999999999</v>
      </c>
      <c r="O42" s="4">
        <v>0.44</v>
      </c>
      <c r="P42" s="4">
        <v>2.0783999999999998</v>
      </c>
      <c r="Q42" s="4">
        <v>0.6</v>
      </c>
      <c r="R42" s="4">
        <v>0.21701000000000001</v>
      </c>
      <c r="S42" s="4">
        <v>2.75</v>
      </c>
      <c r="T42" s="4">
        <v>0</v>
      </c>
      <c r="U42" s="4">
        <v>0</v>
      </c>
      <c r="V42" s="4">
        <v>0</v>
      </c>
      <c r="W42" s="4">
        <v>0</v>
      </c>
      <c r="X42" s="4">
        <v>146.35</v>
      </c>
      <c r="Y42" s="4">
        <f t="shared" si="0"/>
        <v>374.9</v>
      </c>
      <c r="Z42" s="4"/>
      <c r="AA42" s="3" t="s">
        <v>82</v>
      </c>
    </row>
    <row r="43" spans="1:27" x14ac:dyDescent="0.35">
      <c r="A43" s="3" t="s">
        <v>57</v>
      </c>
      <c r="B43" s="3" t="s">
        <v>9</v>
      </c>
      <c r="C43" s="3" t="s">
        <v>10</v>
      </c>
      <c r="D43" s="3" t="s">
        <v>11</v>
      </c>
      <c r="E43" s="4">
        <v>299.29300000000001</v>
      </c>
      <c r="F43" s="4">
        <f>7.52*1000*0.07001</f>
        <v>526.47519999999997</v>
      </c>
      <c r="G43" s="4">
        <v>1</v>
      </c>
      <c r="H43" s="4">
        <v>1</v>
      </c>
      <c r="I43" s="4">
        <v>0</v>
      </c>
      <c r="J43" s="4">
        <v>2.2635999999999998</v>
      </c>
      <c r="K43" s="4">
        <v>0.37</v>
      </c>
      <c r="L43" s="4">
        <v>0.47006999999999999</v>
      </c>
      <c r="M43" s="4">
        <v>0.94</v>
      </c>
      <c r="N43" s="4">
        <v>0.28660000000000002</v>
      </c>
      <c r="O43" s="4">
        <v>3.1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118.02</v>
      </c>
      <c r="Y43" s="4">
        <f t="shared" si="0"/>
        <v>299.29300000000001</v>
      </c>
      <c r="Z43" s="4"/>
      <c r="AA43" s="3" t="s">
        <v>83</v>
      </c>
    </row>
    <row r="44" spans="1:27" x14ac:dyDescent="0.35">
      <c r="A44" s="3" t="s">
        <v>57</v>
      </c>
      <c r="B44" s="3" t="s">
        <v>9</v>
      </c>
      <c r="C44" s="3" t="s">
        <v>10</v>
      </c>
      <c r="D44" s="3" t="s">
        <v>11</v>
      </c>
      <c r="E44" s="4">
        <v>299.75</v>
      </c>
      <c r="F44" s="4">
        <v>526</v>
      </c>
      <c r="G44" s="4">
        <v>1</v>
      </c>
      <c r="H44" s="4">
        <v>1</v>
      </c>
      <c r="I44" s="4">
        <v>0</v>
      </c>
      <c r="J44" s="4">
        <f>640.3526/F44</f>
        <v>1.217400380228137</v>
      </c>
      <c r="K44" s="4">
        <v>0.35</v>
      </c>
      <c r="L44" s="4">
        <f>2164.8814/F44</f>
        <v>4.1157441064638789</v>
      </c>
      <c r="M44" s="4">
        <f t="shared" ref="M44:M45" si="7">2/3</f>
        <v>0.66666666666666663</v>
      </c>
      <c r="N44" s="4">
        <f>-3066.7802/F44</f>
        <v>-5.8303806083650196</v>
      </c>
      <c r="O44" s="4">
        <v>1</v>
      </c>
      <c r="P44" s="4">
        <f>1825.7135/F44</f>
        <v>3.4709382129277566</v>
      </c>
      <c r="Q44" s="4">
        <f t="shared" ref="Q44:Q45" si="8">4/3</f>
        <v>1.3333333333333333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118.02</v>
      </c>
      <c r="Y44" s="4">
        <f t="shared" si="0"/>
        <v>299.75</v>
      </c>
      <c r="Z44" s="4"/>
      <c r="AA44" s="3" t="s">
        <v>63</v>
      </c>
    </row>
    <row r="45" spans="1:27" x14ac:dyDescent="0.35">
      <c r="A45" s="3" t="s">
        <v>58</v>
      </c>
      <c r="B45" s="3" t="s">
        <v>9</v>
      </c>
      <c r="C45" s="3" t="s">
        <v>10</v>
      </c>
      <c r="D45" s="3" t="s">
        <v>11</v>
      </c>
      <c r="E45" s="4">
        <v>351.26</v>
      </c>
      <c r="F45" s="4">
        <v>424</v>
      </c>
      <c r="G45" s="4">
        <v>1</v>
      </c>
      <c r="H45" s="4">
        <v>1</v>
      </c>
      <c r="I45" s="4">
        <v>0</v>
      </c>
      <c r="J45" s="4">
        <f>895.2753/F45</f>
        <v>2.1114983490566037</v>
      </c>
      <c r="K45" s="4">
        <v>0.35</v>
      </c>
      <c r="L45" s="4">
        <f>224.1922/F45</f>
        <v>0.52875518867924531</v>
      </c>
      <c r="M45" s="4">
        <f t="shared" si="7"/>
        <v>0.66666666666666663</v>
      </c>
      <c r="N45" s="4">
        <f>-50.9228/F45</f>
        <v>-0.12010094339622641</v>
      </c>
      <c r="O45" s="4">
        <v>1</v>
      </c>
      <c r="P45" s="4">
        <f>229.66/F45</f>
        <v>0.54165094339622644</v>
      </c>
      <c r="Q45" s="4">
        <f t="shared" si="8"/>
        <v>1.3333333333333333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136.34</v>
      </c>
      <c r="Y45" s="4">
        <f t="shared" si="0"/>
        <v>351.26</v>
      </c>
      <c r="Z45" s="4"/>
      <c r="AA45" s="3" t="s">
        <v>63</v>
      </c>
    </row>
    <row r="46" spans="1:27" x14ac:dyDescent="0.35">
      <c r="A46" s="3" t="s">
        <v>89</v>
      </c>
      <c r="B46" s="3" t="s">
        <v>9</v>
      </c>
      <c r="C46" s="3" t="s">
        <v>10</v>
      </c>
      <c r="D46" s="3" t="s">
        <v>11</v>
      </c>
      <c r="E46" s="4">
        <v>345.22</v>
      </c>
      <c r="F46" s="4">
        <v>484.5</v>
      </c>
      <c r="G46" s="4">
        <v>1</v>
      </c>
      <c r="H46" s="4">
        <v>1.0002</v>
      </c>
      <c r="I46" s="4">
        <v>0</v>
      </c>
      <c r="J46" s="4">
        <v>0.193</v>
      </c>
      <c r="K46" s="4">
        <f>1/3</f>
        <v>0.33333333333333331</v>
      </c>
      <c r="L46" s="4">
        <v>9.0829000000000004</v>
      </c>
      <c r="M46" s="4">
        <f>2/3</f>
        <v>0.66666666666666663</v>
      </c>
      <c r="N46" s="4">
        <v>-13.781000000000001</v>
      </c>
      <c r="O46" s="4">
        <v>1</v>
      </c>
      <c r="P46" s="4">
        <v>7.6142000000000003</v>
      </c>
      <c r="Q46" s="4">
        <f>4/3</f>
        <v>1.3333333333333333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200</v>
      </c>
      <c r="Y46" s="4">
        <f t="shared" si="0"/>
        <v>345.22</v>
      </c>
      <c r="Z46" s="4"/>
      <c r="AA46" s="3" t="s">
        <v>88</v>
      </c>
    </row>
    <row r="47" spans="1:27" x14ac:dyDescent="0.35">
      <c r="A47" s="3" t="s">
        <v>90</v>
      </c>
      <c r="B47" s="3" t="s">
        <v>9</v>
      </c>
      <c r="C47" s="3" t="s">
        <v>10</v>
      </c>
      <c r="D47" s="3" t="s">
        <v>11</v>
      </c>
      <c r="E47" s="4">
        <v>359.89</v>
      </c>
      <c r="F47" s="4">
        <v>527.29999999999995</v>
      </c>
      <c r="G47" s="4">
        <v>1</v>
      </c>
      <c r="H47" s="4">
        <v>1</v>
      </c>
      <c r="I47" s="4">
        <v>0</v>
      </c>
      <c r="J47" s="4">
        <v>2.3502740000000002</v>
      </c>
      <c r="K47" s="4">
        <f>1/3</f>
        <v>0.33333333333333331</v>
      </c>
      <c r="L47" s="4">
        <v>-2.0290240000000002</v>
      </c>
      <c r="M47" s="4">
        <f>2/3</f>
        <v>0.66666666666666663</v>
      </c>
      <c r="N47" s="4">
        <v>2.7464599999999999</v>
      </c>
      <c r="O47" s="4">
        <v>1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200</v>
      </c>
      <c r="Y47" s="4">
        <f t="shared" si="0"/>
        <v>359.89</v>
      </c>
      <c r="Z47" s="4"/>
      <c r="AA47" s="3" t="s">
        <v>88</v>
      </c>
    </row>
    <row r="48" spans="1:27" x14ac:dyDescent="0.35">
      <c r="A48" s="3" t="s">
        <v>87</v>
      </c>
      <c r="B48" s="3" t="s">
        <v>9</v>
      </c>
      <c r="C48" s="3" t="s">
        <v>10</v>
      </c>
      <c r="D48" s="3" t="s">
        <v>11</v>
      </c>
      <c r="E48" s="4">
        <v>345.28</v>
      </c>
      <c r="F48" s="4">
        <v>488.9</v>
      </c>
      <c r="G48" s="4">
        <v>1</v>
      </c>
      <c r="H48" s="4">
        <v>1</v>
      </c>
      <c r="I48" s="4">
        <v>0</v>
      </c>
      <c r="J48" s="4">
        <v>1.984734</v>
      </c>
      <c r="K48" s="4">
        <f>1/3</f>
        <v>0.33333333333333331</v>
      </c>
      <c r="L48" s="4">
        <v>-0.17675930000000001</v>
      </c>
      <c r="M48" s="4">
        <f>2/3</f>
        <v>0.66666666666666663</v>
      </c>
      <c r="N48" s="4">
        <v>1.8199719999999999</v>
      </c>
      <c r="O48" s="4">
        <v>1</v>
      </c>
      <c r="P48" s="4">
        <v>-0.71716840000000004</v>
      </c>
      <c r="Q48" s="4">
        <f>4/3</f>
        <v>1.3333333333333333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200</v>
      </c>
      <c r="Y48" s="4">
        <f t="shared" si="0"/>
        <v>345.28</v>
      </c>
      <c r="Z48" s="4"/>
      <c r="AA48" s="3" t="s">
        <v>88</v>
      </c>
    </row>
    <row r="49" spans="1:27" x14ac:dyDescent="0.35">
      <c r="A49" s="3" t="s">
        <v>59</v>
      </c>
      <c r="B49" s="3" t="s">
        <v>9</v>
      </c>
      <c r="C49" s="3" t="s">
        <v>10</v>
      </c>
      <c r="D49" s="3" t="s">
        <v>11</v>
      </c>
      <c r="E49" s="4">
        <v>591.75</v>
      </c>
      <c r="F49" s="4">
        <v>292</v>
      </c>
      <c r="G49" s="4">
        <v>1</v>
      </c>
      <c r="H49" s="4">
        <v>1</v>
      </c>
      <c r="I49" s="4">
        <v>0</v>
      </c>
      <c r="J49" s="4">
        <f>439.5835/F49</f>
        <v>1.5054229452054795</v>
      </c>
      <c r="K49" s="4">
        <v>0.35</v>
      </c>
      <c r="L49" s="4">
        <f>839.1558/F49</f>
        <v>2.8738212328767125</v>
      </c>
      <c r="M49" s="4">
        <f t="shared" ref="M49:M51" si="9">2/3</f>
        <v>0.66666666666666663</v>
      </c>
      <c r="N49" s="4">
        <f>-1234.8445/F49</f>
        <v>-4.2289195205479446</v>
      </c>
      <c r="O49" s="4">
        <v>1</v>
      </c>
      <c r="P49" s="4">
        <f>797.8741/F49</f>
        <v>2.7324455479452054</v>
      </c>
      <c r="Q49" s="4">
        <f t="shared" ref="Q49:Q51" si="10">4/3</f>
        <v>1.3333333333333333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178</v>
      </c>
      <c r="Y49" s="4">
        <f t="shared" si="0"/>
        <v>591.75</v>
      </c>
      <c r="Z49" s="4"/>
      <c r="AA49" s="3" t="s">
        <v>63</v>
      </c>
    </row>
    <row r="50" spans="1:27" x14ac:dyDescent="0.35">
      <c r="A50" s="3" t="s">
        <v>60</v>
      </c>
      <c r="B50" s="3" t="s">
        <v>9</v>
      </c>
      <c r="C50" s="3" t="s">
        <v>10</v>
      </c>
      <c r="D50" s="3" t="s">
        <v>11</v>
      </c>
      <c r="E50" s="4">
        <v>647.096</v>
      </c>
      <c r="F50" s="4">
        <v>322</v>
      </c>
      <c r="G50" s="4">
        <v>1</v>
      </c>
      <c r="H50" s="4">
        <v>1</v>
      </c>
      <c r="I50" s="4">
        <v>0</v>
      </c>
      <c r="J50" s="4">
        <v>1.9927406400000001</v>
      </c>
      <c r="K50" s="4">
        <v>0.33333333333333298</v>
      </c>
      <c r="L50" s="4">
        <v>1.0996534200000001</v>
      </c>
      <c r="M50" s="4">
        <v>0.66666666666666696</v>
      </c>
      <c r="N50" s="4">
        <v>-0.51083930300000002</v>
      </c>
      <c r="O50" s="4">
        <v>1.6666666666666601</v>
      </c>
      <c r="P50" s="4">
        <v>-1.7549347900000001</v>
      </c>
      <c r="Q50" s="4">
        <v>5.3333333333333304</v>
      </c>
      <c r="R50" s="4">
        <v>-45.517035200000002</v>
      </c>
      <c r="S50" s="4">
        <v>14.3333333333333</v>
      </c>
      <c r="T50" s="4">
        <v>-674694.45</v>
      </c>
      <c r="U50" s="4">
        <v>36.6666666666666</v>
      </c>
      <c r="V50" s="4">
        <v>0</v>
      </c>
      <c r="W50" s="4">
        <v>0</v>
      </c>
      <c r="X50" s="4">
        <v>273.16000000000003</v>
      </c>
      <c r="Y50" s="4">
        <f t="shared" si="0"/>
        <v>647.096</v>
      </c>
      <c r="Z50" s="4"/>
      <c r="AA50" s="3" t="s">
        <v>69</v>
      </c>
    </row>
    <row r="51" spans="1:27" x14ac:dyDescent="0.35">
      <c r="A51" s="3" t="s">
        <v>60</v>
      </c>
      <c r="B51" s="3" t="s">
        <v>9</v>
      </c>
      <c r="C51" s="3" t="s">
        <v>10</v>
      </c>
      <c r="D51" s="3" t="s">
        <v>11</v>
      </c>
      <c r="E51" s="4">
        <v>647.1</v>
      </c>
      <c r="F51" s="4">
        <v>322</v>
      </c>
      <c r="G51" s="4">
        <v>1</v>
      </c>
      <c r="H51" s="4">
        <v>1</v>
      </c>
      <c r="I51" s="4">
        <v>0</v>
      </c>
      <c r="J51" s="4">
        <f>1094.0233/F51</f>
        <v>3.3975878881987578</v>
      </c>
      <c r="K51" s="4">
        <v>0.35</v>
      </c>
      <c r="L51" s="4">
        <f>-1813.2295/F51</f>
        <v>-5.6311475155279505</v>
      </c>
      <c r="M51" s="4">
        <f t="shared" si="9"/>
        <v>0.66666666666666663</v>
      </c>
      <c r="N51" s="4">
        <f>3863.9557/F51</f>
        <v>11.999862422360248</v>
      </c>
      <c r="O51" s="4">
        <v>1</v>
      </c>
      <c r="P51" s="4">
        <f>-2479.813/F51</f>
        <v>-7.7012826086956521</v>
      </c>
      <c r="Q51" s="4">
        <f t="shared" si="10"/>
        <v>1.3333333333333333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273.16000000000003</v>
      </c>
      <c r="Y51" s="4">
        <f t="shared" si="0"/>
        <v>647.1</v>
      </c>
      <c r="Z51" s="4"/>
      <c r="AA51" s="3" t="s">
        <v>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SaturatedLiquidDensity_EoS1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2021-07-11T07:10:49Z</dcterms:modified>
</cp:coreProperties>
</file>