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arl\Downloads\"/>
    </mc:Choice>
  </mc:AlternateContent>
  <xr:revisionPtr revIDLastSave="0" documentId="8_{79498860-7B23-482A-9BC6-4E28945769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J6ajWHzu0fPG1VN3lYxaUAEmt3g=="/>
    </ext>
  </extLst>
</workbook>
</file>

<file path=xl/calcChain.xml><?xml version="1.0" encoding="utf-8"?>
<calcChain xmlns="http://schemas.openxmlformats.org/spreadsheetml/2006/main">
  <c r="O496" i="1" l="1"/>
  <c r="O472" i="1"/>
  <c r="O446" i="1"/>
  <c r="O423" i="1"/>
  <c r="O421" i="1"/>
  <c r="O378" i="1"/>
  <c r="O377" i="1"/>
  <c r="O376" i="1"/>
  <c r="O375" i="1"/>
  <c r="O371" i="1"/>
  <c r="O355" i="1"/>
  <c r="J530" i="1"/>
  <c r="J529" i="1"/>
  <c r="J528" i="1"/>
  <c r="J527" i="1"/>
  <c r="J526" i="1"/>
  <c r="J525" i="1"/>
  <c r="J524" i="1"/>
  <c r="E501" i="1"/>
  <c r="F501" i="1" s="1"/>
  <c r="D501" i="1"/>
  <c r="F500" i="1"/>
  <c r="H500" i="1" s="1"/>
  <c r="D500" i="1"/>
  <c r="G500" i="1" s="1"/>
  <c r="I500" i="1" s="1"/>
  <c r="J500" i="1" s="1"/>
  <c r="E499" i="1"/>
  <c r="C499" i="1"/>
  <c r="E498" i="1"/>
  <c r="F498" i="1" s="1"/>
  <c r="H498" i="1" s="1"/>
  <c r="D498" i="1"/>
  <c r="G498" i="1" s="1"/>
  <c r="I498" i="1" s="1"/>
  <c r="J498" i="1" s="1"/>
  <c r="E497" i="1"/>
  <c r="F497" i="1" s="1"/>
  <c r="D497" i="1"/>
  <c r="E496" i="1"/>
  <c r="F496" i="1" s="1"/>
  <c r="H496" i="1" s="1"/>
  <c r="D496" i="1"/>
  <c r="A496" i="1"/>
  <c r="A497" i="1" s="1"/>
  <c r="A498" i="1" s="1"/>
  <c r="A499" i="1" s="1"/>
  <c r="A500" i="1" s="1"/>
  <c r="A501" i="1" s="1"/>
  <c r="E495" i="1"/>
  <c r="F495" i="1" s="1"/>
  <c r="H495" i="1" s="1"/>
  <c r="D495" i="1"/>
  <c r="G495" i="1" s="1"/>
  <c r="I495" i="1" s="1"/>
  <c r="J495" i="1" s="1"/>
  <c r="E476" i="1"/>
  <c r="D476" i="1"/>
  <c r="F475" i="1"/>
  <c r="H475" i="1" s="1"/>
  <c r="D475" i="1"/>
  <c r="G475" i="1" s="1"/>
  <c r="E474" i="1"/>
  <c r="F474" i="1" s="1"/>
  <c r="C474" i="1"/>
  <c r="D474" i="1" s="1"/>
  <c r="G474" i="1" s="1"/>
  <c r="E473" i="1"/>
  <c r="D473" i="1"/>
  <c r="E472" i="1"/>
  <c r="F472" i="1" s="1"/>
  <c r="H472" i="1" s="1"/>
  <c r="D472" i="1"/>
  <c r="G472" i="1" s="1"/>
  <c r="I472" i="1" s="1"/>
  <c r="J472" i="1" s="1"/>
  <c r="A472" i="1"/>
  <c r="A473" i="1" s="1"/>
  <c r="A474" i="1" s="1"/>
  <c r="A475" i="1" s="1"/>
  <c r="A476" i="1" s="1"/>
  <c r="F471" i="1"/>
  <c r="H471" i="1" s="1"/>
  <c r="D471" i="1"/>
  <c r="G471" i="1" s="1"/>
  <c r="A471" i="1"/>
  <c r="E470" i="1"/>
  <c r="F470" i="1" s="1"/>
  <c r="D470" i="1"/>
  <c r="E453" i="1"/>
  <c r="F453" i="1" s="1"/>
  <c r="H453" i="1" s="1"/>
  <c r="D453" i="1"/>
  <c r="G453" i="1" s="1"/>
  <c r="I453" i="1" s="1"/>
  <c r="J453" i="1" s="1"/>
  <c r="E452" i="1"/>
  <c r="F452" i="1" s="1"/>
  <c r="D452" i="1"/>
  <c r="E451" i="1"/>
  <c r="F451" i="1" s="1"/>
  <c r="H451" i="1" s="1"/>
  <c r="D451" i="1"/>
  <c r="G451" i="1" s="1"/>
  <c r="I451" i="1" s="1"/>
  <c r="J451" i="1" s="1"/>
  <c r="E450" i="1"/>
  <c r="F450" i="1" s="1"/>
  <c r="D450" i="1"/>
  <c r="E449" i="1"/>
  <c r="D449" i="1"/>
  <c r="F448" i="1"/>
  <c r="R448" i="1" s="1"/>
  <c r="D448" i="1"/>
  <c r="G448" i="1" s="1"/>
  <c r="I448" i="1" s="1"/>
  <c r="J448" i="1" s="1"/>
  <c r="F447" i="1"/>
  <c r="H447" i="1" s="1"/>
  <c r="D447" i="1"/>
  <c r="G447" i="1" s="1"/>
  <c r="G446" i="1"/>
  <c r="R446" i="1" s="1"/>
  <c r="F446" i="1"/>
  <c r="H446" i="1" s="1"/>
  <c r="D446" i="1"/>
  <c r="A446" i="1"/>
  <c r="A447" i="1" s="1"/>
  <c r="A448" i="1" s="1"/>
  <c r="A449" i="1" s="1"/>
  <c r="A450" i="1" s="1"/>
  <c r="A451" i="1" s="1"/>
  <c r="I445" i="1"/>
  <c r="J445" i="1" s="1"/>
  <c r="F445" i="1"/>
  <c r="H445" i="1" s="1"/>
  <c r="D445" i="1"/>
  <c r="G445" i="1" s="1"/>
  <c r="E426" i="1"/>
  <c r="F426" i="1" s="1"/>
  <c r="D426" i="1"/>
  <c r="F425" i="1"/>
  <c r="H425" i="1" s="1"/>
  <c r="D425" i="1"/>
  <c r="G425" i="1" s="1"/>
  <c r="I425" i="1" s="1"/>
  <c r="J425" i="1" s="1"/>
  <c r="E424" i="1"/>
  <c r="F424" i="1" s="1"/>
  <c r="D424" i="1"/>
  <c r="E423" i="1"/>
  <c r="F423" i="1" s="1"/>
  <c r="H423" i="1" s="1"/>
  <c r="D423" i="1"/>
  <c r="I422" i="1"/>
  <c r="J422" i="1" s="1"/>
  <c r="K422" i="1" s="1"/>
  <c r="F422" i="1"/>
  <c r="P422" i="1" s="1"/>
  <c r="S422" i="1" s="1"/>
  <c r="D422" i="1"/>
  <c r="G422" i="1" s="1"/>
  <c r="F421" i="1"/>
  <c r="H421" i="1" s="1"/>
  <c r="D421" i="1"/>
  <c r="G421" i="1" s="1"/>
  <c r="R422" i="1" s="1"/>
  <c r="A421" i="1"/>
  <c r="A422" i="1" s="1"/>
  <c r="A423" i="1" s="1"/>
  <c r="A424" i="1" s="1"/>
  <c r="A425" i="1" s="1"/>
  <c r="A426" i="1" s="1"/>
  <c r="F420" i="1"/>
  <c r="H420" i="1" s="1"/>
  <c r="D420" i="1"/>
  <c r="G420" i="1" s="1"/>
  <c r="E401" i="1"/>
  <c r="F401" i="1" s="1"/>
  <c r="C401" i="1"/>
  <c r="D401" i="1" s="1"/>
  <c r="F400" i="1"/>
  <c r="P400" i="1" s="1"/>
  <c r="S400" i="1" s="1"/>
  <c r="D400" i="1"/>
  <c r="G400" i="1" s="1"/>
  <c r="I400" i="1" s="1"/>
  <c r="J400" i="1" s="1"/>
  <c r="F399" i="1"/>
  <c r="H399" i="1" s="1"/>
  <c r="D399" i="1"/>
  <c r="G399" i="1" s="1"/>
  <c r="E398" i="1"/>
  <c r="F398" i="1" s="1"/>
  <c r="P399" i="1" s="1"/>
  <c r="S399" i="1" s="1"/>
  <c r="D398" i="1"/>
  <c r="F397" i="1"/>
  <c r="H397" i="1" s="1"/>
  <c r="D397" i="1"/>
  <c r="G397" i="1" s="1"/>
  <c r="I397" i="1" s="1"/>
  <c r="J397" i="1" s="1"/>
  <c r="F396" i="1"/>
  <c r="D396" i="1"/>
  <c r="G396" i="1" s="1"/>
  <c r="A396" i="1"/>
  <c r="A397" i="1" s="1"/>
  <c r="A398" i="1" s="1"/>
  <c r="A399" i="1" s="1"/>
  <c r="A400" i="1" s="1"/>
  <c r="A401" i="1" s="1"/>
  <c r="E395" i="1"/>
  <c r="F395" i="1" s="1"/>
  <c r="H395" i="1" s="1"/>
  <c r="D395" i="1"/>
  <c r="E378" i="1"/>
  <c r="F378" i="1" s="1"/>
  <c r="H378" i="1" s="1"/>
  <c r="D378" i="1"/>
  <c r="G378" i="1" s="1"/>
  <c r="E377" i="1"/>
  <c r="F377" i="1" s="1"/>
  <c r="H377" i="1" s="1"/>
  <c r="D377" i="1"/>
  <c r="G377" i="1" s="1"/>
  <c r="I377" i="1" s="1"/>
  <c r="J377" i="1" s="1"/>
  <c r="E376" i="1"/>
  <c r="F376" i="1" s="1"/>
  <c r="H376" i="1" s="1"/>
  <c r="D376" i="1"/>
  <c r="G376" i="1" s="1"/>
  <c r="I376" i="1" s="1"/>
  <c r="J376" i="1" s="1"/>
  <c r="E375" i="1"/>
  <c r="F375" i="1" s="1"/>
  <c r="H375" i="1" s="1"/>
  <c r="D375" i="1"/>
  <c r="F374" i="1"/>
  <c r="H374" i="1" s="1"/>
  <c r="D374" i="1"/>
  <c r="G374" i="1" s="1"/>
  <c r="E373" i="1"/>
  <c r="C373" i="1"/>
  <c r="F372" i="1"/>
  <c r="D372" i="1"/>
  <c r="G372" i="1" s="1"/>
  <c r="I372" i="1" s="1"/>
  <c r="J372" i="1" s="1"/>
  <c r="F371" i="1"/>
  <c r="R371" i="1" s="1"/>
  <c r="D371" i="1"/>
  <c r="G371" i="1" s="1"/>
  <c r="I371" i="1" s="1"/>
  <c r="J371" i="1" s="1"/>
  <c r="A371" i="1"/>
  <c r="A372" i="1" s="1"/>
  <c r="A373" i="1" s="1"/>
  <c r="A374" i="1" s="1"/>
  <c r="A375" i="1" s="1"/>
  <c r="A376" i="1" s="1"/>
  <c r="A377" i="1" s="1"/>
  <c r="F370" i="1"/>
  <c r="H370" i="1" s="1"/>
  <c r="D370" i="1"/>
  <c r="G370" i="1" s="1"/>
  <c r="I370" i="1" s="1"/>
  <c r="J370" i="1" s="1"/>
  <c r="F355" i="1"/>
  <c r="H355" i="1" s="1"/>
  <c r="D355" i="1"/>
  <c r="G355" i="1" s="1"/>
  <c r="I355" i="1" s="1"/>
  <c r="J355" i="1" s="1"/>
  <c r="F354" i="1"/>
  <c r="H354" i="1" s="1"/>
  <c r="D354" i="1"/>
  <c r="G354" i="1" s="1"/>
  <c r="I354" i="1" s="1"/>
  <c r="J354" i="1" s="1"/>
  <c r="E353" i="1"/>
  <c r="D353" i="1"/>
  <c r="E352" i="1"/>
  <c r="F352" i="1" s="1"/>
  <c r="H352" i="1" s="1"/>
  <c r="D352" i="1"/>
  <c r="F351" i="1"/>
  <c r="D351" i="1"/>
  <c r="G351" i="1" s="1"/>
  <c r="F350" i="1"/>
  <c r="H350" i="1" s="1"/>
  <c r="D350" i="1"/>
  <c r="G350" i="1" s="1"/>
  <c r="G349" i="1"/>
  <c r="F349" i="1"/>
  <c r="D349" i="1"/>
  <c r="F348" i="1"/>
  <c r="H348" i="1" s="1"/>
  <c r="D348" i="1"/>
  <c r="G348" i="1" s="1"/>
  <c r="I348" i="1" s="1"/>
  <c r="J348" i="1" s="1"/>
  <c r="F347" i="1"/>
  <c r="H347" i="1" s="1"/>
  <c r="D347" i="1"/>
  <c r="G347" i="1" s="1"/>
  <c r="G346" i="1"/>
  <c r="F346" i="1"/>
  <c r="D346" i="1"/>
  <c r="A346" i="1"/>
  <c r="A347" i="1" s="1"/>
  <c r="A348" i="1" s="1"/>
  <c r="A349" i="1" s="1"/>
  <c r="A350" i="1" s="1"/>
  <c r="A351" i="1" s="1"/>
  <c r="A352" i="1" s="1"/>
  <c r="E345" i="1"/>
  <c r="D345" i="1"/>
  <c r="H452" i="1" l="1"/>
  <c r="P452" i="1"/>
  <c r="S452" i="1" s="1"/>
  <c r="O452" i="1"/>
  <c r="Q452" i="1" s="1"/>
  <c r="H470" i="1"/>
  <c r="O471" i="1"/>
  <c r="Q377" i="1"/>
  <c r="R372" i="1"/>
  <c r="H426" i="1"/>
  <c r="M426" i="1" s="1"/>
  <c r="P426" i="1"/>
  <c r="S426" i="1" s="1"/>
  <c r="O426" i="1"/>
  <c r="R447" i="1"/>
  <c r="H497" i="1"/>
  <c r="M497" i="1" s="1"/>
  <c r="P497" i="1"/>
  <c r="S497" i="1" s="1"/>
  <c r="O497" i="1"/>
  <c r="Q497" i="1" s="1"/>
  <c r="O498" i="1"/>
  <c r="Q498" i="1" s="1"/>
  <c r="H501" i="1"/>
  <c r="O501" i="1"/>
  <c r="P501" i="1"/>
  <c r="S501" i="1" s="1"/>
  <c r="R421" i="1"/>
  <c r="H401" i="1"/>
  <c r="P401" i="1"/>
  <c r="S401" i="1" s="1"/>
  <c r="O401" i="1"/>
  <c r="H450" i="1"/>
  <c r="R451" i="1"/>
  <c r="P450" i="1"/>
  <c r="S450" i="1" s="1"/>
  <c r="H424" i="1"/>
  <c r="N424" i="1" s="1"/>
  <c r="P424" i="1"/>
  <c r="S424" i="1" s="1"/>
  <c r="O425" i="1"/>
  <c r="Q425" i="1" s="1"/>
  <c r="O424" i="1"/>
  <c r="Q424" i="1" s="1"/>
  <c r="H396" i="1"/>
  <c r="O396" i="1"/>
  <c r="R397" i="1"/>
  <c r="H398" i="1"/>
  <c r="P398" i="1"/>
  <c r="S398" i="1" s="1"/>
  <c r="R399" i="1"/>
  <c r="O398" i="1"/>
  <c r="Q398" i="1" s="1"/>
  <c r="F449" i="1"/>
  <c r="G449" i="1"/>
  <c r="I449" i="1" s="1"/>
  <c r="J449" i="1" s="1"/>
  <c r="K449" i="1" s="1"/>
  <c r="H474" i="1"/>
  <c r="O475" i="1"/>
  <c r="P396" i="1"/>
  <c r="S396" i="1" s="1"/>
  <c r="R400" i="1"/>
  <c r="F345" i="1"/>
  <c r="H345" i="1" s="1"/>
  <c r="G345" i="1"/>
  <c r="P397" i="1"/>
  <c r="S397" i="1" s="1"/>
  <c r="R401" i="1"/>
  <c r="I351" i="1"/>
  <c r="J351" i="1" s="1"/>
  <c r="G353" i="1"/>
  <c r="O372" i="1"/>
  <c r="P376" i="1"/>
  <c r="S376" i="1" s="1"/>
  <c r="P378" i="1"/>
  <c r="S378" i="1" s="1"/>
  <c r="O448" i="1"/>
  <c r="H372" i="1"/>
  <c r="M372" i="1" s="1"/>
  <c r="H400" i="1"/>
  <c r="H448" i="1"/>
  <c r="P371" i="1"/>
  <c r="S371" i="1" s="1"/>
  <c r="P372" i="1"/>
  <c r="S372" i="1" s="1"/>
  <c r="R378" i="1"/>
  <c r="O400" i="1"/>
  <c r="Q400" i="1" s="1"/>
  <c r="P421" i="1"/>
  <c r="S421" i="1" s="1"/>
  <c r="O422" i="1"/>
  <c r="Q422" i="1" s="1"/>
  <c r="P423" i="1"/>
  <c r="S423" i="1" s="1"/>
  <c r="P425" i="1"/>
  <c r="S425" i="1" s="1"/>
  <c r="P446" i="1"/>
  <c r="S446" i="1" s="1"/>
  <c r="O447" i="1"/>
  <c r="P448" i="1"/>
  <c r="S448" i="1" s="1"/>
  <c r="O451" i="1"/>
  <c r="O453" i="1"/>
  <c r="P471" i="1"/>
  <c r="S471" i="1" s="1"/>
  <c r="P472" i="1"/>
  <c r="S472" i="1" s="1"/>
  <c r="P475" i="1"/>
  <c r="S475" i="1" s="1"/>
  <c r="P496" i="1"/>
  <c r="S496" i="1" s="1"/>
  <c r="P498" i="1"/>
  <c r="S498" i="1" s="1"/>
  <c r="Q371" i="1"/>
  <c r="P375" i="1"/>
  <c r="S375" i="1" s="1"/>
  <c r="P377" i="1"/>
  <c r="S377" i="1" s="1"/>
  <c r="Q472" i="1"/>
  <c r="R349" i="1"/>
  <c r="H371" i="1"/>
  <c r="F373" i="1"/>
  <c r="I396" i="1"/>
  <c r="J396" i="1" s="1"/>
  <c r="L396" i="1" s="1"/>
  <c r="G401" i="1"/>
  <c r="H422" i="1"/>
  <c r="N422" i="1" s="1"/>
  <c r="G426" i="1"/>
  <c r="I426" i="1" s="1"/>
  <c r="J426" i="1" s="1"/>
  <c r="G452" i="1"/>
  <c r="I452" i="1" s="1"/>
  <c r="J452" i="1" s="1"/>
  <c r="N452" i="1" s="1"/>
  <c r="G497" i="1"/>
  <c r="I497" i="1" s="1"/>
  <c r="J497" i="1" s="1"/>
  <c r="G501" i="1"/>
  <c r="I501" i="1" s="1"/>
  <c r="J501" i="1" s="1"/>
  <c r="R377" i="1"/>
  <c r="O397" i="1"/>
  <c r="O399" i="1"/>
  <c r="Q399" i="1" s="1"/>
  <c r="P447" i="1"/>
  <c r="S447" i="1" s="1"/>
  <c r="P451" i="1"/>
  <c r="S451" i="1" s="1"/>
  <c r="P453" i="1"/>
  <c r="S453" i="1" s="1"/>
  <c r="R471" i="1"/>
  <c r="R472" i="1"/>
  <c r="R475" i="1"/>
  <c r="R498" i="1"/>
  <c r="Q453" i="1"/>
  <c r="Q451" i="1"/>
  <c r="Q426" i="1"/>
  <c r="Q378" i="1"/>
  <c r="N498" i="1"/>
  <c r="K400" i="1"/>
  <c r="L400" i="1"/>
  <c r="I378" i="1"/>
  <c r="J378" i="1" s="1"/>
  <c r="M378" i="1" s="1"/>
  <c r="R348" i="1"/>
  <c r="O351" i="1"/>
  <c r="M355" i="1"/>
  <c r="I374" i="1"/>
  <c r="J374" i="1" s="1"/>
  <c r="L374" i="1" s="1"/>
  <c r="N397" i="1"/>
  <c r="M422" i="1"/>
  <c r="G473" i="1"/>
  <c r="P346" i="1"/>
  <c r="S346" i="1" s="1"/>
  <c r="P347" i="1"/>
  <c r="S347" i="1" s="1"/>
  <c r="P348" i="1"/>
  <c r="S348" i="1" s="1"/>
  <c r="P349" i="1"/>
  <c r="S349" i="1" s="1"/>
  <c r="R350" i="1"/>
  <c r="R351" i="1"/>
  <c r="R355" i="1"/>
  <c r="O350" i="1"/>
  <c r="O352" i="1"/>
  <c r="I346" i="1"/>
  <c r="J346" i="1" s="1"/>
  <c r="I350" i="1"/>
  <c r="J350" i="1" s="1"/>
  <c r="N350" i="1" s="1"/>
  <c r="G398" i="1"/>
  <c r="I398" i="1" s="1"/>
  <c r="J398" i="1" s="1"/>
  <c r="M398" i="1" s="1"/>
  <c r="I421" i="1"/>
  <c r="J421" i="1" s="1"/>
  <c r="N453" i="1"/>
  <c r="O346" i="1"/>
  <c r="Q346" i="1" s="1"/>
  <c r="O347" i="1"/>
  <c r="Q347" i="1" s="1"/>
  <c r="O348" i="1"/>
  <c r="Q348" i="1" s="1"/>
  <c r="O349" i="1"/>
  <c r="Q349" i="1" s="1"/>
  <c r="P350" i="1"/>
  <c r="S350" i="1" s="1"/>
  <c r="P351" i="1"/>
  <c r="S351" i="1" s="1"/>
  <c r="P352" i="1"/>
  <c r="S352" i="1" s="1"/>
  <c r="P355" i="1"/>
  <c r="S355" i="1" s="1"/>
  <c r="H346" i="1"/>
  <c r="M346" i="1" s="1"/>
  <c r="H349" i="1"/>
  <c r="I347" i="1"/>
  <c r="J347" i="1" s="1"/>
  <c r="M347" i="1" s="1"/>
  <c r="G375" i="1"/>
  <c r="I375" i="1" s="1"/>
  <c r="J375" i="1" s="1"/>
  <c r="K375" i="1" s="1"/>
  <c r="G423" i="1"/>
  <c r="I423" i="1" s="1"/>
  <c r="J423" i="1" s="1"/>
  <c r="K423" i="1" s="1"/>
  <c r="G470" i="1"/>
  <c r="I471" i="1"/>
  <c r="J471" i="1" s="1"/>
  <c r="K471" i="1" s="1"/>
  <c r="N472" i="1"/>
  <c r="R347" i="1"/>
  <c r="L346" i="1"/>
  <c r="K346" i="1"/>
  <c r="L348" i="1"/>
  <c r="K348" i="1"/>
  <c r="L350" i="1"/>
  <c r="L354" i="1"/>
  <c r="K354" i="1"/>
  <c r="K374" i="1"/>
  <c r="L376" i="1"/>
  <c r="K376" i="1"/>
  <c r="K398" i="1"/>
  <c r="N495" i="1"/>
  <c r="M495" i="1"/>
  <c r="N348" i="1"/>
  <c r="L370" i="1"/>
  <c r="K370" i="1"/>
  <c r="N370" i="1"/>
  <c r="K377" i="1"/>
  <c r="L377" i="1"/>
  <c r="N378" i="1"/>
  <c r="L448" i="1"/>
  <c r="K448" i="1"/>
  <c r="M448" i="1"/>
  <c r="L452" i="1"/>
  <c r="L453" i="1"/>
  <c r="K453" i="1"/>
  <c r="M453" i="1"/>
  <c r="K497" i="1"/>
  <c r="L497" i="1"/>
  <c r="K500" i="1"/>
  <c r="L500" i="1"/>
  <c r="L347" i="1"/>
  <c r="M370" i="1"/>
  <c r="K371" i="1"/>
  <c r="L371" i="1"/>
  <c r="L372" i="1"/>
  <c r="K372" i="1"/>
  <c r="L375" i="1"/>
  <c r="N426" i="1"/>
  <c r="L471" i="1"/>
  <c r="N347" i="1"/>
  <c r="K351" i="1"/>
  <c r="L351" i="1"/>
  <c r="L355" i="1"/>
  <c r="K355" i="1"/>
  <c r="N355" i="1"/>
  <c r="N375" i="1"/>
  <c r="M375" i="1"/>
  <c r="L397" i="1"/>
  <c r="K397" i="1"/>
  <c r="K425" i="1"/>
  <c r="L425" i="1"/>
  <c r="N425" i="1"/>
  <c r="L451" i="1"/>
  <c r="K451" i="1"/>
  <c r="L472" i="1"/>
  <c r="K472" i="1"/>
  <c r="M472" i="1"/>
  <c r="K501" i="1"/>
  <c r="L501" i="1"/>
  <c r="N501" i="1"/>
  <c r="N354" i="1"/>
  <c r="M354" i="1"/>
  <c r="N376" i="1"/>
  <c r="M376" i="1"/>
  <c r="K426" i="1"/>
  <c r="L426" i="1"/>
  <c r="K445" i="1"/>
  <c r="L445" i="1"/>
  <c r="K495" i="1"/>
  <c r="L495" i="1"/>
  <c r="M350" i="1"/>
  <c r="H351" i="1"/>
  <c r="M371" i="1"/>
  <c r="N371" i="1"/>
  <c r="D373" i="1"/>
  <c r="G373" i="1" s="1"/>
  <c r="I373" i="1" s="1"/>
  <c r="J373" i="1" s="1"/>
  <c r="N377" i="1"/>
  <c r="M377" i="1"/>
  <c r="G395" i="1"/>
  <c r="I395" i="1" s="1"/>
  <c r="J395" i="1" s="1"/>
  <c r="M401" i="1"/>
  <c r="M425" i="1"/>
  <c r="M445" i="1"/>
  <c r="K498" i="1"/>
  <c r="L498" i="1"/>
  <c r="N346" i="1"/>
  <c r="M348" i="1"/>
  <c r="F353" i="1"/>
  <c r="N372" i="1"/>
  <c r="M397" i="1"/>
  <c r="I401" i="1"/>
  <c r="J401" i="1" s="1"/>
  <c r="N445" i="1"/>
  <c r="I446" i="1"/>
  <c r="J446" i="1" s="1"/>
  <c r="N448" i="1"/>
  <c r="G450" i="1"/>
  <c r="I450" i="1" s="1"/>
  <c r="J450" i="1" s="1"/>
  <c r="M450" i="1" s="1"/>
  <c r="N451" i="1"/>
  <c r="M451" i="1"/>
  <c r="I470" i="1"/>
  <c r="J470" i="1" s="1"/>
  <c r="N471" i="1"/>
  <c r="F473" i="1"/>
  <c r="M498" i="1"/>
  <c r="N500" i="1"/>
  <c r="M500" i="1"/>
  <c r="M501" i="1"/>
  <c r="I349" i="1"/>
  <c r="J349" i="1" s="1"/>
  <c r="G352" i="1"/>
  <c r="I352" i="1" s="1"/>
  <c r="J352" i="1" s="1"/>
  <c r="I399" i="1"/>
  <c r="J399" i="1" s="1"/>
  <c r="N400" i="1"/>
  <c r="M400" i="1"/>
  <c r="I420" i="1"/>
  <c r="J420" i="1" s="1"/>
  <c r="M420" i="1" s="1"/>
  <c r="L422" i="1"/>
  <c r="G424" i="1"/>
  <c r="I424" i="1" s="1"/>
  <c r="J424" i="1" s="1"/>
  <c r="I474" i="1"/>
  <c r="J474" i="1" s="1"/>
  <c r="I475" i="1"/>
  <c r="J475" i="1" s="1"/>
  <c r="G476" i="1"/>
  <c r="F476" i="1"/>
  <c r="F499" i="1"/>
  <c r="I447" i="1"/>
  <c r="J447" i="1" s="1"/>
  <c r="N447" i="1" s="1"/>
  <c r="G496" i="1"/>
  <c r="D499" i="1"/>
  <c r="G499" i="1" s="1"/>
  <c r="H473" i="1" l="1"/>
  <c r="P473" i="1"/>
  <c r="S473" i="1" s="1"/>
  <c r="O473" i="1"/>
  <c r="Q473" i="1" s="1"/>
  <c r="R473" i="1"/>
  <c r="Q372" i="1"/>
  <c r="O474" i="1"/>
  <c r="R424" i="1"/>
  <c r="H499" i="1"/>
  <c r="M499" i="1" s="1"/>
  <c r="R499" i="1"/>
  <c r="O499" i="1"/>
  <c r="O500" i="1"/>
  <c r="Q500" i="1" s="1"/>
  <c r="P499" i="1"/>
  <c r="S499" i="1" s="1"/>
  <c r="P500" i="1"/>
  <c r="S500" i="1" s="1"/>
  <c r="M474" i="1"/>
  <c r="M374" i="1"/>
  <c r="M396" i="1"/>
  <c r="K452" i="1"/>
  <c r="K350" i="1"/>
  <c r="Q423" i="1"/>
  <c r="R396" i="1"/>
  <c r="Q501" i="1"/>
  <c r="H476" i="1"/>
  <c r="R476" i="1"/>
  <c r="O476" i="1"/>
  <c r="Q476" i="1" s="1"/>
  <c r="P476" i="1"/>
  <c r="S476" i="1" s="1"/>
  <c r="N374" i="1"/>
  <c r="M423" i="1"/>
  <c r="L378" i="1"/>
  <c r="N396" i="1"/>
  <c r="K396" i="1"/>
  <c r="Q355" i="1"/>
  <c r="R375" i="1"/>
  <c r="Q376" i="1"/>
  <c r="Q475" i="1"/>
  <c r="R449" i="1"/>
  <c r="P449" i="1"/>
  <c r="S449" i="1" s="1"/>
  <c r="H449" i="1"/>
  <c r="O449" i="1"/>
  <c r="Q449" i="1" s="1"/>
  <c r="Q396" i="1"/>
  <c r="R450" i="1"/>
  <c r="Q446" i="1"/>
  <c r="R501" i="1"/>
  <c r="R497" i="1"/>
  <c r="R426" i="1"/>
  <c r="R453" i="1"/>
  <c r="N497" i="1"/>
  <c r="I345" i="1"/>
  <c r="J345" i="1" s="1"/>
  <c r="N345" i="1" s="1"/>
  <c r="Q447" i="1"/>
  <c r="R500" i="1"/>
  <c r="R423" i="1"/>
  <c r="R374" i="1"/>
  <c r="H373" i="1"/>
  <c r="O373" i="1"/>
  <c r="P373" i="1"/>
  <c r="S373" i="1" s="1"/>
  <c r="O374" i="1"/>
  <c r="Q374" i="1" s="1"/>
  <c r="R373" i="1"/>
  <c r="R376" i="1"/>
  <c r="Q448" i="1"/>
  <c r="R474" i="1"/>
  <c r="Q471" i="1"/>
  <c r="I496" i="1"/>
  <c r="J496" i="1" s="1"/>
  <c r="R496" i="1"/>
  <c r="M424" i="1"/>
  <c r="M452" i="1"/>
  <c r="L449" i="1"/>
  <c r="N450" i="1"/>
  <c r="L423" i="1"/>
  <c r="N423" i="1"/>
  <c r="K378" i="1"/>
  <c r="R352" i="1"/>
  <c r="R346" i="1"/>
  <c r="Q397" i="1"/>
  <c r="P374" i="1"/>
  <c r="S374" i="1" s="1"/>
  <c r="Q496" i="1"/>
  <c r="Q375" i="1"/>
  <c r="P474" i="1"/>
  <c r="S474" i="1" s="1"/>
  <c r="R398" i="1"/>
  <c r="R425" i="1"/>
  <c r="O450" i="1"/>
  <c r="Q450" i="1" s="1"/>
  <c r="Q401" i="1"/>
  <c r="Q421" i="1"/>
  <c r="R452" i="1"/>
  <c r="K421" i="1"/>
  <c r="L421" i="1"/>
  <c r="H353" i="1"/>
  <c r="R353" i="1"/>
  <c r="P354" i="1"/>
  <c r="S354" i="1" s="1"/>
  <c r="O353" i="1"/>
  <c r="P353" i="1"/>
  <c r="S353" i="1" s="1"/>
  <c r="O354" i="1"/>
  <c r="Q352" i="1"/>
  <c r="R354" i="1"/>
  <c r="N421" i="1"/>
  <c r="N398" i="1"/>
  <c r="H385" i="1"/>
  <c r="H386" i="1" s="1"/>
  <c r="B525" i="1" s="1"/>
  <c r="L398" i="1"/>
  <c r="Q350" i="1"/>
  <c r="I499" i="1"/>
  <c r="J499" i="1" s="1"/>
  <c r="K499" i="1" s="1"/>
  <c r="M421" i="1"/>
  <c r="K347" i="1"/>
  <c r="Q351" i="1"/>
  <c r="M471" i="1"/>
  <c r="H389" i="1"/>
  <c r="H390" i="1" s="1"/>
  <c r="D525" i="1" s="1"/>
  <c r="H387" i="1"/>
  <c r="C525" i="1" s="1"/>
  <c r="N476" i="1"/>
  <c r="L349" i="1"/>
  <c r="K349" i="1"/>
  <c r="K373" i="1"/>
  <c r="L373" i="1"/>
  <c r="K496" i="1"/>
  <c r="H510" i="1" s="1"/>
  <c r="L496" i="1"/>
  <c r="I476" i="1"/>
  <c r="J476" i="1" s="1"/>
  <c r="L446" i="1"/>
  <c r="K446" i="1"/>
  <c r="H460" i="1" s="1"/>
  <c r="M446" i="1"/>
  <c r="L401" i="1"/>
  <c r="K401" i="1"/>
  <c r="M353" i="1"/>
  <c r="L395" i="1"/>
  <c r="K395" i="1"/>
  <c r="M395" i="1"/>
  <c r="L447" i="1"/>
  <c r="K447" i="1"/>
  <c r="L475" i="1"/>
  <c r="M475" i="1"/>
  <c r="K475" i="1"/>
  <c r="M447" i="1"/>
  <c r="L399" i="1"/>
  <c r="K399" i="1"/>
  <c r="H414" i="1" s="1"/>
  <c r="N475" i="1"/>
  <c r="K470" i="1"/>
  <c r="L470" i="1"/>
  <c r="K450" i="1"/>
  <c r="H464" i="1"/>
  <c r="L450" i="1"/>
  <c r="N399" i="1"/>
  <c r="N349" i="1"/>
  <c r="N395" i="1"/>
  <c r="I353" i="1"/>
  <c r="J353" i="1" s="1"/>
  <c r="M496" i="1"/>
  <c r="M470" i="1"/>
  <c r="N499" i="1"/>
  <c r="K474" i="1"/>
  <c r="L474" i="1"/>
  <c r="L424" i="1"/>
  <c r="K424" i="1"/>
  <c r="L420" i="1"/>
  <c r="K420" i="1"/>
  <c r="K352" i="1"/>
  <c r="L352" i="1"/>
  <c r="N420" i="1"/>
  <c r="M399" i="1"/>
  <c r="I473" i="1"/>
  <c r="J473" i="1" s="1"/>
  <c r="N473" i="1" s="1"/>
  <c r="N446" i="1"/>
  <c r="N401" i="1"/>
  <c r="N351" i="1"/>
  <c r="M351" i="1"/>
  <c r="M349" i="1"/>
  <c r="N474" i="1"/>
  <c r="M352" i="1"/>
  <c r="N496" i="1"/>
  <c r="N470" i="1"/>
  <c r="N373" i="1"/>
  <c r="N352" i="1"/>
  <c r="M373" i="1"/>
  <c r="M345" i="1" l="1"/>
  <c r="Q354" i="1"/>
  <c r="H410" i="1"/>
  <c r="H412" i="1" s="1"/>
  <c r="C526" i="1" s="1"/>
  <c r="L499" i="1"/>
  <c r="H514" i="1" s="1"/>
  <c r="H391" i="1"/>
  <c r="E525" i="1" s="1"/>
  <c r="I525" i="1" s="1"/>
  <c r="Q373" i="1"/>
  <c r="M449" i="1"/>
  <c r="N449" i="1"/>
  <c r="Q499" i="1"/>
  <c r="Q474" i="1"/>
  <c r="K345" i="1"/>
  <c r="H360" i="1" s="1"/>
  <c r="L345" i="1"/>
  <c r="H435" i="1"/>
  <c r="M473" i="1"/>
  <c r="Q353" i="1"/>
  <c r="H439" i="1"/>
  <c r="H441" i="1" s="1"/>
  <c r="E527" i="1" s="1"/>
  <c r="H512" i="1"/>
  <c r="C530" i="1" s="1"/>
  <c r="H511" i="1"/>
  <c r="B530" i="1" s="1"/>
  <c r="H411" i="1"/>
  <c r="B526" i="1" s="1"/>
  <c r="H437" i="1"/>
  <c r="C527" i="1" s="1"/>
  <c r="H436" i="1"/>
  <c r="B527" i="1" s="1"/>
  <c r="H416" i="1"/>
  <c r="E526" i="1" s="1"/>
  <c r="H415" i="1"/>
  <c r="D526" i="1" s="1"/>
  <c r="H461" i="1"/>
  <c r="B528" i="1" s="1"/>
  <c r="H462" i="1"/>
  <c r="C528" i="1" s="1"/>
  <c r="H466" i="1"/>
  <c r="E528" i="1" s="1"/>
  <c r="H465" i="1"/>
  <c r="D528" i="1" s="1"/>
  <c r="L353" i="1"/>
  <c r="K353" i="1"/>
  <c r="H364" i="1" s="1"/>
  <c r="L476" i="1"/>
  <c r="K476" i="1"/>
  <c r="M476" i="1"/>
  <c r="L473" i="1"/>
  <c r="K473" i="1"/>
  <c r="N353" i="1"/>
  <c r="F525" i="1"/>
  <c r="G525" i="1" s="1"/>
  <c r="H525" i="1"/>
  <c r="H516" i="1" l="1"/>
  <c r="E530" i="1" s="1"/>
  <c r="H515" i="1"/>
  <c r="D530" i="1" s="1"/>
  <c r="H530" i="1" s="1"/>
  <c r="H362" i="1"/>
  <c r="C524" i="1" s="1"/>
  <c r="H361" i="1"/>
  <c r="B524" i="1" s="1"/>
  <c r="H440" i="1"/>
  <c r="D527" i="1" s="1"/>
  <c r="H485" i="1"/>
  <c r="H486" i="1"/>
  <c r="B529" i="1" s="1"/>
  <c r="H487" i="1"/>
  <c r="C529" i="1" s="1"/>
  <c r="H366" i="1"/>
  <c r="E524" i="1" s="1"/>
  <c r="H365" i="1"/>
  <c r="D524" i="1" s="1"/>
  <c r="F526" i="1"/>
  <c r="G526" i="1" s="1"/>
  <c r="H526" i="1"/>
  <c r="H528" i="1"/>
  <c r="F528" i="1"/>
  <c r="G528" i="1" s="1"/>
  <c r="F530" i="1"/>
  <c r="G530" i="1" s="1"/>
  <c r="I530" i="1"/>
  <c r="I528" i="1"/>
  <c r="H489" i="1"/>
  <c r="I527" i="1"/>
  <c r="I526" i="1"/>
  <c r="H527" i="1"/>
  <c r="F527" i="1"/>
  <c r="G527" i="1" s="1"/>
  <c r="I524" i="1" l="1"/>
  <c r="H524" i="1"/>
  <c r="F524" i="1"/>
  <c r="G524" i="1" s="1"/>
  <c r="H491" i="1"/>
  <c r="E529" i="1" s="1"/>
  <c r="I529" i="1" s="1"/>
  <c r="H490" i="1"/>
  <c r="D529" i="1" s="1"/>
  <c r="F529" i="1" l="1"/>
  <c r="G529" i="1" s="1"/>
  <c r="H529" i="1"/>
  <c r="A274" i="1" l="1"/>
  <c r="E273" i="1"/>
  <c r="C273" i="1"/>
  <c r="A248" i="1"/>
  <c r="A249" i="1" s="1"/>
  <c r="E249" i="1" s="1"/>
  <c r="E247" i="1"/>
  <c r="C247" i="1"/>
  <c r="D247" i="1" s="1"/>
  <c r="A222" i="1"/>
  <c r="E222" i="1" s="1"/>
  <c r="E221" i="1"/>
  <c r="C221" i="1"/>
  <c r="D221" i="1" s="1"/>
  <c r="A196" i="1"/>
  <c r="E195" i="1"/>
  <c r="C195" i="1"/>
  <c r="A170" i="1"/>
  <c r="E170" i="1" s="1"/>
  <c r="E169" i="1"/>
  <c r="C169" i="1"/>
  <c r="E152" i="1"/>
  <c r="C152" i="1"/>
  <c r="D152" i="1" s="1"/>
  <c r="B152" i="1"/>
  <c r="C151" i="1"/>
  <c r="D151" i="1" s="1"/>
  <c r="B151" i="1"/>
  <c r="A142" i="1"/>
  <c r="E142" i="1" s="1"/>
  <c r="E141" i="1"/>
  <c r="C141" i="1"/>
  <c r="E105" i="1"/>
  <c r="E101" i="1"/>
  <c r="E100" i="1"/>
  <c r="E99" i="1"/>
  <c r="E98" i="1"/>
  <c r="E97" i="1"/>
  <c r="C96" i="1"/>
  <c r="E151" i="1" s="1"/>
  <c r="C92" i="1"/>
  <c r="E92" i="1" s="1"/>
  <c r="C91" i="1"/>
  <c r="E91" i="1" s="1"/>
  <c r="E90" i="1"/>
  <c r="E89" i="1"/>
  <c r="E88" i="1"/>
  <c r="C87" i="1"/>
  <c r="E87" i="1" s="1"/>
  <c r="C83" i="1"/>
  <c r="E83" i="1" s="1"/>
  <c r="C82" i="1"/>
  <c r="E82" i="1" s="1"/>
  <c r="C81" i="1"/>
  <c r="E81" i="1" s="1"/>
  <c r="E80" i="1"/>
  <c r="C79" i="1"/>
  <c r="E79" i="1" s="1"/>
  <c r="E78" i="1"/>
  <c r="C74" i="1"/>
  <c r="E74" i="1" s="1"/>
  <c r="C73" i="1"/>
  <c r="E73" i="1" s="1"/>
  <c r="E72" i="1"/>
  <c r="E71" i="1"/>
  <c r="E70" i="1"/>
  <c r="E69" i="1"/>
  <c r="E65" i="1"/>
  <c r="E64" i="1"/>
  <c r="E63" i="1"/>
  <c r="E62" i="1"/>
  <c r="E61" i="1"/>
  <c r="E60" i="1"/>
  <c r="E56" i="1"/>
  <c r="E55" i="1"/>
  <c r="E54" i="1"/>
  <c r="E53" i="1"/>
  <c r="E52" i="1"/>
  <c r="E51" i="1"/>
  <c r="E47" i="1"/>
  <c r="E46" i="1"/>
  <c r="E45" i="1"/>
  <c r="E44" i="1"/>
  <c r="E43" i="1"/>
  <c r="E42" i="1"/>
  <c r="E38" i="1"/>
  <c r="E37" i="1"/>
  <c r="E36" i="1"/>
  <c r="E35" i="1"/>
  <c r="E34" i="1"/>
  <c r="E33" i="1"/>
  <c r="E29" i="1"/>
  <c r="E28" i="1"/>
  <c r="E27" i="1"/>
  <c r="E26" i="1"/>
  <c r="E25" i="1"/>
  <c r="E24" i="1"/>
  <c r="E20" i="1"/>
  <c r="E19" i="1"/>
  <c r="E18" i="1"/>
  <c r="E17" i="1"/>
  <c r="E16" i="1"/>
  <c r="E15" i="1"/>
  <c r="E11" i="1"/>
  <c r="E10" i="1"/>
  <c r="E9" i="1"/>
  <c r="E8" i="1"/>
  <c r="E7" i="1"/>
  <c r="E6" i="1"/>
  <c r="A223" i="1" l="1"/>
  <c r="C248" i="1"/>
  <c r="D248" i="1" s="1"/>
  <c r="E248" i="1"/>
  <c r="F247" i="1"/>
  <c r="P247" i="1" s="1"/>
  <c r="S247" i="1" s="1"/>
  <c r="F169" i="1"/>
  <c r="O169" i="1" s="1"/>
  <c r="F273" i="1"/>
  <c r="P273" i="1" s="1"/>
  <c r="S273" i="1" s="1"/>
  <c r="F152" i="1"/>
  <c r="H152" i="1" s="1"/>
  <c r="F195" i="1"/>
  <c r="P195" i="1" s="1"/>
  <c r="S195" i="1" s="1"/>
  <c r="G221" i="1"/>
  <c r="G247" i="1"/>
  <c r="G152" i="1"/>
  <c r="F221" i="1"/>
  <c r="P221" i="1" s="1"/>
  <c r="S221" i="1" s="1"/>
  <c r="G151" i="1"/>
  <c r="F151" i="1"/>
  <c r="E196" i="1"/>
  <c r="A197" i="1"/>
  <c r="C196" i="1"/>
  <c r="D169" i="1"/>
  <c r="G169" i="1" s="1"/>
  <c r="D195" i="1"/>
  <c r="G195" i="1" s="1"/>
  <c r="E223" i="1"/>
  <c r="A224" i="1"/>
  <c r="C223" i="1"/>
  <c r="F141" i="1"/>
  <c r="C170" i="1"/>
  <c r="A171" i="1"/>
  <c r="E274" i="1"/>
  <c r="A275" i="1"/>
  <c r="E96" i="1"/>
  <c r="D141" i="1"/>
  <c r="G141" i="1" s="1"/>
  <c r="C142" i="1"/>
  <c r="A143" i="1"/>
  <c r="C222" i="1"/>
  <c r="C274" i="1"/>
  <c r="C249" i="1"/>
  <c r="A250" i="1"/>
  <c r="D273" i="1"/>
  <c r="G273" i="1" s="1"/>
  <c r="P169" i="1" l="1"/>
  <c r="S169" i="1" s="1"/>
  <c r="O247" i="1"/>
  <c r="Q247" i="1" s="1"/>
  <c r="H195" i="1"/>
  <c r="F248" i="1"/>
  <c r="H248" i="1" s="1"/>
  <c r="G248" i="1"/>
  <c r="H247" i="1"/>
  <c r="I195" i="1"/>
  <c r="L195" i="1" s="1"/>
  <c r="H169" i="1"/>
  <c r="O195" i="1"/>
  <c r="I152" i="1"/>
  <c r="J152" i="1" s="1"/>
  <c r="N152" i="1" s="1"/>
  <c r="I141" i="1"/>
  <c r="K141" i="1" s="1"/>
  <c r="I169" i="1"/>
  <c r="L169" i="1" s="1"/>
  <c r="I247" i="1"/>
  <c r="K247" i="1" s="1"/>
  <c r="I273" i="1"/>
  <c r="J273" i="1" s="1"/>
  <c r="O273" i="1"/>
  <c r="Q273" i="1" s="1"/>
  <c r="H273" i="1"/>
  <c r="Q195" i="1"/>
  <c r="R247" i="1"/>
  <c r="R273" i="1"/>
  <c r="R195" i="1"/>
  <c r="O221" i="1"/>
  <c r="Q221" i="1" s="1"/>
  <c r="H221" i="1"/>
  <c r="R221" i="1"/>
  <c r="R169" i="1"/>
  <c r="I221" i="1"/>
  <c r="D274" i="1"/>
  <c r="G274" i="1" s="1"/>
  <c r="F274" i="1"/>
  <c r="F142" i="1"/>
  <c r="D142" i="1"/>
  <c r="G142" i="1" s="1"/>
  <c r="I151" i="1"/>
  <c r="D170" i="1"/>
  <c r="G170" i="1" s="1"/>
  <c r="F170" i="1"/>
  <c r="H151" i="1"/>
  <c r="F222" i="1"/>
  <c r="D222" i="1"/>
  <c r="G222" i="1" s="1"/>
  <c r="R152" i="1"/>
  <c r="D196" i="1"/>
  <c r="G196" i="1" s="1"/>
  <c r="F196" i="1"/>
  <c r="P152" i="1"/>
  <c r="S152" i="1" s="1"/>
  <c r="A251" i="1"/>
  <c r="E250" i="1"/>
  <c r="C250" i="1"/>
  <c r="D223" i="1"/>
  <c r="G223" i="1" s="1"/>
  <c r="F223" i="1"/>
  <c r="A198" i="1"/>
  <c r="C197" i="1"/>
  <c r="E197" i="1"/>
  <c r="D249" i="1"/>
  <c r="G249" i="1" s="1"/>
  <c r="F249" i="1"/>
  <c r="E143" i="1"/>
  <c r="A144" i="1"/>
  <c r="C143" i="1"/>
  <c r="A276" i="1"/>
  <c r="C275" i="1"/>
  <c r="E275" i="1"/>
  <c r="A172" i="1"/>
  <c r="C171" i="1"/>
  <c r="E171" i="1"/>
  <c r="R141" i="1"/>
  <c r="O141" i="1"/>
  <c r="H141" i="1"/>
  <c r="P141" i="1"/>
  <c r="S141" i="1" s="1"/>
  <c r="A225" i="1"/>
  <c r="C224" i="1"/>
  <c r="E224" i="1"/>
  <c r="O152" i="1"/>
  <c r="O248" i="1" l="1"/>
  <c r="Q169" i="1"/>
  <c r="P248" i="1"/>
  <c r="S248" i="1" s="1"/>
  <c r="I248" i="1"/>
  <c r="K248" i="1" s="1"/>
  <c r="R248" i="1"/>
  <c r="K195" i="1"/>
  <c r="M152" i="1"/>
  <c r="L152" i="1"/>
  <c r="J195" i="1"/>
  <c r="N195" i="1" s="1"/>
  <c r="K273" i="1"/>
  <c r="K152" i="1"/>
  <c r="L141" i="1"/>
  <c r="J169" i="1"/>
  <c r="M169" i="1" s="1"/>
  <c r="K169" i="1"/>
  <c r="J247" i="1"/>
  <c r="M247" i="1" s="1"/>
  <c r="M273" i="1"/>
  <c r="L247" i="1"/>
  <c r="J141" i="1"/>
  <c r="N141" i="1" s="1"/>
  <c r="L273" i="1"/>
  <c r="L248" i="1"/>
  <c r="I142" i="1"/>
  <c r="K142" i="1" s="1"/>
  <c r="I274" i="1"/>
  <c r="K274" i="1" s="1"/>
  <c r="Q141" i="1"/>
  <c r="I196" i="1"/>
  <c r="J196" i="1" s="1"/>
  <c r="Q152" i="1"/>
  <c r="I222" i="1"/>
  <c r="K222" i="1" s="1"/>
  <c r="J221" i="1"/>
  <c r="L221" i="1"/>
  <c r="K221" i="1"/>
  <c r="A277" i="1"/>
  <c r="C276" i="1"/>
  <c r="E276" i="1"/>
  <c r="H249" i="1"/>
  <c r="R249" i="1"/>
  <c r="O249" i="1"/>
  <c r="P249" i="1"/>
  <c r="S249" i="1" s="1"/>
  <c r="P223" i="1"/>
  <c r="S223" i="1" s="1"/>
  <c r="H223" i="1"/>
  <c r="O223" i="1"/>
  <c r="R223" i="1"/>
  <c r="D224" i="1"/>
  <c r="G224" i="1" s="1"/>
  <c r="F224" i="1"/>
  <c r="A173" i="1"/>
  <c r="C172" i="1"/>
  <c r="E172" i="1"/>
  <c r="I249" i="1"/>
  <c r="I223" i="1"/>
  <c r="I170" i="1"/>
  <c r="A226" i="1"/>
  <c r="C225" i="1"/>
  <c r="E225" i="1"/>
  <c r="A145" i="1"/>
  <c r="C144" i="1"/>
  <c r="E144" i="1"/>
  <c r="J151" i="1"/>
  <c r="M151" i="1" s="1"/>
  <c r="K151" i="1"/>
  <c r="L151" i="1"/>
  <c r="H142" i="1"/>
  <c r="R142" i="1"/>
  <c r="P142" i="1"/>
  <c r="S142" i="1" s="1"/>
  <c r="O142" i="1"/>
  <c r="D171" i="1"/>
  <c r="G171" i="1" s="1"/>
  <c r="F171" i="1"/>
  <c r="A199" i="1"/>
  <c r="C198" i="1"/>
  <c r="E198" i="1"/>
  <c r="N151" i="1"/>
  <c r="P170" i="1"/>
  <c r="S170" i="1" s="1"/>
  <c r="H170" i="1"/>
  <c r="O170" i="1"/>
  <c r="R170" i="1"/>
  <c r="D143" i="1"/>
  <c r="G143" i="1" s="1"/>
  <c r="F143" i="1"/>
  <c r="D250" i="1"/>
  <c r="G250" i="1" s="1"/>
  <c r="F250" i="1"/>
  <c r="D275" i="1"/>
  <c r="G275" i="1" s="1"/>
  <c r="F275" i="1"/>
  <c r="D197" i="1"/>
  <c r="G197" i="1" s="1"/>
  <c r="F197" i="1"/>
  <c r="N273" i="1"/>
  <c r="A252" i="1"/>
  <c r="E251" i="1"/>
  <c r="C251" i="1"/>
  <c r="P196" i="1"/>
  <c r="S196" i="1" s="1"/>
  <c r="H196" i="1"/>
  <c r="O196" i="1"/>
  <c r="R196" i="1"/>
  <c r="P222" i="1"/>
  <c r="S222" i="1" s="1"/>
  <c r="O222" i="1"/>
  <c r="H222" i="1"/>
  <c r="R222" i="1"/>
  <c r="P274" i="1"/>
  <c r="S274" i="1" s="1"/>
  <c r="H274" i="1"/>
  <c r="O274" i="1"/>
  <c r="R274" i="1"/>
  <c r="Q248" i="1" l="1"/>
  <c r="J248" i="1"/>
  <c r="M248" i="1" s="1"/>
  <c r="N169" i="1"/>
  <c r="M195" i="1"/>
  <c r="N247" i="1"/>
  <c r="L274" i="1"/>
  <c r="M141" i="1"/>
  <c r="L196" i="1"/>
  <c r="J142" i="1"/>
  <c r="M142" i="1" s="1"/>
  <c r="L142" i="1"/>
  <c r="L222" i="1"/>
  <c r="J274" i="1"/>
  <c r="N274" i="1" s="1"/>
  <c r="I250" i="1"/>
  <c r="L250" i="1" s="1"/>
  <c r="J222" i="1"/>
  <c r="M222" i="1" s="1"/>
  <c r="I224" i="1"/>
  <c r="L224" i="1" s="1"/>
  <c r="K196" i="1"/>
  <c r="Q223" i="1"/>
  <c r="Q249" i="1"/>
  <c r="I143" i="1"/>
  <c r="L143" i="1" s="1"/>
  <c r="Q142" i="1"/>
  <c r="Q274" i="1"/>
  <c r="I171" i="1"/>
  <c r="K171" i="1" s="1"/>
  <c r="M221" i="1"/>
  <c r="N221" i="1"/>
  <c r="N196" i="1"/>
  <c r="M196" i="1"/>
  <c r="A253" i="1"/>
  <c r="C252" i="1"/>
  <c r="E252" i="1"/>
  <c r="O275" i="1"/>
  <c r="R275" i="1"/>
  <c r="P275" i="1"/>
  <c r="S275" i="1" s="1"/>
  <c r="H275" i="1"/>
  <c r="F144" i="1"/>
  <c r="D144" i="1"/>
  <c r="G144" i="1" s="1"/>
  <c r="E226" i="1"/>
  <c r="A227" i="1"/>
  <c r="C226" i="1"/>
  <c r="F276" i="1"/>
  <c r="D276" i="1"/>
  <c r="G276" i="1" s="1"/>
  <c r="I275" i="1"/>
  <c r="F198" i="1"/>
  <c r="D198" i="1"/>
  <c r="G198" i="1" s="1"/>
  <c r="E145" i="1"/>
  <c r="A146" i="1"/>
  <c r="C145" i="1"/>
  <c r="L170" i="1"/>
  <c r="J170" i="1"/>
  <c r="M170" i="1" s="1"/>
  <c r="K170" i="1"/>
  <c r="F172" i="1"/>
  <c r="D172" i="1"/>
  <c r="G172" i="1" s="1"/>
  <c r="E277" i="1"/>
  <c r="A278" i="1"/>
  <c r="C277" i="1"/>
  <c r="D251" i="1"/>
  <c r="G251" i="1" s="1"/>
  <c r="F251" i="1"/>
  <c r="O197" i="1"/>
  <c r="R197" i="1"/>
  <c r="H197" i="1"/>
  <c r="P197" i="1"/>
  <c r="S197" i="1" s="1"/>
  <c r="Q170" i="1"/>
  <c r="E199" i="1"/>
  <c r="C199" i="1"/>
  <c r="A200" i="1"/>
  <c r="L223" i="1"/>
  <c r="J223" i="1"/>
  <c r="K223" i="1"/>
  <c r="E173" i="1"/>
  <c r="A174" i="1"/>
  <c r="C173" i="1"/>
  <c r="Q222" i="1"/>
  <c r="Q196" i="1"/>
  <c r="I197" i="1"/>
  <c r="H250" i="1"/>
  <c r="O250" i="1"/>
  <c r="R250" i="1"/>
  <c r="P250" i="1"/>
  <c r="S250" i="1" s="1"/>
  <c r="P143" i="1"/>
  <c r="S143" i="1" s="1"/>
  <c r="H143" i="1"/>
  <c r="R143" i="1"/>
  <c r="O143" i="1"/>
  <c r="O171" i="1"/>
  <c r="R171" i="1"/>
  <c r="H171" i="1"/>
  <c r="P171" i="1"/>
  <c r="S171" i="1" s="1"/>
  <c r="F225" i="1"/>
  <c r="D225" i="1"/>
  <c r="G225" i="1" s="1"/>
  <c r="L249" i="1"/>
  <c r="K249" i="1"/>
  <c r="J249" i="1"/>
  <c r="O224" i="1"/>
  <c r="R224" i="1"/>
  <c r="H224" i="1"/>
  <c r="P224" i="1"/>
  <c r="S224" i="1" s="1"/>
  <c r="N248" i="1" l="1"/>
  <c r="N142" i="1"/>
  <c r="N222" i="1"/>
  <c r="M274" i="1"/>
  <c r="K250" i="1"/>
  <c r="J250" i="1"/>
  <c r="M250" i="1" s="1"/>
  <c r="J171" i="1"/>
  <c r="N171" i="1" s="1"/>
  <c r="I276" i="1"/>
  <c r="L276" i="1" s="1"/>
  <c r="I144" i="1"/>
  <c r="J144" i="1" s="1"/>
  <c r="K224" i="1"/>
  <c r="J143" i="1"/>
  <c r="M143" i="1" s="1"/>
  <c r="I172" i="1"/>
  <c r="L172" i="1" s="1"/>
  <c r="I198" i="1"/>
  <c r="K198" i="1" s="1"/>
  <c r="J224" i="1"/>
  <c r="N224" i="1" s="1"/>
  <c r="K143" i="1"/>
  <c r="Q275" i="1"/>
  <c r="Q197" i="1"/>
  <c r="Q171" i="1"/>
  <c r="Q250" i="1"/>
  <c r="I251" i="1"/>
  <c r="L251" i="1" s="1"/>
  <c r="L171" i="1"/>
  <c r="R225" i="1"/>
  <c r="H225" i="1"/>
  <c r="P225" i="1"/>
  <c r="S225" i="1" s="1"/>
  <c r="O225" i="1"/>
  <c r="F173" i="1"/>
  <c r="D173" i="1"/>
  <c r="G173" i="1" s="1"/>
  <c r="F199" i="1"/>
  <c r="D199" i="1"/>
  <c r="G199" i="1" s="1"/>
  <c r="M223" i="1"/>
  <c r="E146" i="1"/>
  <c r="A147" i="1"/>
  <c r="C146" i="1"/>
  <c r="K275" i="1"/>
  <c r="L275" i="1"/>
  <c r="J275" i="1"/>
  <c r="E253" i="1"/>
  <c r="A254" i="1"/>
  <c r="C253" i="1"/>
  <c r="E174" i="1"/>
  <c r="A175" i="1"/>
  <c r="C174" i="1"/>
  <c r="F277" i="1"/>
  <c r="D277" i="1"/>
  <c r="G277" i="1" s="1"/>
  <c r="N223" i="1"/>
  <c r="N170" i="1"/>
  <c r="N249" i="1"/>
  <c r="C278" i="1"/>
  <c r="A279" i="1"/>
  <c r="E278" i="1"/>
  <c r="R276" i="1"/>
  <c r="H276" i="1"/>
  <c r="P276" i="1"/>
  <c r="S276" i="1" s="1"/>
  <c r="O276" i="1"/>
  <c r="F226" i="1"/>
  <c r="D226" i="1"/>
  <c r="G226" i="1" s="1"/>
  <c r="O144" i="1"/>
  <c r="P144" i="1"/>
  <c r="S144" i="1" s="1"/>
  <c r="R144" i="1"/>
  <c r="H144" i="1"/>
  <c r="Q224" i="1"/>
  <c r="I225" i="1"/>
  <c r="Q143" i="1"/>
  <c r="K197" i="1"/>
  <c r="L197" i="1"/>
  <c r="J197" i="1"/>
  <c r="N197" i="1" s="1"/>
  <c r="M249" i="1"/>
  <c r="E200" i="1"/>
  <c r="C200" i="1"/>
  <c r="A201" i="1"/>
  <c r="P251" i="1"/>
  <c r="S251" i="1" s="1"/>
  <c r="H251" i="1"/>
  <c r="R251" i="1"/>
  <c r="O251" i="1"/>
  <c r="R172" i="1"/>
  <c r="H172" i="1"/>
  <c r="P172" i="1"/>
  <c r="S172" i="1" s="1"/>
  <c r="O172" i="1"/>
  <c r="F145" i="1"/>
  <c r="D145" i="1"/>
  <c r="G145" i="1" s="1"/>
  <c r="R198" i="1"/>
  <c r="H198" i="1"/>
  <c r="P198" i="1"/>
  <c r="S198" i="1" s="1"/>
  <c r="O198" i="1"/>
  <c r="E227" i="1"/>
  <c r="C227" i="1"/>
  <c r="A228" i="1"/>
  <c r="F252" i="1"/>
  <c r="D252" i="1"/>
  <c r="G252" i="1" s="1"/>
  <c r="L198" i="1" l="1"/>
  <c r="M171" i="1"/>
  <c r="N250" i="1"/>
  <c r="J276" i="1"/>
  <c r="N276" i="1" s="1"/>
  <c r="L144" i="1"/>
  <c r="K144" i="1"/>
  <c r="I199" i="1"/>
  <c r="L199" i="1" s="1"/>
  <c r="Q225" i="1"/>
  <c r="J172" i="1"/>
  <c r="N172" i="1" s="1"/>
  <c r="K276" i="1"/>
  <c r="N143" i="1"/>
  <c r="M224" i="1"/>
  <c r="J198" i="1"/>
  <c r="M198" i="1" s="1"/>
  <c r="K172" i="1"/>
  <c r="Q172" i="1"/>
  <c r="Q276" i="1"/>
  <c r="Q198" i="1"/>
  <c r="I145" i="1"/>
  <c r="J145" i="1" s="1"/>
  <c r="I226" i="1"/>
  <c r="L226" i="1" s="1"/>
  <c r="I277" i="1"/>
  <c r="K277" i="1" s="1"/>
  <c r="Q251" i="1"/>
  <c r="I252" i="1"/>
  <c r="J252" i="1" s="1"/>
  <c r="J251" i="1"/>
  <c r="M251" i="1" s="1"/>
  <c r="K251" i="1"/>
  <c r="N198" i="1"/>
  <c r="A202" i="1"/>
  <c r="C201" i="1"/>
  <c r="E201" i="1"/>
  <c r="D227" i="1"/>
  <c r="G227" i="1" s="1"/>
  <c r="F227" i="1"/>
  <c r="J225" i="1"/>
  <c r="L225" i="1"/>
  <c r="K225" i="1"/>
  <c r="N144" i="1"/>
  <c r="M144" i="1"/>
  <c r="A176" i="1"/>
  <c r="C175" i="1"/>
  <c r="E175" i="1"/>
  <c r="D146" i="1"/>
  <c r="G146" i="1" s="1"/>
  <c r="F146" i="1"/>
  <c r="R173" i="1"/>
  <c r="P173" i="1"/>
  <c r="S173" i="1" s="1"/>
  <c r="O173" i="1"/>
  <c r="H173" i="1"/>
  <c r="D200" i="1"/>
  <c r="G200" i="1" s="1"/>
  <c r="F200" i="1"/>
  <c r="R226" i="1"/>
  <c r="P226" i="1"/>
  <c r="S226" i="1" s="1"/>
  <c r="H226" i="1"/>
  <c r="O226" i="1"/>
  <c r="A280" i="1"/>
  <c r="C279" i="1"/>
  <c r="E279" i="1"/>
  <c r="A148" i="1"/>
  <c r="C147" i="1"/>
  <c r="E147" i="1"/>
  <c r="O252" i="1"/>
  <c r="P252" i="1"/>
  <c r="S252" i="1" s="1"/>
  <c r="H252" i="1"/>
  <c r="R252" i="1"/>
  <c r="M172" i="1"/>
  <c r="M275" i="1"/>
  <c r="D278" i="1"/>
  <c r="G278" i="1" s="1"/>
  <c r="F278" i="1"/>
  <c r="R277" i="1"/>
  <c r="H277" i="1"/>
  <c r="P277" i="1"/>
  <c r="S277" i="1" s="1"/>
  <c r="O277" i="1"/>
  <c r="F253" i="1"/>
  <c r="D253" i="1"/>
  <c r="G253" i="1" s="1"/>
  <c r="R199" i="1"/>
  <c r="P199" i="1"/>
  <c r="S199" i="1" s="1"/>
  <c r="H199" i="1"/>
  <c r="O199" i="1"/>
  <c r="A229" i="1"/>
  <c r="C228" i="1"/>
  <c r="E228" i="1"/>
  <c r="R145" i="1"/>
  <c r="P145" i="1"/>
  <c r="S145" i="1" s="1"/>
  <c r="O145" i="1"/>
  <c r="H145" i="1"/>
  <c r="N275" i="1"/>
  <c r="Q144" i="1"/>
  <c r="D174" i="1"/>
  <c r="G174" i="1" s="1"/>
  <c r="F174" i="1"/>
  <c r="E254" i="1"/>
  <c r="C254" i="1"/>
  <c r="A255" i="1"/>
  <c r="M197" i="1"/>
  <c r="I173" i="1"/>
  <c r="M276" i="1" l="1"/>
  <c r="J199" i="1"/>
  <c r="N199" i="1" s="1"/>
  <c r="K199" i="1"/>
  <c r="L277" i="1"/>
  <c r="Q226" i="1"/>
  <c r="J226" i="1"/>
  <c r="N226" i="1" s="1"/>
  <c r="K226" i="1"/>
  <c r="J277" i="1"/>
  <c r="M277" i="1" s="1"/>
  <c r="L145" i="1"/>
  <c r="K145" i="1"/>
  <c r="L252" i="1"/>
  <c r="K252" i="1"/>
  <c r="N251" i="1"/>
  <c r="Q145" i="1"/>
  <c r="Q277" i="1"/>
  <c r="Q173" i="1"/>
  <c r="P174" i="1"/>
  <c r="S174" i="1" s="1"/>
  <c r="H174" i="1"/>
  <c r="O174" i="1"/>
  <c r="R174" i="1"/>
  <c r="R253" i="1"/>
  <c r="P253" i="1"/>
  <c r="S253" i="1" s="1"/>
  <c r="O253" i="1"/>
  <c r="H253" i="1"/>
  <c r="A256" i="1"/>
  <c r="C255" i="1"/>
  <c r="E255" i="1"/>
  <c r="I200" i="1"/>
  <c r="O146" i="1"/>
  <c r="H146" i="1"/>
  <c r="R146" i="1"/>
  <c r="P146" i="1"/>
  <c r="S146" i="1" s="1"/>
  <c r="I227" i="1"/>
  <c r="A230" i="1"/>
  <c r="C229" i="1"/>
  <c r="E229" i="1"/>
  <c r="I278" i="1"/>
  <c r="Q252" i="1"/>
  <c r="F279" i="1"/>
  <c r="D279" i="1"/>
  <c r="G279" i="1" s="1"/>
  <c r="I146" i="1"/>
  <c r="H236" i="1"/>
  <c r="M225" i="1"/>
  <c r="D201" i="1"/>
  <c r="G201" i="1" s="1"/>
  <c r="F201" i="1"/>
  <c r="N145" i="1"/>
  <c r="M145" i="1"/>
  <c r="N252" i="1"/>
  <c r="M252" i="1"/>
  <c r="A149" i="1"/>
  <c r="C148" i="1"/>
  <c r="E148" i="1"/>
  <c r="P200" i="1"/>
  <c r="S200" i="1" s="1"/>
  <c r="H200" i="1"/>
  <c r="O200" i="1"/>
  <c r="R200" i="1"/>
  <c r="D175" i="1"/>
  <c r="G175" i="1" s="1"/>
  <c r="F175" i="1"/>
  <c r="P227" i="1"/>
  <c r="S227" i="1" s="1"/>
  <c r="H227" i="1"/>
  <c r="O227" i="1"/>
  <c r="R227" i="1"/>
  <c r="I174" i="1"/>
  <c r="D228" i="1"/>
  <c r="G228" i="1" s="1"/>
  <c r="F228" i="1"/>
  <c r="P278" i="1"/>
  <c r="S278" i="1" s="1"/>
  <c r="H278" i="1"/>
  <c r="R278" i="1"/>
  <c r="O278" i="1"/>
  <c r="M226" i="1"/>
  <c r="A177" i="1"/>
  <c r="C176" i="1"/>
  <c r="E176" i="1"/>
  <c r="D254" i="1"/>
  <c r="G254" i="1" s="1"/>
  <c r="F254" i="1"/>
  <c r="L173" i="1"/>
  <c r="K173" i="1"/>
  <c r="J173" i="1"/>
  <c r="M173" i="1" s="1"/>
  <c r="Q199" i="1"/>
  <c r="I253" i="1"/>
  <c r="D147" i="1"/>
  <c r="G147" i="1" s="1"/>
  <c r="F147" i="1"/>
  <c r="A281" i="1"/>
  <c r="E280" i="1"/>
  <c r="C280" i="1"/>
  <c r="N225" i="1"/>
  <c r="A203" i="1"/>
  <c r="C202" i="1"/>
  <c r="E202" i="1"/>
  <c r="H184" i="1" l="1"/>
  <c r="H210" i="1"/>
  <c r="H212" i="1" s="1"/>
  <c r="C302" i="1" s="1"/>
  <c r="M199" i="1"/>
  <c r="N277" i="1"/>
  <c r="H288" i="1"/>
  <c r="H290" i="1" s="1"/>
  <c r="C305" i="1" s="1"/>
  <c r="H262" i="1"/>
  <c r="H264" i="1" s="1"/>
  <c r="C304" i="1" s="1"/>
  <c r="I175" i="1"/>
  <c r="J175" i="1" s="1"/>
  <c r="I254" i="1"/>
  <c r="L254" i="1" s="1"/>
  <c r="I228" i="1"/>
  <c r="K228" i="1" s="1"/>
  <c r="I201" i="1"/>
  <c r="J201" i="1" s="1"/>
  <c r="I279" i="1"/>
  <c r="L279" i="1" s="1"/>
  <c r="Q278" i="1"/>
  <c r="Q200" i="1"/>
  <c r="Q253" i="1"/>
  <c r="E281" i="1"/>
  <c r="A282" i="1"/>
  <c r="C281" i="1"/>
  <c r="L200" i="1"/>
  <c r="K200" i="1"/>
  <c r="J200" i="1"/>
  <c r="M200" i="1" s="1"/>
  <c r="J253" i="1"/>
  <c r="M253" i="1" s="1"/>
  <c r="K253" i="1"/>
  <c r="L253" i="1"/>
  <c r="L174" i="1"/>
  <c r="K174" i="1"/>
  <c r="J174" i="1"/>
  <c r="N174" i="1" s="1"/>
  <c r="F280" i="1"/>
  <c r="D280" i="1"/>
  <c r="G280" i="1" s="1"/>
  <c r="I147" i="1"/>
  <c r="O254" i="1"/>
  <c r="R254" i="1"/>
  <c r="P254" i="1"/>
  <c r="S254" i="1" s="1"/>
  <c r="H254" i="1"/>
  <c r="C177" i="1"/>
  <c r="E177" i="1"/>
  <c r="O175" i="1"/>
  <c r="P175" i="1"/>
  <c r="S175" i="1" s="1"/>
  <c r="R175" i="1"/>
  <c r="H175" i="1"/>
  <c r="N200" i="1"/>
  <c r="E149" i="1"/>
  <c r="A150" i="1"/>
  <c r="C149" i="1"/>
  <c r="H238" i="1"/>
  <c r="C303" i="1" s="1"/>
  <c r="H237" i="1"/>
  <c r="B303" i="1" s="1"/>
  <c r="E230" i="1"/>
  <c r="C230" i="1"/>
  <c r="D255" i="1"/>
  <c r="G255" i="1" s="1"/>
  <c r="F255" i="1"/>
  <c r="E203" i="1"/>
  <c r="A204" i="1"/>
  <c r="C203" i="1"/>
  <c r="P147" i="1"/>
  <c r="S147" i="1" s="1"/>
  <c r="H147" i="1"/>
  <c r="R147" i="1"/>
  <c r="O147" i="1"/>
  <c r="F176" i="1"/>
  <c r="D176" i="1"/>
  <c r="G176" i="1" s="1"/>
  <c r="F148" i="1"/>
  <c r="D148" i="1"/>
  <c r="G148" i="1" s="1"/>
  <c r="O279" i="1"/>
  <c r="P279" i="1"/>
  <c r="S279" i="1" s="1"/>
  <c r="H279" i="1"/>
  <c r="R279" i="1"/>
  <c r="F229" i="1"/>
  <c r="D229" i="1"/>
  <c r="G229" i="1" s="1"/>
  <c r="F202" i="1"/>
  <c r="D202" i="1"/>
  <c r="G202" i="1" s="1"/>
  <c r="N173" i="1"/>
  <c r="O228" i="1"/>
  <c r="P228" i="1"/>
  <c r="S228" i="1" s="1"/>
  <c r="R228" i="1"/>
  <c r="H228" i="1"/>
  <c r="Q227" i="1"/>
  <c r="O201" i="1"/>
  <c r="P201" i="1"/>
  <c r="S201" i="1" s="1"/>
  <c r="R201" i="1"/>
  <c r="H201" i="1"/>
  <c r="J146" i="1"/>
  <c r="M146" i="1" s="1"/>
  <c r="L146" i="1"/>
  <c r="K146" i="1"/>
  <c r="L278" i="1"/>
  <c r="K278" i="1"/>
  <c r="J278" i="1"/>
  <c r="N278" i="1" s="1"/>
  <c r="L227" i="1"/>
  <c r="K227" i="1"/>
  <c r="J227" i="1"/>
  <c r="N227" i="1" s="1"/>
  <c r="Q146" i="1"/>
  <c r="C256" i="1"/>
  <c r="E256" i="1"/>
  <c r="Q174" i="1"/>
  <c r="H211" i="1" l="1"/>
  <c r="B302" i="1" s="1"/>
  <c r="H185" i="1"/>
  <c r="B301" i="1" s="1"/>
  <c r="L228" i="1"/>
  <c r="H289" i="1"/>
  <c r="B305" i="1" s="1"/>
  <c r="K201" i="1"/>
  <c r="K175" i="1"/>
  <c r="J279" i="1"/>
  <c r="N279" i="1" s="1"/>
  <c r="L201" i="1"/>
  <c r="K279" i="1"/>
  <c r="H263" i="1"/>
  <c r="B304" i="1" s="1"/>
  <c r="J228" i="1"/>
  <c r="M228" i="1" s="1"/>
  <c r="K254" i="1"/>
  <c r="J254" i="1"/>
  <c r="M254" i="1" s="1"/>
  <c r="I255" i="1"/>
  <c r="L255" i="1" s="1"/>
  <c r="L175" i="1"/>
  <c r="Q279" i="1"/>
  <c r="M227" i="1"/>
  <c r="I280" i="1"/>
  <c r="J280" i="1" s="1"/>
  <c r="R202" i="1"/>
  <c r="O202" i="1"/>
  <c r="H202" i="1"/>
  <c r="P202" i="1"/>
  <c r="S202" i="1" s="1"/>
  <c r="O148" i="1"/>
  <c r="R148" i="1"/>
  <c r="H148" i="1"/>
  <c r="P148" i="1"/>
  <c r="S148" i="1" s="1"/>
  <c r="L147" i="1"/>
  <c r="K147" i="1"/>
  <c r="J147" i="1"/>
  <c r="N147" i="1" s="1"/>
  <c r="H156" i="1"/>
  <c r="Q201" i="1"/>
  <c r="Q228" i="1"/>
  <c r="I229" i="1"/>
  <c r="M278" i="1"/>
  <c r="Q147" i="1"/>
  <c r="C204" i="1"/>
  <c r="E204" i="1"/>
  <c r="P255" i="1"/>
  <c r="S255" i="1" s="1"/>
  <c r="H255" i="1"/>
  <c r="O255" i="1"/>
  <c r="R255" i="1"/>
  <c r="F230" i="1"/>
  <c r="D230" i="1"/>
  <c r="G230" i="1" s="1"/>
  <c r="F149" i="1"/>
  <c r="D149" i="1"/>
  <c r="G149" i="1" s="1"/>
  <c r="Q175" i="1"/>
  <c r="M174" i="1"/>
  <c r="F281" i="1"/>
  <c r="D281" i="1"/>
  <c r="G281" i="1" s="1"/>
  <c r="P176" i="1"/>
  <c r="S176" i="1" s="1"/>
  <c r="R176" i="1"/>
  <c r="O176" i="1"/>
  <c r="H176" i="1"/>
  <c r="F203" i="1"/>
  <c r="D203" i="1"/>
  <c r="G203" i="1" s="1"/>
  <c r="N253" i="1"/>
  <c r="N201" i="1"/>
  <c r="M201" i="1"/>
  <c r="H186" i="1"/>
  <c r="C301" i="1" s="1"/>
  <c r="R229" i="1"/>
  <c r="O229" i="1"/>
  <c r="H229" i="1"/>
  <c r="P229" i="1"/>
  <c r="S229" i="1" s="1"/>
  <c r="E150" i="1"/>
  <c r="C150" i="1"/>
  <c r="N175" i="1"/>
  <c r="M175" i="1"/>
  <c r="R280" i="1"/>
  <c r="O280" i="1"/>
  <c r="P280" i="1"/>
  <c r="S280" i="1" s="1"/>
  <c r="H280" i="1"/>
  <c r="E282" i="1"/>
  <c r="C282" i="1"/>
  <c r="D256" i="1"/>
  <c r="G256" i="1" s="1"/>
  <c r="F256" i="1"/>
  <c r="I202" i="1"/>
  <c r="I148" i="1"/>
  <c r="I176" i="1"/>
  <c r="N146" i="1"/>
  <c r="F177" i="1"/>
  <c r="D177" i="1"/>
  <c r="G177" i="1" s="1"/>
  <c r="Q254" i="1"/>
  <c r="O257" i="1" l="1"/>
  <c r="R257" i="1"/>
  <c r="P257" i="1"/>
  <c r="S257" i="1" s="1"/>
  <c r="O231" i="1"/>
  <c r="R231" i="1"/>
  <c r="P231" i="1"/>
  <c r="S231" i="1" s="1"/>
  <c r="O178" i="1"/>
  <c r="R178" i="1"/>
  <c r="P178" i="1"/>
  <c r="S178" i="1" s="1"/>
  <c r="N254" i="1"/>
  <c r="N228" i="1"/>
  <c r="M279" i="1"/>
  <c r="I203" i="1"/>
  <c r="K203" i="1" s="1"/>
  <c r="I281" i="1"/>
  <c r="J281" i="1" s="1"/>
  <c r="K255" i="1"/>
  <c r="K280" i="1"/>
  <c r="I256" i="1"/>
  <c r="K256" i="1" s="1"/>
  <c r="J255" i="1"/>
  <c r="M255" i="1" s="1"/>
  <c r="Q229" i="1"/>
  <c r="L280" i="1"/>
  <c r="Q255" i="1"/>
  <c r="I177" i="1"/>
  <c r="L177" i="1" s="1"/>
  <c r="I230" i="1"/>
  <c r="L230" i="1" s="1"/>
  <c r="M147" i="1"/>
  <c r="Q280" i="1"/>
  <c r="F150" i="1"/>
  <c r="D150" i="1"/>
  <c r="G150" i="1" s="1"/>
  <c r="H203" i="1"/>
  <c r="R203" i="1"/>
  <c r="P203" i="1"/>
  <c r="S203" i="1" s="1"/>
  <c r="O203" i="1"/>
  <c r="H281" i="1"/>
  <c r="P281" i="1"/>
  <c r="S281" i="1" s="1"/>
  <c r="O281" i="1"/>
  <c r="R281" i="1"/>
  <c r="H230" i="1"/>
  <c r="R230" i="1"/>
  <c r="P230" i="1"/>
  <c r="S230" i="1" s="1"/>
  <c r="O230" i="1"/>
  <c r="Q202" i="1"/>
  <c r="K148" i="1"/>
  <c r="L148" i="1"/>
  <c r="J148" i="1"/>
  <c r="N148" i="1" s="1"/>
  <c r="R149" i="1"/>
  <c r="P149" i="1"/>
  <c r="S149" i="1" s="1"/>
  <c r="O149" i="1"/>
  <c r="H149" i="1"/>
  <c r="D204" i="1"/>
  <c r="G204" i="1" s="1"/>
  <c r="F204" i="1"/>
  <c r="J202" i="1"/>
  <c r="N202" i="1" s="1"/>
  <c r="L202" i="1"/>
  <c r="K202" i="1"/>
  <c r="D282" i="1"/>
  <c r="G282" i="1" s="1"/>
  <c r="F282" i="1"/>
  <c r="O177" i="1"/>
  <c r="R177" i="1"/>
  <c r="H177" i="1"/>
  <c r="P177" i="1"/>
  <c r="S177" i="1" s="1"/>
  <c r="J176" i="1"/>
  <c r="M176" i="1" s="1"/>
  <c r="L176" i="1"/>
  <c r="K176" i="1"/>
  <c r="O256" i="1"/>
  <c r="R256" i="1"/>
  <c r="H256" i="1"/>
  <c r="P256" i="1"/>
  <c r="S256" i="1" s="1"/>
  <c r="N280" i="1"/>
  <c r="M280" i="1"/>
  <c r="Q176" i="1"/>
  <c r="I149" i="1"/>
  <c r="J229" i="1"/>
  <c r="L229" i="1"/>
  <c r="K229" i="1"/>
  <c r="H158" i="1"/>
  <c r="C300" i="1" s="1"/>
  <c r="H157" i="1"/>
  <c r="B300" i="1" s="1"/>
  <c r="Q148" i="1"/>
  <c r="O283" i="1" l="1"/>
  <c r="R283" i="1"/>
  <c r="P283" i="1"/>
  <c r="S283" i="1" s="1"/>
  <c r="Q257" i="1"/>
  <c r="Q231" i="1"/>
  <c r="Q178" i="1"/>
  <c r="J203" i="1"/>
  <c r="N203" i="1" s="1"/>
  <c r="L203" i="1"/>
  <c r="Q203" i="1"/>
  <c r="I150" i="1"/>
  <c r="J150" i="1" s="1"/>
  <c r="K281" i="1"/>
  <c r="L281" i="1"/>
  <c r="J256" i="1"/>
  <c r="N256" i="1" s="1"/>
  <c r="L256" i="1"/>
  <c r="N255" i="1"/>
  <c r="Q230" i="1"/>
  <c r="K177" i="1"/>
  <c r="Q281" i="1"/>
  <c r="Q149" i="1"/>
  <c r="J230" i="1"/>
  <c r="M230" i="1" s="1"/>
  <c r="K230" i="1"/>
  <c r="J177" i="1"/>
  <c r="N177" i="1" s="1"/>
  <c r="M148" i="1"/>
  <c r="Q177" i="1"/>
  <c r="M229" i="1"/>
  <c r="K150" i="1"/>
  <c r="J149" i="1"/>
  <c r="N149" i="1" s="1"/>
  <c r="L149" i="1"/>
  <c r="K149" i="1"/>
  <c r="I204" i="1"/>
  <c r="N176" i="1"/>
  <c r="P282" i="1"/>
  <c r="S282" i="1" s="1"/>
  <c r="H282" i="1"/>
  <c r="R282" i="1"/>
  <c r="O282" i="1"/>
  <c r="N229" i="1"/>
  <c r="I282" i="1"/>
  <c r="P204" i="1"/>
  <c r="S204" i="1" s="1"/>
  <c r="H204" i="1"/>
  <c r="R204" i="1"/>
  <c r="O204" i="1"/>
  <c r="P150" i="1"/>
  <c r="S150" i="1" s="1"/>
  <c r="O150" i="1"/>
  <c r="H150" i="1"/>
  <c r="R150" i="1"/>
  <c r="R151" i="1"/>
  <c r="O151" i="1"/>
  <c r="P151" i="1"/>
  <c r="S151" i="1" s="1"/>
  <c r="Q256" i="1"/>
  <c r="M202" i="1"/>
  <c r="M281" i="1"/>
  <c r="N281" i="1"/>
  <c r="M256" i="1" l="1"/>
  <c r="Q283" i="1"/>
  <c r="M203" i="1"/>
  <c r="L150" i="1"/>
  <c r="H160" i="1" s="1"/>
  <c r="M177" i="1"/>
  <c r="H266" i="1"/>
  <c r="H268" i="1" s="1"/>
  <c r="E304" i="1" s="1"/>
  <c r="I304" i="1" s="1"/>
  <c r="H188" i="1"/>
  <c r="H190" i="1" s="1"/>
  <c r="E301" i="1" s="1"/>
  <c r="I301" i="1" s="1"/>
  <c r="N230" i="1"/>
  <c r="Q151" i="1"/>
  <c r="H240" i="1"/>
  <c r="H242" i="1" s="1"/>
  <c r="E303" i="1" s="1"/>
  <c r="I303" i="1" s="1"/>
  <c r="M149" i="1"/>
  <c r="Q150" i="1"/>
  <c r="Q204" i="1"/>
  <c r="L282" i="1"/>
  <c r="K282" i="1"/>
  <c r="J282" i="1"/>
  <c r="N282" i="1" s="1"/>
  <c r="L204" i="1"/>
  <c r="K204" i="1"/>
  <c r="J204" i="1"/>
  <c r="Q282" i="1"/>
  <c r="M150" i="1"/>
  <c r="N150" i="1"/>
  <c r="H189" i="1" l="1"/>
  <c r="D301" i="1" s="1"/>
  <c r="F301" i="1" s="1"/>
  <c r="G301" i="1" s="1"/>
  <c r="H267" i="1"/>
  <c r="D304" i="1" s="1"/>
  <c r="F304" i="1" s="1"/>
  <c r="G304" i="1" s="1"/>
  <c r="H241" i="1"/>
  <c r="D303" i="1" s="1"/>
  <c r="H303" i="1" s="1"/>
  <c r="H214" i="1"/>
  <c r="H216" i="1" s="1"/>
  <c r="E302" i="1" s="1"/>
  <c r="I302" i="1" s="1"/>
  <c r="H292" i="1"/>
  <c r="H294" i="1" s="1"/>
  <c r="E305" i="1" s="1"/>
  <c r="I305" i="1" s="1"/>
  <c r="H161" i="1"/>
  <c r="D300" i="1" s="1"/>
  <c r="H162" i="1"/>
  <c r="E300" i="1" s="1"/>
  <c r="I300" i="1" s="1"/>
  <c r="M282" i="1"/>
  <c r="N204" i="1"/>
  <c r="M204" i="1"/>
  <c r="H301" i="1" l="1"/>
  <c r="H304" i="1"/>
  <c r="F303" i="1"/>
  <c r="G303" i="1" s="1"/>
  <c r="H215" i="1"/>
  <c r="D302" i="1" s="1"/>
  <c r="F302" i="1" s="1"/>
  <c r="G302" i="1" s="1"/>
  <c r="H293" i="1"/>
  <c r="D305" i="1" s="1"/>
  <c r="F305" i="1" s="1"/>
  <c r="G305" i="1" s="1"/>
  <c r="F300" i="1"/>
  <c r="G300" i="1" s="1"/>
  <c r="H300" i="1"/>
  <c r="H305" i="1" l="1"/>
  <c r="H302" i="1"/>
</calcChain>
</file>

<file path=xl/sharedStrings.xml><?xml version="1.0" encoding="utf-8"?>
<sst xmlns="http://schemas.openxmlformats.org/spreadsheetml/2006/main" count="642" uniqueCount="124">
  <si>
    <t xml:space="preserve">I'm listing it here so we can measure slopes before and after the putative transition and see if they are significantly different and do indeed describe a lag/ log transition. </t>
  </si>
  <si>
    <t>page 527</t>
  </si>
  <si>
    <t xml:space="preserve">sample </t>
  </si>
  <si>
    <t>Counts</t>
  </si>
  <si>
    <t xml:space="preserve">multiplier </t>
  </si>
  <si>
    <t>conversion factor</t>
  </si>
  <si>
    <t>cells/ml</t>
  </si>
  <si>
    <t>diF524b</t>
  </si>
  <si>
    <t>c</t>
  </si>
  <si>
    <t>d</t>
  </si>
  <si>
    <t>e</t>
  </si>
  <si>
    <t>f</t>
  </si>
  <si>
    <t>g</t>
  </si>
  <si>
    <t>page 528</t>
  </si>
  <si>
    <t>page 529</t>
  </si>
  <si>
    <t>page 530</t>
  </si>
  <si>
    <t>page 531</t>
  </si>
  <si>
    <t>page 532</t>
  </si>
  <si>
    <t>page 533</t>
  </si>
  <si>
    <t>page 534</t>
  </si>
  <si>
    <t>page 535</t>
  </si>
  <si>
    <t>page 536</t>
  </si>
  <si>
    <t>page 537</t>
  </si>
  <si>
    <t>sample diF524b</t>
  </si>
  <si>
    <t>index (i)</t>
  </si>
  <si>
    <t>x = time (hours) (from Shaker Spreadsheet 8-1-10 in diF)</t>
  </si>
  <si>
    <t>raw counts (c)</t>
  </si>
  <si>
    <t>sigma c</t>
  </si>
  <si>
    <t>counts multiplier times conversion factor</t>
  </si>
  <si>
    <t>density = n</t>
  </si>
  <si>
    <t>sigma density</t>
  </si>
  <si>
    <t>y = log10(density)</t>
  </si>
  <si>
    <t>sigma y</t>
  </si>
  <si>
    <t>(1/sigma y)^2</t>
  </si>
  <si>
    <t>(x/sigma y)^2</t>
  </si>
  <si>
    <t>x/(sigma y)^2</t>
  </si>
  <si>
    <t>x y/(sigma y)^2</t>
  </si>
  <si>
    <t>y/(sigma y)^2</t>
  </si>
  <si>
    <t>d (density)/dt = n_dot</t>
  </si>
  <si>
    <t>density averaged</t>
  </si>
  <si>
    <t xml:space="preserve">gamma , proleration rate </t>
  </si>
  <si>
    <t xml:space="preserve">sigma gamma </t>
  </si>
  <si>
    <t xml:space="preserve">I have eliminated first data point in the original series with that might </t>
  </si>
  <si>
    <t>for lag (i = 1...6) and log (i = 9...12) phase, get best fit to slope and uncertainty in slope</t>
  </si>
  <si>
    <t>have included the hook</t>
  </si>
  <si>
    <t>1) for lag phase</t>
  </si>
  <si>
    <t>delta is</t>
  </si>
  <si>
    <t xml:space="preserve">I also drop stationary phase values (1E7 cell/ml) and </t>
  </si>
  <si>
    <t xml:space="preserve">best fit to slope is </t>
  </si>
  <si>
    <t>b* is</t>
  </si>
  <si>
    <t>points that occurred after stationary phase was attained</t>
  </si>
  <si>
    <t>sigma b is</t>
  </si>
  <si>
    <t>2) for log phase</t>
  </si>
  <si>
    <t>OK, that checks, now do all the rest of the curves, be careful on the last point for each (ends before i =12)</t>
  </si>
  <si>
    <t>sample diF524c</t>
  </si>
  <si>
    <t xml:space="preserve">density </t>
  </si>
  <si>
    <t>for lag (i = 1...5) and log (i = 7...9) phase, get best fit to slope and uncertainty in slope</t>
  </si>
  <si>
    <t>sample diF524d</t>
  </si>
  <si>
    <t>for lag (i = 1...5) and log (i = 8...10) phase, get best fit to slope and uncertainty in slope</t>
  </si>
  <si>
    <t>sample diF524e</t>
  </si>
  <si>
    <t>sample diF524f</t>
  </si>
  <si>
    <t>for lag (i = 1...6) and log (i = 8...10) phase, get best fit to slope and uncertainty in slope</t>
  </si>
  <si>
    <t>sample diF524g</t>
  </si>
  <si>
    <t>let's get the ratio of the slopes</t>
  </si>
  <si>
    <t>R = b_high density/ b low density</t>
  </si>
  <si>
    <t xml:space="preserve">b_low density </t>
  </si>
  <si>
    <t xml:space="preserve">uncertainty </t>
  </si>
  <si>
    <t xml:space="preserve">b_high density </t>
  </si>
  <si>
    <t>R</t>
  </si>
  <si>
    <t>delta b</t>
  </si>
  <si>
    <t>uncertainty</t>
  </si>
  <si>
    <t>diF524c</t>
  </si>
  <si>
    <t>diF524d</t>
  </si>
  <si>
    <t>diF524e</t>
  </si>
  <si>
    <t>diF524f</t>
  </si>
  <si>
    <t>diF524g</t>
  </si>
  <si>
    <t>8/9/21 let's also find the change in slope (delta b = b_high_density - b_low_density) across the putative lag-log  transition to compare with what Arthur has found for the Figure 1f data</t>
  </si>
  <si>
    <t>Conclusions: delta b is roughly 0.021 +/- 0.002 this is significantly larger than the values in Arthur's figure, but not wildly so.</t>
  </si>
  <si>
    <t>Replacement for Fig. 1a</t>
  </si>
  <si>
    <t>log10(density averaged)</t>
  </si>
  <si>
    <t>Revised 1c  from revised 1a only</t>
  </si>
  <si>
    <t>sample diClp325</t>
  </si>
  <si>
    <t>1&lt;i&lt;4: log, 8&lt;i&lt;10: lag</t>
  </si>
  <si>
    <t>x = time (hours) (from Shaker Spreadsheet diClp351-diClp357 Combined Alignment- CCMR REU Growth Proje)</t>
  </si>
  <si>
    <t>raw counts</t>
  </si>
  <si>
    <t>sigma raw counts</t>
  </si>
  <si>
    <t>mutiplier to get density</t>
  </si>
  <si>
    <t>1/(sigma y)^2</t>
  </si>
  <si>
    <t>x^2/(sigma y)^2</t>
  </si>
  <si>
    <t>x y /(sigma y)^2</t>
  </si>
  <si>
    <t>y / (sigma y)^2</t>
  </si>
  <si>
    <t>for lag and log phase, get best fit to slope and uncertainty in slope</t>
  </si>
  <si>
    <t>sample diClp331</t>
  </si>
  <si>
    <t>1&lt;i&lt;2: log, 7&lt;i&lt;8: lag</t>
  </si>
  <si>
    <t>sample diClp354</t>
  </si>
  <si>
    <t>1&lt;i&lt;2: log, 5&lt;i&lt;6: lag</t>
  </si>
  <si>
    <t>sample diClp355</t>
  </si>
  <si>
    <t>1&lt;i&lt;2: log, 5&lt;i&lt;7: lag</t>
  </si>
  <si>
    <t>sample diClp358</t>
  </si>
  <si>
    <t>1&lt;i&lt;2: log, 6&lt;i&lt;9: lag</t>
  </si>
  <si>
    <t>sample diClp360</t>
  </si>
  <si>
    <t>1&lt;i&lt;4: log, 5&lt;i&lt;7: lag</t>
  </si>
  <si>
    <t>sample diClp361</t>
  </si>
  <si>
    <t>next: get slope ratio and change and uncertainties</t>
  </si>
  <si>
    <t>the change in slope (delta b = b_high_density - b_low_density) across the putative lag-log  transition is alos given</t>
  </si>
  <si>
    <t>following diFp5a</t>
  </si>
  <si>
    <t>starting density</t>
  </si>
  <si>
    <t>diClp325</t>
  </si>
  <si>
    <t>diClp331</t>
  </si>
  <si>
    <t>diClp354</t>
  </si>
  <si>
    <t>diClp355</t>
  </si>
  <si>
    <t>diClp358</t>
  </si>
  <si>
    <t>diClp360</t>
  </si>
  <si>
    <t>diClp361</t>
  </si>
  <si>
    <t>Now a plot to replace Fig. 1b</t>
  </si>
  <si>
    <t>Here's the data from diF10b, these are the data for Fig 1b revised</t>
  </si>
  <si>
    <t xml:space="preserve">Further Revised Fig 1c, now with </t>
  </si>
  <si>
    <t>Fig1a revised data are circles</t>
  </si>
  <si>
    <t>Fig. 1b revsised data included as squares</t>
  </si>
  <si>
    <t>Now with restored highest density values for 1a data</t>
  </si>
  <si>
    <t>further improved Fig. 1c</t>
  </si>
  <si>
    <t>further improved</t>
  </si>
  <si>
    <t>12/13/21 diFp18c   revised 13b to give improved Fig. 1c with bolder axes labels by Carl Franck</t>
  </si>
  <si>
    <t xml:space="preserve">9/2/21: I've improved Fig 1c 8/28/21: diFp13b: I'm adding (in monotonic order with time) the staionary pahse itesm from 1a data (using diFp13a) to fill out the 1c plot 8/25/11: diF11b  I'm adding Fig 1b (truncated by including data from diF10b 8/24/21: diFp11a to get proliferation rate vs. density for Fig 1a data, including the data point at time 0 (poetentially inlcude 1f's hook) (8/23/21: diFp10a derived from diFp5a error bars  8/9/21 This is the data from labbook F part 2, page 527 onwards that provides the 1/2 the plots in Fig 1a in the Allee paper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</si>
</sst>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&quot;:&quot;mm&quot; &quot;AM/PM"/>
    <numFmt numFmtId="165" formatCode="0.0"/>
    <numFmt numFmtId="166" formatCode="#,##0.000"/>
    <numFmt numFmtId="167" formatCode="0.0E+0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Tahoma"/>
    </font>
    <font>
      <sz val="11"/>
      <color theme="1"/>
      <name val="Calibri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18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165" fontId="2" fillId="0" borderId="0" xfId="0" applyNumberFormat="1" applyFont="1" applyAlignment="1">
      <alignment horizontal="right"/>
    </xf>
    <xf numFmtId="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2" fontId="1" fillId="0" borderId="0" xfId="0" applyNumberFormat="1" applyFont="1"/>
    <xf numFmtId="11" fontId="0" fillId="0" borderId="0" xfId="0" applyNumberFormat="1" applyFont="1"/>
    <xf numFmtId="11" fontId="3" fillId="0" borderId="0" xfId="0" applyNumberFormat="1" applyFont="1"/>
    <xf numFmtId="166" fontId="3" fillId="0" borderId="0" xfId="0" applyNumberFormat="1" applyFont="1"/>
    <xf numFmtId="0" fontId="1" fillId="0" borderId="1" xfId="0" applyFont="1" applyBorder="1"/>
    <xf numFmtId="11" fontId="1" fillId="0" borderId="0" xfId="0" applyNumberFormat="1" applyFont="1" applyAlignment="1">
      <alignment horizontal="right"/>
    </xf>
    <xf numFmtId="166" fontId="4" fillId="0" borderId="0" xfId="0" applyNumberFormat="1" applyFo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0" fillId="2" borderId="2" xfId="0" applyFont="1" applyFill="1" applyBorder="1" applyAlignment="1">
      <alignment horizontal="left"/>
    </xf>
    <xf numFmtId="11" fontId="0" fillId="2" borderId="2" xfId="0" applyNumberFormat="1" applyFont="1" applyFill="1" applyBorder="1"/>
    <xf numFmtId="167" fontId="1" fillId="0" borderId="0" xfId="0" applyNumberFormat="1" applyFont="1"/>
    <xf numFmtId="0" fontId="6" fillId="0" borderId="0" xfId="0" applyFont="1" applyAlignment="1"/>
    <xf numFmtId="0" fontId="1" fillId="0" borderId="0" xfId="0" applyFont="1" applyAlignment="1"/>
    <xf numFmtId="2" fontId="0" fillId="0" borderId="0" xfId="0" applyNumberFormat="1" applyFont="1" applyAlignment="1"/>
    <xf numFmtId="0" fontId="8" fillId="0" borderId="0" xfId="0" applyFont="1"/>
    <xf numFmtId="0" fontId="0" fillId="0" borderId="0" xfId="0"/>
    <xf numFmtId="11" fontId="8" fillId="0" borderId="0" xfId="0" applyNumberFormat="1" applyFont="1"/>
    <xf numFmtId="0" fontId="8" fillId="0" borderId="0" xfId="0" applyFont="1" applyAlignment="1">
      <alignment wrapText="1"/>
    </xf>
    <xf numFmtId="165" fontId="8" fillId="0" borderId="0" xfId="0" applyNumberFormat="1" applyFont="1" applyAlignment="1">
      <alignment horizontal="right"/>
    </xf>
    <xf numFmtId="4" fontId="8" fillId="0" borderId="0" xfId="0" applyNumberFormat="1" applyFont="1"/>
    <xf numFmtId="165" fontId="8" fillId="0" borderId="0" xfId="0" applyNumberFormat="1" applyFont="1"/>
    <xf numFmtId="165" fontId="9" fillId="0" borderId="0" xfId="0" applyNumberFormat="1" applyFont="1" applyAlignment="1">
      <alignment horizontal="right"/>
    </xf>
    <xf numFmtId="165" fontId="10" fillId="0" borderId="0" xfId="0" applyNumberFormat="1" applyFont="1"/>
    <xf numFmtId="165" fontId="11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1" fontId="8" fillId="0" borderId="0" xfId="0" applyNumberFormat="1" applyFont="1" applyAlignment="1">
      <alignment horizontal="right"/>
    </xf>
    <xf numFmtId="0" fontId="12" fillId="0" borderId="0" xfId="0" applyFont="1"/>
    <xf numFmtId="0" fontId="8" fillId="0" borderId="1" xfId="0" applyFont="1" applyBorder="1"/>
    <xf numFmtId="0" fontId="7" fillId="0" borderId="0" xfId="0" applyFont="1"/>
    <xf numFmtId="11" fontId="12" fillId="0" borderId="0" xfId="0" applyNumberFormat="1" applyFont="1"/>
    <xf numFmtId="0" fontId="0" fillId="2" borderId="0" xfId="0" applyFill="1"/>
    <xf numFmtId="11" fontId="0" fillId="2" borderId="0" xfId="0" applyNumberFormat="1" applyFill="1"/>
    <xf numFmtId="4" fontId="0" fillId="2" borderId="0" xfId="0" applyNumberFormat="1" applyFill="1"/>
    <xf numFmtId="167" fontId="8" fillId="0" borderId="0" xfId="0" applyNumberFormat="1" applyFont="1"/>
    <xf numFmtId="1" fontId="0" fillId="0" borderId="0" xfId="0" applyNumberFormat="1"/>
    <xf numFmtId="1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>
        <c:manualLayout>
          <c:xMode val="edge"/>
          <c:yMode val="edge"/>
          <c:x val="0.14598436633329331"/>
          <c:y val="5.0228310502283102E-2"/>
          <c:w val="0.78354359299858756"/>
          <c:h val="0.7557990867579909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58707332"/>
        <c:axId val="1915346356"/>
      </c:scatterChart>
      <c:valAx>
        <c:axId val="958707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Time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346356"/>
        <c:crosses val="autoZero"/>
        <c:crossBetween val="midCat"/>
      </c:valAx>
      <c:valAx>
        <c:axId val="1915346356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9587073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Sheet1!$A$138</c:f>
              <c:strCache>
                <c:ptCount val="1"/>
                <c:pt idx="0">
                  <c:v>sample diF524b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Sheet1!$R$141:$R$152</c:f>
                <c:numCache>
                  <c:formatCode>General</c:formatCode>
                  <c:ptCount val="12"/>
                  <c:pt idx="0">
                    <c:v>9.4646554257423188E-3</c:v>
                  </c:pt>
                  <c:pt idx="1">
                    <c:v>1.065076492386116E-2</c:v>
                  </c:pt>
                  <c:pt idx="2">
                    <c:v>1.2007302658936072E-2</c:v>
                  </c:pt>
                  <c:pt idx="3">
                    <c:v>1.0802380709689863E-2</c:v>
                  </c:pt>
                  <c:pt idx="4">
                    <c:v>7.5475024667393809E-3</c:v>
                  </c:pt>
                  <c:pt idx="5">
                    <c:v>9.2386375320447894E-3</c:v>
                  </c:pt>
                  <c:pt idx="6">
                    <c:v>7.9745327644757721E-3</c:v>
                  </c:pt>
                  <c:pt idx="7">
                    <c:v>8.0920682266078653E-3</c:v>
                  </c:pt>
                  <c:pt idx="8">
                    <c:v>5.9230271955337064E-3</c:v>
                  </c:pt>
                  <c:pt idx="9">
                    <c:v>3.1271369020634994E-3</c:v>
                  </c:pt>
                  <c:pt idx="10">
                    <c:v>3.8235845603388926E-3</c:v>
                  </c:pt>
                  <c:pt idx="11">
                    <c:v>9.4711862402927938E-3</c:v>
                  </c:pt>
                </c:numCache>
              </c:numRef>
            </c:plus>
            <c:minus>
              <c:numRef>
                <c:f>Sheet1!$R$141:$R$152</c:f>
                <c:numCache>
                  <c:formatCode>General</c:formatCode>
                  <c:ptCount val="12"/>
                  <c:pt idx="0">
                    <c:v>9.4646554257423188E-3</c:v>
                  </c:pt>
                  <c:pt idx="1">
                    <c:v>1.065076492386116E-2</c:v>
                  </c:pt>
                  <c:pt idx="2">
                    <c:v>1.2007302658936072E-2</c:v>
                  </c:pt>
                  <c:pt idx="3">
                    <c:v>1.0802380709689863E-2</c:v>
                  </c:pt>
                  <c:pt idx="4">
                    <c:v>7.5475024667393809E-3</c:v>
                  </c:pt>
                  <c:pt idx="5">
                    <c:v>9.2386375320447894E-3</c:v>
                  </c:pt>
                  <c:pt idx="6">
                    <c:v>7.9745327644757721E-3</c:v>
                  </c:pt>
                  <c:pt idx="7">
                    <c:v>8.0920682266078653E-3</c:v>
                  </c:pt>
                  <c:pt idx="8">
                    <c:v>5.9230271955337064E-3</c:v>
                  </c:pt>
                  <c:pt idx="9">
                    <c:v>3.1271369020634994E-3</c:v>
                  </c:pt>
                  <c:pt idx="10">
                    <c:v>3.8235845603388926E-3</c:v>
                  </c:pt>
                  <c:pt idx="11">
                    <c:v>9.4711862402927938E-3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Sheet1!$S$141:$S$152</c:f>
              <c:numCache>
                <c:formatCode>0.00</c:formatCode>
                <c:ptCount val="12"/>
                <c:pt idx="0">
                  <c:v>2.3222192947339191</c:v>
                </c:pt>
                <c:pt idx="1">
                  <c:v>2.6334684555795866</c:v>
                </c:pt>
                <c:pt idx="2">
                  <c:v>2.7323937598229686</c:v>
                </c:pt>
                <c:pt idx="3">
                  <c:v>2.9493900066449128</c:v>
                </c:pt>
                <c:pt idx="4">
                  <c:v>3.3222192947339191</c:v>
                </c:pt>
                <c:pt idx="5">
                  <c:v>3.5314789170422549</c:v>
                </c:pt>
                <c:pt idx="6">
                  <c:v>3.6589648426644348</c:v>
                </c:pt>
                <c:pt idx="7">
                  <c:v>4.0659529803138694</c:v>
                </c:pt>
                <c:pt idx="8">
                  <c:v>4.5440680443502757</c:v>
                </c:pt>
                <c:pt idx="9">
                  <c:v>5.2977605110991339</c:v>
                </c:pt>
                <c:pt idx="10">
                  <c:v>6.0907869279492672</c:v>
                </c:pt>
                <c:pt idx="11">
                  <c:v>6.4857214264815797</c:v>
                </c:pt>
              </c:numCache>
            </c:numRef>
          </c:xVal>
          <c:yVal>
            <c:numRef>
              <c:f>Sheet1!$Q$141:$Q$152</c:f>
              <c:numCache>
                <c:formatCode>#,##0.000</c:formatCode>
                <c:ptCount val="12"/>
                <c:pt idx="0">
                  <c:v>5.4658385083661887E-2</c:v>
                </c:pt>
                <c:pt idx="1">
                  <c:v>1.8481441554666429E-2</c:v>
                </c:pt>
                <c:pt idx="2">
                  <c:v>0</c:v>
                </c:pt>
                <c:pt idx="3">
                  <c:v>3.8180429802552644E-2</c:v>
                </c:pt>
                <c:pt idx="4">
                  <c:v>3.0504566783332663E-2</c:v>
                </c:pt>
                <c:pt idx="5">
                  <c:v>1.1116257542547173E-2</c:v>
                </c:pt>
                <c:pt idx="6">
                  <c:v>1.1420957456933471E-2</c:v>
                </c:pt>
                <c:pt idx="7">
                  <c:v>5.500588103965319E-2</c:v>
                </c:pt>
                <c:pt idx="8">
                  <c:v>3.883125545705482E-2</c:v>
                </c:pt>
                <c:pt idx="9">
                  <c:v>5.8651809020352129E-2</c:v>
                </c:pt>
                <c:pt idx="10">
                  <c:v>6.2615750948055382E-2</c:v>
                </c:pt>
                <c:pt idx="11">
                  <c:v>2.6481857110660367E-2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8-4FDE-8A51-C4A397D6524F}"/>
            </c:ext>
          </c:extLst>
        </c:ser>
        <c:ser>
          <c:idx val="0"/>
          <c:order val="1"/>
          <c:tx>
            <c:strRef>
              <c:f>Sheet1!$A$166</c:f>
              <c:strCache>
                <c:ptCount val="1"/>
                <c:pt idx="0">
                  <c:v>sample diF524c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Sheet1!$R$169:$R$177</c:f>
                <c:numCache>
                  <c:formatCode>General</c:formatCode>
                  <c:ptCount val="9"/>
                  <c:pt idx="0">
                    <c:v>9.4646554257423188E-3</c:v>
                  </c:pt>
                  <c:pt idx="1">
                    <c:v>9.8905806926839254E-3</c:v>
                  </c:pt>
                  <c:pt idx="2">
                    <c:v>1.3951224969279433E-2</c:v>
                  </c:pt>
                  <c:pt idx="3">
                    <c:v>1.2538570875033954E-2</c:v>
                  </c:pt>
                  <c:pt idx="4">
                    <c:v>1.0260619962535703E-2</c:v>
                  </c:pt>
                  <c:pt idx="5">
                    <c:v>5.5852374309180424E-3</c:v>
                  </c:pt>
                  <c:pt idx="6">
                    <c:v>3.3343367185818952E-3</c:v>
                  </c:pt>
                  <c:pt idx="7">
                    <c:v>1.6671773672130303E-3</c:v>
                  </c:pt>
                  <c:pt idx="8">
                    <c:v>4.3267008670085459E-3</c:v>
                  </c:pt>
                </c:numCache>
              </c:numRef>
            </c:plus>
            <c:minus>
              <c:numRef>
                <c:f>Sheet1!$R$169:$R$177</c:f>
                <c:numCache>
                  <c:formatCode>General</c:formatCode>
                  <c:ptCount val="9"/>
                  <c:pt idx="0">
                    <c:v>9.4646554257423188E-3</c:v>
                  </c:pt>
                  <c:pt idx="1">
                    <c:v>9.8905806926839254E-3</c:v>
                  </c:pt>
                  <c:pt idx="2">
                    <c:v>1.3951224969279433E-2</c:v>
                  </c:pt>
                  <c:pt idx="3">
                    <c:v>1.2538570875033954E-2</c:v>
                  </c:pt>
                  <c:pt idx="4">
                    <c:v>1.0260619962535703E-2</c:v>
                  </c:pt>
                  <c:pt idx="5">
                    <c:v>5.5852374309180424E-3</c:v>
                  </c:pt>
                  <c:pt idx="6">
                    <c:v>3.3343367185818952E-3</c:v>
                  </c:pt>
                  <c:pt idx="7">
                    <c:v>1.6671773672130303E-3</c:v>
                  </c:pt>
                  <c:pt idx="8">
                    <c:v>4.3267008670085459E-3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Sheet1!$S$169:$S$177</c:f>
              <c:numCache>
                <c:formatCode>0.00</c:formatCode>
                <c:ptCount val="9"/>
                <c:pt idx="0">
                  <c:v>2.3222192947339191</c:v>
                </c:pt>
                <c:pt idx="1">
                  <c:v>2.7481880270062002</c:v>
                </c:pt>
                <c:pt idx="2">
                  <c:v>2.9030899869919438</c:v>
                </c:pt>
                <c:pt idx="3">
                  <c:v>3.12057393120585</c:v>
                </c:pt>
                <c:pt idx="4">
                  <c:v>3.3180633349627615</c:v>
                </c:pt>
                <c:pt idx="5">
                  <c:v>3.8142475957319202</c:v>
                </c:pt>
                <c:pt idx="6">
                  <c:v>4.5232260419657013</c:v>
                </c:pt>
                <c:pt idx="7">
                  <c:v>5.7015679850559273</c:v>
                </c:pt>
                <c:pt idx="8">
                  <c:v>6.312811826212088</c:v>
                </c:pt>
              </c:numCache>
            </c:numRef>
          </c:xVal>
          <c:yVal>
            <c:numRef>
              <c:f>Sheet1!$Q$169:$Q$177</c:f>
              <c:numCache>
                <c:formatCode>#,##0.000</c:formatCode>
                <c:ptCount val="9"/>
                <c:pt idx="0">
                  <c:v>5.4658385083661887E-2</c:v>
                </c:pt>
                <c:pt idx="1">
                  <c:v>3.0962415072103497E-2</c:v>
                </c:pt>
                <c:pt idx="2">
                  <c:v>0</c:v>
                </c:pt>
                <c:pt idx="3">
                  <c:v>3.8246543100912044E-2</c:v>
                </c:pt>
                <c:pt idx="4">
                  <c:v>8.5947571885060716E-3</c:v>
                </c:pt>
                <c:pt idx="5">
                  <c:v>5.5333295352612111E-2</c:v>
                </c:pt>
                <c:pt idx="6">
                  <c:v>4.9089119301303968E-2</c:v>
                </c:pt>
                <c:pt idx="7">
                  <c:v>8.9463220525838272E-2</c:v>
                </c:pt>
                <c:pt idx="8">
                  <c:v>4.2988372829586244E-2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98-4FDE-8A51-C4A397D6524F}"/>
            </c:ext>
          </c:extLst>
        </c:ser>
        <c:ser>
          <c:idx val="2"/>
          <c:order val="2"/>
          <c:tx>
            <c:strRef>
              <c:f>Sheet1!$A$192</c:f>
              <c:strCache>
                <c:ptCount val="1"/>
                <c:pt idx="0">
                  <c:v>sample diF524d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Sheet1!$R$195:$R$204</c:f>
                <c:numCache>
                  <c:formatCode>General</c:formatCode>
                  <c:ptCount val="10"/>
                  <c:pt idx="0">
                    <c:v>1.5971606030940163E-2</c:v>
                  </c:pt>
                  <c:pt idx="1">
                    <c:v>9.5401175059609458E-3</c:v>
                  </c:pt>
                  <c:pt idx="2">
                    <c:v>1.1205893557192408E-2</c:v>
                  </c:pt>
                  <c:pt idx="3">
                    <c:v>1.0561050077750869E-2</c:v>
                  </c:pt>
                  <c:pt idx="4">
                    <c:v>8.1500676741932763E-3</c:v>
                  </c:pt>
                  <c:pt idx="5">
                    <c:v>7.503921503789427E-3</c:v>
                  </c:pt>
                  <c:pt idx="6">
                    <c:v>4.6904657801475277E-3</c:v>
                  </c:pt>
                  <c:pt idx="7">
                    <c:v>3.0500048578882199E-3</c:v>
                  </c:pt>
                  <c:pt idx="8">
                    <c:v>5.4340169370438469E-3</c:v>
                  </c:pt>
                  <c:pt idx="9">
                    <c:v>2.9357139625260397E-3</c:v>
                  </c:pt>
                </c:numCache>
              </c:numRef>
            </c:plus>
            <c:minus>
              <c:numRef>
                <c:f>Sheet1!$R$195:$R$204</c:f>
                <c:numCache>
                  <c:formatCode>General</c:formatCode>
                  <c:ptCount val="10"/>
                  <c:pt idx="0">
                    <c:v>1.5971606030940163E-2</c:v>
                  </c:pt>
                  <c:pt idx="1">
                    <c:v>9.5401175059609458E-3</c:v>
                  </c:pt>
                  <c:pt idx="2">
                    <c:v>1.1205893557192408E-2</c:v>
                  </c:pt>
                  <c:pt idx="3">
                    <c:v>1.0561050077750869E-2</c:v>
                  </c:pt>
                  <c:pt idx="4">
                    <c:v>8.1500676741932763E-3</c:v>
                  </c:pt>
                  <c:pt idx="5">
                    <c:v>7.503921503789427E-3</c:v>
                  </c:pt>
                  <c:pt idx="6">
                    <c:v>4.6904657801475277E-3</c:v>
                  </c:pt>
                  <c:pt idx="7">
                    <c:v>3.0500048578882199E-3</c:v>
                  </c:pt>
                  <c:pt idx="8">
                    <c:v>5.4340169370438469E-3</c:v>
                  </c:pt>
                  <c:pt idx="9">
                    <c:v>2.9357139625260397E-3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Sheet1!$S$195:$S$204</c:f>
              <c:numCache>
                <c:formatCode>0.00</c:formatCode>
                <c:ptCount val="10"/>
                <c:pt idx="0">
                  <c:v>2.1461280356782382</c:v>
                </c:pt>
                <c:pt idx="1">
                  <c:v>2.6020599913279625</c:v>
                </c:pt>
                <c:pt idx="2">
                  <c:v>2.7923916894982539</c:v>
                </c:pt>
                <c:pt idx="3">
                  <c:v>2.9867717342662448</c:v>
                </c:pt>
                <c:pt idx="4">
                  <c:v>3.2966651902615309</c:v>
                </c:pt>
                <c:pt idx="5">
                  <c:v>3.7058637122839193</c:v>
                </c:pt>
                <c:pt idx="6">
                  <c:v>4.3044905277734875</c:v>
                </c:pt>
                <c:pt idx="7">
                  <c:v>5.3451776165427036</c:v>
                </c:pt>
                <c:pt idx="8">
                  <c:v>5.9111576087399769</c:v>
                </c:pt>
                <c:pt idx="9">
                  <c:v>6.6785183790401144</c:v>
                </c:pt>
              </c:numCache>
            </c:numRef>
          </c:xVal>
          <c:yVal>
            <c:numRef>
              <c:f>Sheet1!$Q$195:$Q$204</c:f>
              <c:numCache>
                <c:formatCode>#,##0.000</c:formatCode>
                <c:ptCount val="10"/>
                <c:pt idx="0">
                  <c:v>2.9813664591088303E-2</c:v>
                </c:pt>
                <c:pt idx="1">
                  <c:v>3.9735099342532824E-2</c:v>
                </c:pt>
                <c:pt idx="2">
                  <c:v>0</c:v>
                </c:pt>
                <c:pt idx="3">
                  <c:v>3.5031528375537996E-2</c:v>
                </c:pt>
                <c:pt idx="4">
                  <c:v>2.4829298544573098E-2</c:v>
                </c:pt>
                <c:pt idx="5">
                  <c:v>4.1258264393777444E-2</c:v>
                </c:pt>
                <c:pt idx="6">
                  <c:v>4.5351473922902487E-2</c:v>
                </c:pt>
                <c:pt idx="7">
                  <c:v>8.5756897693547357E-2</c:v>
                </c:pt>
                <c:pt idx="8">
                  <c:v>3.9728115922320617E-2</c:v>
                </c:pt>
                <c:pt idx="9">
                  <c:v>5.9144487405523201E-2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98-4FDE-8A51-C4A397D6524F}"/>
            </c:ext>
          </c:extLst>
        </c:ser>
        <c:ser>
          <c:idx val="3"/>
          <c:order val="3"/>
          <c:tx>
            <c:strRef>
              <c:f>Sheet1!$A$218</c:f>
              <c:strCache>
                <c:ptCount val="1"/>
                <c:pt idx="0">
                  <c:v>sample diF524e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Sheet1!$R$221:$R$230</c:f>
                <c:numCache>
                  <c:formatCode>General</c:formatCode>
                  <c:ptCount val="10"/>
                  <c:pt idx="0">
                    <c:v>1.1612081400441019E-2</c:v>
                  </c:pt>
                  <c:pt idx="1">
                    <c:v>1.0307144124567241E-2</c:v>
                  </c:pt>
                  <c:pt idx="2">
                    <c:v>1.1585861721212891E-2</c:v>
                  </c:pt>
                  <c:pt idx="3">
                    <c:v>9.0932002743308073E-3</c:v>
                  </c:pt>
                  <c:pt idx="4">
                    <c:v>8.9124625371067769E-3</c:v>
                  </c:pt>
                  <c:pt idx="5">
                    <c:v>7.7299653474575594E-3</c:v>
                  </c:pt>
                  <c:pt idx="6">
                    <c:v>3.9916245006175093E-3</c:v>
                  </c:pt>
                  <c:pt idx="7">
                    <c:v>3.063319529730579E-3</c:v>
                  </c:pt>
                  <c:pt idx="8">
                    <c:v>5.3770155278652166E-3</c:v>
                  </c:pt>
                  <c:pt idx="9">
                    <c:v>5.1203428780297227E-3</c:v>
                  </c:pt>
                </c:numCache>
              </c:numRef>
            </c:plus>
            <c:minus>
              <c:numRef>
                <c:f>Sheet1!$R$221:$R$230</c:f>
                <c:numCache>
                  <c:formatCode>General</c:formatCode>
                  <c:ptCount val="10"/>
                  <c:pt idx="0">
                    <c:v>1.1612081400441019E-2</c:v>
                  </c:pt>
                  <c:pt idx="1">
                    <c:v>1.0307144124567241E-2</c:v>
                  </c:pt>
                  <c:pt idx="2">
                    <c:v>1.1585861721212891E-2</c:v>
                  </c:pt>
                  <c:pt idx="3">
                    <c:v>9.0932002743308073E-3</c:v>
                  </c:pt>
                  <c:pt idx="4">
                    <c:v>8.9124625371067769E-3</c:v>
                  </c:pt>
                  <c:pt idx="5">
                    <c:v>7.7299653474575594E-3</c:v>
                  </c:pt>
                  <c:pt idx="6">
                    <c:v>3.9916245006175093E-3</c:v>
                  </c:pt>
                  <c:pt idx="7">
                    <c:v>3.063319529730579E-3</c:v>
                  </c:pt>
                  <c:pt idx="8">
                    <c:v>5.3770155278652166E-3</c:v>
                  </c:pt>
                  <c:pt idx="9">
                    <c:v>5.1203428780297227E-3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Sheet1!$S$221:$S$230</c:f>
              <c:numCache>
                <c:formatCode>0.00</c:formatCode>
                <c:ptCount val="10"/>
                <c:pt idx="0">
                  <c:v>2.255272505103306</c:v>
                </c:pt>
                <c:pt idx="1">
                  <c:v>2.6232492903979003</c:v>
                </c:pt>
                <c:pt idx="2">
                  <c:v>2.7634279935629373</c:v>
                </c:pt>
                <c:pt idx="3">
                  <c:v>3.0453229787866576</c:v>
                </c:pt>
                <c:pt idx="4">
                  <c:v>3.287801729930226</c:v>
                </c:pt>
                <c:pt idx="5">
                  <c:v>3.6589648426644348</c:v>
                </c:pt>
                <c:pt idx="6">
                  <c:v>4.34713478291002</c:v>
                </c:pt>
                <c:pt idx="7">
                  <c:v>5.3780343224573315</c:v>
                </c:pt>
                <c:pt idx="8">
                  <c:v>5.982271233039568</c:v>
                </c:pt>
                <c:pt idx="9">
                  <c:v>6.568201724066995</c:v>
                </c:pt>
              </c:numCache>
            </c:numRef>
          </c:xVal>
          <c:yVal>
            <c:numRef>
              <c:f>Sheet1!$Q$221:$Q$230</c:f>
              <c:numCache>
                <c:formatCode>#,##0.000</c:formatCode>
                <c:ptCount val="10"/>
                <c:pt idx="0">
                  <c:v>4.6376811586137358E-2</c:v>
                </c:pt>
                <c:pt idx="1">
                  <c:v>2.7522146730758666E-2</c:v>
                </c:pt>
                <c:pt idx="2">
                  <c:v>0</c:v>
                </c:pt>
                <c:pt idx="3">
                  <c:v>4.6357036648298794E-2</c:v>
                </c:pt>
                <c:pt idx="4">
                  <c:v>1.1518746747482364E-2</c:v>
                </c:pt>
                <c:pt idx="5">
                  <c:v>4.370267119996616E-2</c:v>
                </c:pt>
                <c:pt idx="6">
                  <c:v>4.9956418228888848E-2</c:v>
                </c:pt>
                <c:pt idx="7">
                  <c:v>8.4820073379656746E-2</c:v>
                </c:pt>
                <c:pt idx="8">
                  <c:v>4.3304463806274375E-2</c:v>
                </c:pt>
                <c:pt idx="9">
                  <c:v>4.7682119142142931E-2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98-4FDE-8A51-C4A397D6524F}"/>
            </c:ext>
          </c:extLst>
        </c:ser>
        <c:ser>
          <c:idx val="4"/>
          <c:order val="4"/>
          <c:tx>
            <c:strRef>
              <c:f>Sheet1!$A$244</c:f>
              <c:strCache>
                <c:ptCount val="1"/>
                <c:pt idx="0">
                  <c:v>sample diF524f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Sheet1!$R$247:$R$256</c:f>
                <c:numCache>
                  <c:formatCode>General</c:formatCode>
                  <c:ptCount val="10"/>
                  <c:pt idx="0">
                    <c:v>1.7463918441498059E-2</c:v>
                  </c:pt>
                  <c:pt idx="1">
                    <c:v>1.0511262966609151E-2</c:v>
                  </c:pt>
                  <c:pt idx="2">
                    <c:v>1.2236033738462987E-2</c:v>
                  </c:pt>
                  <c:pt idx="3">
                    <c:v>1.0974056175303898E-2</c:v>
                  </c:pt>
                  <c:pt idx="4">
                    <c:v>8.7169786902831243E-3</c:v>
                  </c:pt>
                  <c:pt idx="5">
                    <c:v>1.0664532247738683E-2</c:v>
                  </c:pt>
                  <c:pt idx="6">
                    <c:v>6.4800100043199338E-3</c:v>
                  </c:pt>
                  <c:pt idx="7">
                    <c:v>7.1132318454108683E-3</c:v>
                  </c:pt>
                  <c:pt idx="8">
                    <c:v>4.7923348440068554E-3</c:v>
                  </c:pt>
                  <c:pt idx="9">
                    <c:v>1.9169551733157905E-3</c:v>
                  </c:pt>
                </c:numCache>
              </c:numRef>
            </c:plus>
            <c:minus>
              <c:numRef>
                <c:f>Sheet1!$R$247:$R$256</c:f>
                <c:numCache>
                  <c:formatCode>General</c:formatCode>
                  <c:ptCount val="10"/>
                  <c:pt idx="0">
                    <c:v>1.7463918441498059E-2</c:v>
                  </c:pt>
                  <c:pt idx="1">
                    <c:v>1.0511262966609151E-2</c:v>
                  </c:pt>
                  <c:pt idx="2">
                    <c:v>1.2236033738462987E-2</c:v>
                  </c:pt>
                  <c:pt idx="3">
                    <c:v>1.0974056175303898E-2</c:v>
                  </c:pt>
                  <c:pt idx="4">
                    <c:v>8.7169786902831243E-3</c:v>
                  </c:pt>
                  <c:pt idx="5">
                    <c:v>1.0664532247738683E-2</c:v>
                  </c:pt>
                  <c:pt idx="6">
                    <c:v>6.4800100043199338E-3</c:v>
                  </c:pt>
                  <c:pt idx="7">
                    <c:v>7.1132318454108683E-3</c:v>
                  </c:pt>
                  <c:pt idx="8">
                    <c:v>4.7923348440068554E-3</c:v>
                  </c:pt>
                  <c:pt idx="9">
                    <c:v>1.9169551733157905E-3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Sheet1!$S$247:$S$256</c:f>
              <c:numCache>
                <c:formatCode>0.00</c:formatCode>
                <c:ptCount val="10"/>
                <c:pt idx="0">
                  <c:v>2.1139433523068369</c:v>
                </c:pt>
                <c:pt idx="1">
                  <c:v>2.5314789170422549</c:v>
                </c:pt>
                <c:pt idx="2">
                  <c:v>2.716003343634799</c:v>
                </c:pt>
                <c:pt idx="3">
                  <c:v>2.9344984512435679</c:v>
                </c:pt>
                <c:pt idx="4">
                  <c:v>3.2455126678141499</c:v>
                </c:pt>
                <c:pt idx="5">
                  <c:v>3.510545010206612</c:v>
                </c:pt>
                <c:pt idx="6">
                  <c:v>4.0366288953621607</c:v>
                </c:pt>
                <c:pt idx="7">
                  <c:v>4.7505083948513462</c:v>
                </c:pt>
                <c:pt idx="8">
                  <c:v>5.4022613824546806</c:v>
                </c:pt>
                <c:pt idx="9">
                  <c:v>6.3588862044058692</c:v>
                </c:pt>
              </c:numCache>
            </c:numRef>
          </c:xVal>
          <c:yVal>
            <c:numRef>
              <c:f>Sheet1!$Q$247:$Q$256</c:f>
              <c:numCache>
                <c:formatCode>#,##0.000</c:formatCode>
                <c:ptCount val="10"/>
                <c:pt idx="0">
                  <c:v>2.4080267554340555E-2</c:v>
                </c:pt>
                <c:pt idx="1">
                  <c:v>3.8247689206716083E-2</c:v>
                </c:pt>
                <c:pt idx="2">
                  <c:v>0</c:v>
                </c:pt>
                <c:pt idx="3">
                  <c:v>3.8383382253330336E-2</c:v>
                </c:pt>
                <c:pt idx="4">
                  <c:v>2.3700694065274319E-2</c:v>
                </c:pt>
                <c:pt idx="5">
                  <c:v>2.4390890567541776E-2</c:v>
                </c:pt>
                <c:pt idx="6">
                  <c:v>4.4676098287416227E-2</c:v>
                </c:pt>
                <c:pt idx="7">
                  <c:v>6.9200233531537286E-2</c:v>
                </c:pt>
                <c:pt idx="8">
                  <c:v>4.9867745068611462E-2</c:v>
                </c:pt>
                <c:pt idx="9">
                  <c:v>6.5210775632033535E-2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98-4FDE-8A51-C4A397D6524F}"/>
            </c:ext>
          </c:extLst>
        </c:ser>
        <c:ser>
          <c:idx val="5"/>
          <c:order val="5"/>
          <c:tx>
            <c:strRef>
              <c:f>Sheet1!$A$270</c:f>
              <c:strCache>
                <c:ptCount val="1"/>
                <c:pt idx="0">
                  <c:v>sample diF524g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Sheet1!$R$273:$R$282</c:f>
                <c:numCache>
                  <c:formatCode>General</c:formatCode>
                  <c:ptCount val="10"/>
                  <c:pt idx="0">
                    <c:v>1.4665635522868025E-2</c:v>
                  </c:pt>
                  <c:pt idx="1">
                    <c:v>8.9537965389688383E-3</c:v>
                  </c:pt>
                  <c:pt idx="2">
                    <c:v>1.3951224969279433E-2</c:v>
                  </c:pt>
                  <c:pt idx="3">
                    <c:v>1.3274963986454943E-2</c:v>
                  </c:pt>
                  <c:pt idx="4">
                    <c:v>9.6573801331114855E-3</c:v>
                  </c:pt>
                  <c:pt idx="5">
                    <c:v>9.2014042478547695E-3</c:v>
                  </c:pt>
                  <c:pt idx="6">
                    <c:v>6.994253691565081E-3</c:v>
                  </c:pt>
                  <c:pt idx="7">
                    <c:v>5.8930360512782932E-3</c:v>
                  </c:pt>
                  <c:pt idx="8">
                    <c:v>5.1105118223885573E-3</c:v>
                  </c:pt>
                  <c:pt idx="9">
                    <c:v>2.4000011916979571E-3</c:v>
                  </c:pt>
                </c:numCache>
              </c:numRef>
            </c:plus>
            <c:minus>
              <c:numRef>
                <c:f>Sheet1!$R$273:$R$282</c:f>
                <c:numCache>
                  <c:formatCode>General</c:formatCode>
                  <c:ptCount val="10"/>
                  <c:pt idx="0">
                    <c:v>1.4665635522868025E-2</c:v>
                  </c:pt>
                  <c:pt idx="1">
                    <c:v>8.9537965389688383E-3</c:v>
                  </c:pt>
                  <c:pt idx="2">
                    <c:v>1.3951224969279433E-2</c:v>
                  </c:pt>
                  <c:pt idx="3">
                    <c:v>1.3274963986454943E-2</c:v>
                  </c:pt>
                  <c:pt idx="4">
                    <c:v>9.6573801331114855E-3</c:v>
                  </c:pt>
                  <c:pt idx="5">
                    <c:v>9.2014042478547695E-3</c:v>
                  </c:pt>
                  <c:pt idx="6">
                    <c:v>6.994253691565081E-3</c:v>
                  </c:pt>
                  <c:pt idx="7">
                    <c:v>5.8930360512782932E-3</c:v>
                  </c:pt>
                  <c:pt idx="8">
                    <c:v>5.1105118223885573E-3</c:v>
                  </c:pt>
                  <c:pt idx="9">
                    <c:v>2.4000011916979571E-3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Sheet1!$S$273:$S$282</c:f>
              <c:numCache>
                <c:formatCode>0.00</c:formatCode>
                <c:ptCount val="10"/>
                <c:pt idx="0">
                  <c:v>2.1760912590556813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3.0086001717619175</c:v>
                </c:pt>
                <c:pt idx="4">
                  <c:v>3.1986570869544226</c:v>
                </c:pt>
                <c:pt idx="5">
                  <c:v>3.5465426634781312</c:v>
                </c:pt>
                <c:pt idx="6">
                  <c:v>4.0553783313750005</c:v>
                </c:pt>
                <c:pt idx="7">
                  <c:v>4.8296253533580495</c:v>
                </c:pt>
                <c:pt idx="8">
                  <c:v>5.4170562991191105</c:v>
                </c:pt>
                <c:pt idx="9">
                  <c:v>6.2986711729591294</c:v>
                </c:pt>
              </c:numCache>
            </c:numRef>
          </c:xVal>
          <c:yVal>
            <c:numRef>
              <c:f>Sheet1!$Q$273:$Q$282</c:f>
              <c:numCache>
                <c:formatCode>#,##0.000</c:formatCode>
                <c:ptCount val="10"/>
                <c:pt idx="0">
                  <c:v>3.478260868960302E-2</c:v>
                </c:pt>
                <c:pt idx="1">
                  <c:v>4.3347381100944903E-2</c:v>
                </c:pt>
                <c:pt idx="2">
                  <c:v>0</c:v>
                </c:pt>
                <c:pt idx="3">
                  <c:v>2.0940415000951843E-2</c:v>
                </c:pt>
                <c:pt idx="4">
                  <c:v>1.6029040832572505E-2</c:v>
                </c:pt>
                <c:pt idx="5">
                  <c:v>3.9044706244483869E-2</c:v>
                </c:pt>
                <c:pt idx="6">
                  <c:v>3.9732063265669963E-2</c:v>
                </c:pt>
                <c:pt idx="7">
                  <c:v>7.4441502316739697E-2</c:v>
                </c:pt>
                <c:pt idx="8">
                  <c:v>4.3989812331732527E-2</c:v>
                </c:pt>
                <c:pt idx="9">
                  <c:v>6.3289839749485891E-2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98-4FDE-8A51-C4A397D6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01200"/>
        <c:axId val="1694102032"/>
      </c:scatterChart>
      <c:valAx>
        <c:axId val="16941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</a:t>
                </a:r>
                <a:r>
                  <a:rPr lang="en-US" baseline="0"/>
                  <a:t> density (cell/ml))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02032"/>
        <c:crosses val="autoZero"/>
        <c:crossBetween val="midCat"/>
      </c:valAx>
      <c:valAx>
        <c:axId val="16941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Proliferation</a:t>
                </a:r>
                <a:r>
                  <a:rPr lang="en-US" baseline="0"/>
                  <a:t> Rate, </a:t>
                </a:r>
                <a:r>
                  <a:rPr lang="el-GR"/>
                  <a:t>γ</a:t>
                </a:r>
                <a:r>
                  <a:rPr lang="en-US"/>
                  <a:t> (1/ 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[1]Sheet1!$I$5:$I$12</c:f>
                <c:numCache>
                  <c:formatCode>General</c:formatCode>
                  <c:ptCount val="8"/>
                </c:numCache>
              </c:numRef>
            </c:plus>
            <c:minus>
              <c:numRef>
                <c:f>[1]Sheet1!$I$5:$I$12</c:f>
                <c:numCache>
                  <c:formatCode>General</c:formatCode>
                  <c:ptCount val="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[1]Sheet1!$B$5:$B$12</c:f>
              <c:numCache>
                <c:formatCode>General</c:formatCode>
                <c:ptCount val="8"/>
              </c:numCache>
            </c:numRef>
          </c:xVal>
          <c:yVal>
            <c:numRef>
              <c:f>[1]Sheet1!$H$5:$H$12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9-416D-B838-F360FCB05327}"/>
            </c:ext>
          </c:extLst>
        </c:ser>
        <c:ser>
          <c:idx val="1"/>
          <c:order val="1"/>
          <c:tx>
            <c:strRef>
              <c:f>[1]Sheet1!$A$28</c:f>
              <c:strCache>
                <c:ptCount val="1"/>
                <c:pt idx="0">
                  <c:v>sample diClp325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[1]Sheet1!$I$30:$I$40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plus>
            <c:minus>
              <c:numRef>
                <c:f>[1]Sheet1!$I$30:$I$40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[1]Sheet1!$I$30:$I$40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plus>
            <c:minus>
              <c:numRef>
                <c:f>[1]Sheet1!$I$30:$I$40</c:f>
                <c:numCache>
                  <c:formatCode>General</c:formatCode>
                  <c:ptCount val="11"/>
                  <c:pt idx="0">
                    <c:v>0.10526046126576852</c:v>
                  </c:pt>
                  <c:pt idx="1">
                    <c:v>7.7948701079620292E-2</c:v>
                  </c:pt>
                  <c:pt idx="2">
                    <c:v>4.978321424991191E-2</c:v>
                  </c:pt>
                  <c:pt idx="3">
                    <c:v>4.0470708677629613E-2</c:v>
                  </c:pt>
                  <c:pt idx="4">
                    <c:v>2.7019659796227564E-2</c:v>
                  </c:pt>
                  <c:pt idx="5">
                    <c:v>2.0018927214226809E-2</c:v>
                  </c:pt>
                  <c:pt idx="6">
                    <c:v>1.5826351577521557E-2</c:v>
                  </c:pt>
                  <c:pt idx="7">
                    <c:v>7.2333333333333333E-2</c:v>
                  </c:pt>
                  <c:pt idx="8">
                    <c:v>5.3831074811716464E-2</c:v>
                  </c:pt>
                  <c:pt idx="9">
                    <c:v>2.1700000000000001E-2</c:v>
                  </c:pt>
                  <c:pt idx="10">
                    <c:v>1.9293653342188397E-2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[1]Sheet1!$B$30:$B$40</c:f>
              <c:numCache>
                <c:formatCode>General</c:formatCode>
                <c:ptCount val="11"/>
                <c:pt idx="0">
                  <c:v>-23.18</c:v>
                </c:pt>
                <c:pt idx="1">
                  <c:v>6.27</c:v>
                </c:pt>
                <c:pt idx="2">
                  <c:v>27.61</c:v>
                </c:pt>
                <c:pt idx="3">
                  <c:v>55.11</c:v>
                </c:pt>
                <c:pt idx="4">
                  <c:v>73.510000000000005</c:v>
                </c:pt>
                <c:pt idx="5">
                  <c:v>96.97</c:v>
                </c:pt>
                <c:pt idx="6">
                  <c:v>114.96</c:v>
                </c:pt>
                <c:pt idx="7">
                  <c:v>150.27000000000001</c:v>
                </c:pt>
                <c:pt idx="8">
                  <c:v>164.02</c:v>
                </c:pt>
                <c:pt idx="9">
                  <c:v>197.44</c:v>
                </c:pt>
                <c:pt idx="10">
                  <c:v>215.97</c:v>
                </c:pt>
              </c:numCache>
            </c:numRef>
          </c:xVal>
          <c:yVal>
            <c:numRef>
              <c:f>[1]Sheet1!$H$30:$H$40</c:f>
              <c:numCache>
                <c:formatCode>General</c:formatCode>
                <c:ptCount val="11"/>
                <c:pt idx="0">
                  <c:v>2.8325089127062362</c:v>
                </c:pt>
                <c:pt idx="1">
                  <c:v>2.7923916894982539</c:v>
                </c:pt>
                <c:pt idx="2">
                  <c:v>3.1818435879447726</c:v>
                </c:pt>
                <c:pt idx="3">
                  <c:v>3.3617278360175931</c:v>
                </c:pt>
                <c:pt idx="4">
                  <c:v>3.7126497016272113</c:v>
                </c:pt>
                <c:pt idx="5">
                  <c:v>3.9731278535996988</c:v>
                </c:pt>
                <c:pt idx="6">
                  <c:v>4.1772478362556233</c:v>
                </c:pt>
                <c:pt idx="7">
                  <c:v>4.9542425094393252</c:v>
                </c:pt>
                <c:pt idx="8">
                  <c:v>5.2108533653148932</c:v>
                </c:pt>
                <c:pt idx="9">
                  <c:v>6.6020599913279625</c:v>
                </c:pt>
                <c:pt idx="10">
                  <c:v>6.7041505168397988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9-416D-B838-F360FCB05327}"/>
            </c:ext>
          </c:extLst>
        </c:ser>
        <c:ser>
          <c:idx val="2"/>
          <c:order val="2"/>
          <c:tx>
            <c:strRef>
              <c:f>[1]Sheet1!$A$53</c:f>
              <c:strCache>
                <c:ptCount val="1"/>
                <c:pt idx="0">
                  <c:v>sample diClp331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[1]Sheet1!$I$55:$I$63</c:f>
                <c:numCache>
                  <c:formatCode>General</c:formatCode>
                  <c:ptCount val="9"/>
                  <c:pt idx="0">
                    <c:v>7.6721085758740398E-2</c:v>
                  </c:pt>
                  <c:pt idx="1">
                    <c:v>3.4310712612826914E-2</c:v>
                  </c:pt>
                  <c:pt idx="2">
                    <c:v>2.1177031582983171E-2</c:v>
                  </c:pt>
                  <c:pt idx="3">
                    <c:v>0.12036994258087472</c:v>
                  </c:pt>
                  <c:pt idx="4">
                    <c:v>9.7045350223490881E-2</c:v>
                  </c:pt>
                  <c:pt idx="5">
                    <c:v>6.2642504207074387E-2</c:v>
                  </c:pt>
                  <c:pt idx="6">
                    <c:v>7.0404096770750935E-2</c:v>
                  </c:pt>
                  <c:pt idx="7">
                    <c:v>6.7779412659655036E-2</c:v>
                  </c:pt>
                  <c:pt idx="8">
                    <c:v>4.9140823281875454E-2</c:v>
                  </c:pt>
                </c:numCache>
              </c:numRef>
            </c:plus>
            <c:minus>
              <c:numRef>
                <c:f>[1]Sheet1!$I$55:$I$63</c:f>
                <c:numCache>
                  <c:formatCode>General</c:formatCode>
                  <c:ptCount val="9"/>
                  <c:pt idx="0">
                    <c:v>7.6721085758740398E-2</c:v>
                  </c:pt>
                  <c:pt idx="1">
                    <c:v>3.4310712612826914E-2</c:v>
                  </c:pt>
                  <c:pt idx="2">
                    <c:v>2.1177031582983171E-2</c:v>
                  </c:pt>
                  <c:pt idx="3">
                    <c:v>0.12036994258087472</c:v>
                  </c:pt>
                  <c:pt idx="4">
                    <c:v>9.7045350223490881E-2</c:v>
                  </c:pt>
                  <c:pt idx="5">
                    <c:v>6.2642504207074387E-2</c:v>
                  </c:pt>
                  <c:pt idx="6">
                    <c:v>7.0404096770750935E-2</c:v>
                  </c:pt>
                  <c:pt idx="7">
                    <c:v>6.7779412659655036E-2</c:v>
                  </c:pt>
                  <c:pt idx="8">
                    <c:v>4.9140823281875454E-2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[1]Sheet1!$B$55:$B$63</c:f>
              <c:numCache>
                <c:formatCode>General</c:formatCode>
                <c:ptCount val="9"/>
                <c:pt idx="0">
                  <c:v>60.18</c:v>
                </c:pt>
                <c:pt idx="1">
                  <c:v>93.45</c:v>
                </c:pt>
                <c:pt idx="2">
                  <c:v>110.95</c:v>
                </c:pt>
                <c:pt idx="3">
                  <c:v>135.86000000000001</c:v>
                </c:pt>
                <c:pt idx="4">
                  <c:v>166.58</c:v>
                </c:pt>
                <c:pt idx="5">
                  <c:v>187.95</c:v>
                </c:pt>
                <c:pt idx="6">
                  <c:v>208.78</c:v>
                </c:pt>
                <c:pt idx="7">
                  <c:v>231.3</c:v>
                </c:pt>
                <c:pt idx="8">
                  <c:v>255.98</c:v>
                </c:pt>
              </c:numCache>
            </c:numRef>
          </c:xVal>
          <c:yVal>
            <c:numRef>
              <c:f>[1]Sheet1!$H$55:$H$63</c:f>
              <c:numCache>
                <c:formatCode>General</c:formatCode>
                <c:ptCount val="9"/>
                <c:pt idx="0">
                  <c:v>2.8061799739838871</c:v>
                </c:pt>
                <c:pt idx="1">
                  <c:v>3.5051499783199058</c:v>
                </c:pt>
                <c:pt idx="2">
                  <c:v>3.9242792860618816</c:v>
                </c:pt>
                <c:pt idx="3">
                  <c:v>4.5118833609788744</c:v>
                </c:pt>
                <c:pt idx="4">
                  <c:v>5.3010299956639813</c:v>
                </c:pt>
                <c:pt idx="5">
                  <c:v>5.982271233039568</c:v>
                </c:pt>
                <c:pt idx="6">
                  <c:v>6.7839035792727351</c:v>
                </c:pt>
                <c:pt idx="7">
                  <c:v>6.8169038393756605</c:v>
                </c:pt>
                <c:pt idx="8">
                  <c:v>7.0962145853464049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9-416D-B838-F360FCB05327}"/>
            </c:ext>
          </c:extLst>
        </c:ser>
        <c:ser>
          <c:idx val="3"/>
          <c:order val="3"/>
          <c:tx>
            <c:strRef>
              <c:f>[1]Sheet1!$A$78</c:f>
              <c:strCache>
                <c:ptCount val="1"/>
                <c:pt idx="0">
                  <c:v>sample diClp354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[1]Sheet1!$I$80:$I$86</c:f>
                <c:numCache>
                  <c:formatCode>General</c:formatCode>
                  <c:ptCount val="7"/>
                  <c:pt idx="0">
                    <c:v>9.7045350223490881E-2</c:v>
                  </c:pt>
                  <c:pt idx="1">
                    <c:v>6.0184971290437358E-2</c:v>
                  </c:pt>
                  <c:pt idx="2">
                    <c:v>2.253215731366056E-2</c:v>
                  </c:pt>
                  <c:pt idx="3">
                    <c:v>1.7182224539488238E-2</c:v>
                  </c:pt>
                  <c:pt idx="4">
                    <c:v>9.956642849982382E-2</c:v>
                  </c:pt>
                  <c:pt idx="5">
                    <c:v>3.7352772716755973E-2</c:v>
                  </c:pt>
                  <c:pt idx="6">
                    <c:v>3.7918756059089044E-2</c:v>
                  </c:pt>
                </c:numCache>
              </c:numRef>
            </c:plus>
            <c:minus>
              <c:numRef>
                <c:f>[1]Sheet1!$I$80:$I$86</c:f>
                <c:numCache>
                  <c:formatCode>General</c:formatCode>
                  <c:ptCount val="7"/>
                  <c:pt idx="0">
                    <c:v>9.7045350223490881E-2</c:v>
                  </c:pt>
                  <c:pt idx="1">
                    <c:v>6.0184971290437358E-2</c:v>
                  </c:pt>
                  <c:pt idx="2">
                    <c:v>2.253215731366056E-2</c:v>
                  </c:pt>
                  <c:pt idx="3">
                    <c:v>1.7182224539488238E-2</c:v>
                  </c:pt>
                  <c:pt idx="4">
                    <c:v>9.956642849982382E-2</c:v>
                  </c:pt>
                  <c:pt idx="5">
                    <c:v>3.7352772716755973E-2</c:v>
                  </c:pt>
                  <c:pt idx="6">
                    <c:v>3.7918756059089044E-2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[1]Sheet1!$B$80:$B$86</c:f>
              <c:numCache>
                <c:formatCode>General</c:formatCode>
                <c:ptCount val="7"/>
                <c:pt idx="0">
                  <c:v>67.459999999999994</c:v>
                </c:pt>
                <c:pt idx="1">
                  <c:v>85.2</c:v>
                </c:pt>
                <c:pt idx="2">
                  <c:v>120.87</c:v>
                </c:pt>
                <c:pt idx="3">
                  <c:v>139.82</c:v>
                </c:pt>
                <c:pt idx="4">
                  <c:v>165.95</c:v>
                </c:pt>
                <c:pt idx="5">
                  <c:v>192.2</c:v>
                </c:pt>
                <c:pt idx="6">
                  <c:v>216.45</c:v>
                </c:pt>
              </c:numCache>
            </c:numRef>
          </c:xVal>
          <c:yVal>
            <c:numRef>
              <c:f>[1]Sheet1!$H$80:$H$86</c:f>
              <c:numCache>
                <c:formatCode>General</c:formatCode>
                <c:ptCount val="7"/>
                <c:pt idx="0">
                  <c:v>2.8061799739838871</c:v>
                </c:pt>
                <c:pt idx="1">
                  <c:v>3.0170333392987803</c:v>
                </c:pt>
                <c:pt idx="2">
                  <c:v>3.8704039052790269</c:v>
                </c:pt>
                <c:pt idx="3">
                  <c:v>4.4068806700491248</c:v>
                </c:pt>
                <c:pt idx="4">
                  <c:v>5.2787536009528289</c:v>
                </c:pt>
                <c:pt idx="5">
                  <c:v>6.1303337684950066</c:v>
                </c:pt>
                <c:pt idx="6">
                  <c:v>7.0203612826477082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9-416D-B838-F360FCB05327}"/>
            </c:ext>
          </c:extLst>
        </c:ser>
        <c:ser>
          <c:idx val="4"/>
          <c:order val="4"/>
          <c:tx>
            <c:strRef>
              <c:f>[1]Sheet1!$A$103</c:f>
              <c:strCache>
                <c:ptCount val="1"/>
                <c:pt idx="0">
                  <c:v>sample diClp355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[1]Sheet1!$I$105:$I$111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6.7779412659655022E-2</c:v>
                  </c:pt>
                  <c:pt idx="2">
                    <c:v>2.5982900359873436E-2</c:v>
                  </c:pt>
                  <c:pt idx="3">
                    <c:v>0.16403658128600462</c:v>
                  </c:pt>
                  <c:pt idx="4">
                    <c:v>5.1872921645112688E-2</c:v>
                  </c:pt>
                  <c:pt idx="5">
                    <c:v>3.5202048385375467E-2</c:v>
                  </c:pt>
                  <c:pt idx="6">
                    <c:v>4.6799423570292271E-2</c:v>
                  </c:pt>
                </c:numCache>
              </c:numRef>
            </c:plus>
            <c:minus>
              <c:numRef>
                <c:f>[1]Sheet1!$I$105:$I$111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6.7779412659655022E-2</c:v>
                  </c:pt>
                  <c:pt idx="2">
                    <c:v>2.5982900359873436E-2</c:v>
                  </c:pt>
                  <c:pt idx="3">
                    <c:v>0.16403658128600462</c:v>
                  </c:pt>
                  <c:pt idx="4">
                    <c:v>5.1872921645112688E-2</c:v>
                  </c:pt>
                  <c:pt idx="5">
                    <c:v>3.5202048385375467E-2</c:v>
                  </c:pt>
                  <c:pt idx="6">
                    <c:v>4.6799423570292271E-2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[1]Sheet1!$B$105:$B$111</c:f>
              <c:numCache>
                <c:formatCode>General</c:formatCode>
                <c:ptCount val="7"/>
                <c:pt idx="0">
                  <c:v>65.709999999999994</c:v>
                </c:pt>
                <c:pt idx="1">
                  <c:v>83.55</c:v>
                </c:pt>
                <c:pt idx="2">
                  <c:v>107.13</c:v>
                </c:pt>
                <c:pt idx="3">
                  <c:v>138</c:v>
                </c:pt>
                <c:pt idx="4">
                  <c:v>164.26</c:v>
                </c:pt>
                <c:pt idx="5">
                  <c:v>190.46</c:v>
                </c:pt>
                <c:pt idx="6">
                  <c:v>214.66</c:v>
                </c:pt>
              </c:numCache>
            </c:numRef>
          </c:xVal>
          <c:yVal>
            <c:numRef>
              <c:f>[1]Sheet1!$H$105:$H$111</c:f>
              <c:numCache>
                <c:formatCode>General</c:formatCode>
                <c:ptCount val="7"/>
                <c:pt idx="0">
                  <c:v>2.5563025007672873</c:v>
                </c:pt>
                <c:pt idx="1">
                  <c:v>2.9138138523837167</c:v>
                </c:pt>
                <c:pt idx="2">
                  <c:v>3.7466341989375787</c:v>
                </c:pt>
                <c:pt idx="3">
                  <c:v>4.2430380486862944</c:v>
                </c:pt>
                <c:pt idx="4">
                  <c:v>5.2430380486862944</c:v>
                </c:pt>
                <c:pt idx="5">
                  <c:v>6.1818435879447726</c:v>
                </c:pt>
                <c:pt idx="6">
                  <c:v>6.8375884382355112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F9-416D-B838-F360FCB05327}"/>
            </c:ext>
          </c:extLst>
        </c:ser>
        <c:ser>
          <c:idx val="5"/>
          <c:order val="5"/>
          <c:tx>
            <c:strRef>
              <c:f>[1]Sheet1!$A$128</c:f>
              <c:strCache>
                <c:ptCount val="1"/>
                <c:pt idx="0">
                  <c:v>sample diClp358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[1]Sheet1!$I$130:$I$138</c:f>
                <c:numCache>
                  <c:formatCode>General</c:formatCode>
                  <c:ptCount val="9"/>
                  <c:pt idx="0">
                    <c:v>8.6800000000000002E-2</c:v>
                  </c:pt>
                  <c:pt idx="1">
                    <c:v>4.4066023566799062E-2</c:v>
                  </c:pt>
                  <c:pt idx="2">
                    <c:v>2.5982900359873436E-2</c:v>
                  </c:pt>
                  <c:pt idx="3">
                    <c:v>2.6915537405858236E-2</c:v>
                  </c:pt>
                  <c:pt idx="4">
                    <c:v>0.11599137898999218</c:v>
                  </c:pt>
                  <c:pt idx="5">
                    <c:v>7.9237196652414035E-2</c:v>
                  </c:pt>
                  <c:pt idx="6">
                    <c:v>3.6166666666666673E-2</c:v>
                  </c:pt>
                  <c:pt idx="7">
                    <c:v>4.5247627850385219E-2</c:v>
                  </c:pt>
                  <c:pt idx="8">
                    <c:v>7.4430385951848838E-2</c:v>
                  </c:pt>
                </c:numCache>
              </c:numRef>
            </c:plus>
            <c:minus>
              <c:numRef>
                <c:f>[1]Sheet1!$I$130:$I$138</c:f>
                <c:numCache>
                  <c:formatCode>General</c:formatCode>
                  <c:ptCount val="9"/>
                  <c:pt idx="0">
                    <c:v>8.6800000000000002E-2</c:v>
                  </c:pt>
                  <c:pt idx="1">
                    <c:v>4.4066023566799062E-2</c:v>
                  </c:pt>
                  <c:pt idx="2">
                    <c:v>2.5982900359873436E-2</c:v>
                  </c:pt>
                  <c:pt idx="3">
                    <c:v>2.6915537405858236E-2</c:v>
                  </c:pt>
                  <c:pt idx="4">
                    <c:v>0.11599137898999218</c:v>
                  </c:pt>
                  <c:pt idx="5">
                    <c:v>7.9237196652414035E-2</c:v>
                  </c:pt>
                  <c:pt idx="6">
                    <c:v>3.6166666666666673E-2</c:v>
                  </c:pt>
                  <c:pt idx="7">
                    <c:v>4.5247627850385219E-2</c:v>
                  </c:pt>
                  <c:pt idx="8">
                    <c:v>7.4430385951848838E-2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[1]Sheet1!$B$130:$B$138</c:f>
              <c:numCache>
                <c:formatCode>General</c:formatCode>
                <c:ptCount val="9"/>
                <c:pt idx="0">
                  <c:v>47.15</c:v>
                </c:pt>
                <c:pt idx="1">
                  <c:v>81.260000000000005</c:v>
                </c:pt>
                <c:pt idx="2">
                  <c:v>107.13</c:v>
                </c:pt>
                <c:pt idx="3">
                  <c:v>100.38</c:v>
                </c:pt>
                <c:pt idx="4">
                  <c:v>126.33</c:v>
                </c:pt>
                <c:pt idx="5">
                  <c:v>152.55000000000001</c:v>
                </c:pt>
                <c:pt idx="6">
                  <c:v>176.76</c:v>
                </c:pt>
                <c:pt idx="7">
                  <c:v>194.86</c:v>
                </c:pt>
                <c:pt idx="8">
                  <c:v>218.95</c:v>
                </c:pt>
              </c:numCache>
            </c:numRef>
          </c:xVal>
          <c:yVal>
            <c:numRef>
              <c:f>[1]Sheet1!$H$130:$H$138</c:f>
              <c:numCache>
                <c:formatCode>General</c:formatCode>
                <c:ptCount val="9"/>
                <c:pt idx="0">
                  <c:v>2.6989700043360187</c:v>
                </c:pt>
                <c:pt idx="1">
                  <c:v>3.287801729930226</c:v>
                </c:pt>
                <c:pt idx="2">
                  <c:v>3.7466341989375787</c:v>
                </c:pt>
                <c:pt idx="3">
                  <c:v>3.716003343634799</c:v>
                </c:pt>
                <c:pt idx="4">
                  <c:v>4.2430380486862944</c:v>
                </c:pt>
                <c:pt idx="5">
                  <c:v>4.8750612633917001</c:v>
                </c:pt>
                <c:pt idx="6">
                  <c:v>5.6812412373755867</c:v>
                </c:pt>
                <c:pt idx="7">
                  <c:v>6.2648178230095368</c:v>
                </c:pt>
                <c:pt idx="8">
                  <c:v>6.7355988996981795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F9-416D-B838-F360FCB05327}"/>
            </c:ext>
          </c:extLst>
        </c:ser>
        <c:ser>
          <c:idx val="6"/>
          <c:order val="6"/>
          <c:tx>
            <c:strRef>
              <c:f>[1]Sheet1!$A$153</c:f>
              <c:strCache>
                <c:ptCount val="1"/>
                <c:pt idx="0">
                  <c:v>sample diClp360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[1]Sheet1!$I$155:$I$161</c:f>
                <c:numCache>
                  <c:formatCode>General</c:formatCode>
                  <c:ptCount val="7"/>
                  <c:pt idx="0">
                    <c:v>8.3523338942765868E-2</c:v>
                  </c:pt>
                  <c:pt idx="1">
                    <c:v>4.7637688835525611E-2</c:v>
                  </c:pt>
                  <c:pt idx="2">
                    <c:v>2.5618209986781455E-2</c:v>
                  </c:pt>
                  <c:pt idx="3">
                    <c:v>0.1085</c:v>
                  </c:pt>
                  <c:pt idx="4">
                    <c:v>6.696765388354789E-2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plus>
            <c:minus>
              <c:numRef>
                <c:f>[1]Sheet1!$I$155:$I$161</c:f>
                <c:numCache>
                  <c:formatCode>General</c:formatCode>
                  <c:ptCount val="7"/>
                  <c:pt idx="0">
                    <c:v>8.3523338942765868E-2</c:v>
                  </c:pt>
                  <c:pt idx="1">
                    <c:v>4.7637688835525611E-2</c:v>
                  </c:pt>
                  <c:pt idx="2">
                    <c:v>2.5618209986781455E-2</c:v>
                  </c:pt>
                  <c:pt idx="3">
                    <c:v>0.1085</c:v>
                  </c:pt>
                  <c:pt idx="4">
                    <c:v>6.696765388354789E-2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[1]Sheet1!$B$155:$B$161</c:f>
              <c:numCache>
                <c:formatCode>General</c:formatCode>
                <c:ptCount val="7"/>
                <c:pt idx="0">
                  <c:v>62.17</c:v>
                </c:pt>
                <c:pt idx="1">
                  <c:v>96.15</c:v>
                </c:pt>
                <c:pt idx="2">
                  <c:v>115.22</c:v>
                </c:pt>
                <c:pt idx="3">
                  <c:v>141.22</c:v>
                </c:pt>
                <c:pt idx="4">
                  <c:v>167.4</c:v>
                </c:pt>
                <c:pt idx="5">
                  <c:v>191.6</c:v>
                </c:pt>
                <c:pt idx="6">
                  <c:v>209.8</c:v>
                </c:pt>
              </c:numCache>
            </c:numRef>
          </c:xVal>
          <c:yVal>
            <c:numRef>
              <c:f>[1]Sheet1!$H$155:$H$161</c:f>
              <c:numCache>
                <c:formatCode>General</c:formatCode>
                <c:ptCount val="7"/>
                <c:pt idx="0">
                  <c:v>2.8573324964312685</c:v>
                </c:pt>
                <c:pt idx="1">
                  <c:v>3.220108088040055</c:v>
                </c:pt>
                <c:pt idx="2">
                  <c:v>3.8838506290062735</c:v>
                </c:pt>
                <c:pt idx="3">
                  <c:v>4.6020599913279625</c:v>
                </c:pt>
                <c:pt idx="4">
                  <c:v>5.3222192947339195</c:v>
                </c:pt>
                <c:pt idx="5">
                  <c:v>6.20682587603185</c:v>
                </c:pt>
                <c:pt idx="6">
                  <c:v>6.971275848738105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F9-416D-B838-F360FCB05327}"/>
            </c:ext>
          </c:extLst>
        </c:ser>
        <c:ser>
          <c:idx val="7"/>
          <c:order val="7"/>
          <c:tx>
            <c:strRef>
              <c:f>[1]Sheet1!$A$178</c:f>
              <c:strCache>
                <c:ptCount val="1"/>
                <c:pt idx="0">
                  <c:v>sample diClp361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[1]Sheet1!$I$180:$I$186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5.9059919353772188E-2</c:v>
                  </c:pt>
                  <c:pt idx="2">
                    <c:v>3.3483826941773938E-2</c:v>
                  </c:pt>
                  <c:pt idx="3">
                    <c:v>0.10526046126576852</c:v>
                  </c:pt>
                  <c:pt idx="4">
                    <c:v>7.134916049052506E-2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plus>
            <c:minus>
              <c:numRef>
                <c:f>[1]Sheet1!$I$180:$I$186</c:f>
                <c:numCache>
                  <c:formatCode>General</c:formatCode>
                  <c:ptCount val="7"/>
                  <c:pt idx="0">
                    <c:v>0.10229478101165387</c:v>
                  </c:pt>
                  <c:pt idx="1">
                    <c:v>5.9059919353772188E-2</c:v>
                  </c:pt>
                  <c:pt idx="2">
                    <c:v>3.3483826941773938E-2</c:v>
                  </c:pt>
                  <c:pt idx="3">
                    <c:v>0.10526046126576852</c:v>
                  </c:pt>
                  <c:pt idx="4">
                    <c:v>7.134916049052506E-2</c:v>
                  </c:pt>
                  <c:pt idx="5">
                    <c:v>3.4203991630776968E-2</c:v>
                  </c:pt>
                  <c:pt idx="6">
                    <c:v>4.0123314193624908E-2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[1]Sheet1!$B$180:$B$186</c:f>
              <c:numCache>
                <c:formatCode>General</c:formatCode>
                <c:ptCount val="7"/>
                <c:pt idx="0">
                  <c:v>63.7</c:v>
                </c:pt>
                <c:pt idx="1">
                  <c:v>97.62</c:v>
                </c:pt>
                <c:pt idx="2">
                  <c:v>116.7</c:v>
                </c:pt>
                <c:pt idx="3">
                  <c:v>142.65</c:v>
                </c:pt>
                <c:pt idx="4">
                  <c:v>168.87</c:v>
                </c:pt>
                <c:pt idx="5">
                  <c:v>193.04</c:v>
                </c:pt>
                <c:pt idx="6">
                  <c:v>211.24</c:v>
                </c:pt>
              </c:numCache>
            </c:numRef>
          </c:xVal>
          <c:yVal>
            <c:numRef>
              <c:f>[1]Sheet1!$H$180:$H$186</c:f>
              <c:numCache>
                <c:formatCode>General</c:formatCode>
                <c:ptCount val="7"/>
                <c:pt idx="0">
                  <c:v>2.6812412373755872</c:v>
                </c:pt>
                <c:pt idx="1">
                  <c:v>3.3344537511509307</c:v>
                </c:pt>
                <c:pt idx="2">
                  <c:v>3.8273692730538253</c:v>
                </c:pt>
                <c:pt idx="3">
                  <c:v>4.6283889300503116</c:v>
                </c:pt>
                <c:pt idx="4">
                  <c:v>5.2671717284030137</c:v>
                </c:pt>
                <c:pt idx="5">
                  <c:v>6.20682587603185</c:v>
                </c:pt>
                <c:pt idx="6">
                  <c:v>6.971275848738105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F9-416D-B838-F360FCB0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26528"/>
        <c:axId val="808427360"/>
      </c:scatterChart>
      <c:valAx>
        <c:axId val="8084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27360"/>
        <c:crosses val="autoZero"/>
        <c:crossBetween val="midCat"/>
      </c:valAx>
      <c:valAx>
        <c:axId val="8084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</a:t>
                </a:r>
                <a:r>
                  <a:rPr lang="en-US" baseline="0"/>
                  <a:t> denisry (cells/ml))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1341666666666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Sheet1!$A$138</c:f>
              <c:strCache>
                <c:ptCount val="1"/>
                <c:pt idx="0">
                  <c:v>sample diF524b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Sheet1!$R$141:$R$152</c:f>
                <c:numCache>
                  <c:formatCode>General</c:formatCode>
                  <c:ptCount val="12"/>
                  <c:pt idx="0">
                    <c:v>9.4646554257423188E-3</c:v>
                  </c:pt>
                  <c:pt idx="1">
                    <c:v>1.065076492386116E-2</c:v>
                  </c:pt>
                  <c:pt idx="2">
                    <c:v>1.2007302658936072E-2</c:v>
                  </c:pt>
                  <c:pt idx="3">
                    <c:v>1.0802380709689863E-2</c:v>
                  </c:pt>
                  <c:pt idx="4">
                    <c:v>7.5475024667393809E-3</c:v>
                  </c:pt>
                  <c:pt idx="5">
                    <c:v>9.2386375320447894E-3</c:v>
                  </c:pt>
                  <c:pt idx="6">
                    <c:v>7.9745327644757721E-3</c:v>
                  </c:pt>
                  <c:pt idx="7">
                    <c:v>8.0920682266078653E-3</c:v>
                  </c:pt>
                  <c:pt idx="8">
                    <c:v>5.9230271955337064E-3</c:v>
                  </c:pt>
                  <c:pt idx="9">
                    <c:v>3.1271369020634994E-3</c:v>
                  </c:pt>
                  <c:pt idx="10">
                    <c:v>3.8235845603388926E-3</c:v>
                  </c:pt>
                  <c:pt idx="11">
                    <c:v>9.4711862402927938E-3</c:v>
                  </c:pt>
                </c:numCache>
              </c:numRef>
            </c:plus>
            <c:minus>
              <c:numRef>
                <c:f>Sheet1!$R$141:$R$152</c:f>
                <c:numCache>
                  <c:formatCode>General</c:formatCode>
                  <c:ptCount val="12"/>
                  <c:pt idx="0">
                    <c:v>9.4646554257423188E-3</c:v>
                  </c:pt>
                  <c:pt idx="1">
                    <c:v>1.065076492386116E-2</c:v>
                  </c:pt>
                  <c:pt idx="2">
                    <c:v>1.2007302658936072E-2</c:v>
                  </c:pt>
                  <c:pt idx="3">
                    <c:v>1.0802380709689863E-2</c:v>
                  </c:pt>
                  <c:pt idx="4">
                    <c:v>7.5475024667393809E-3</c:v>
                  </c:pt>
                  <c:pt idx="5">
                    <c:v>9.2386375320447894E-3</c:v>
                  </c:pt>
                  <c:pt idx="6">
                    <c:v>7.9745327644757721E-3</c:v>
                  </c:pt>
                  <c:pt idx="7">
                    <c:v>8.0920682266078653E-3</c:v>
                  </c:pt>
                  <c:pt idx="8">
                    <c:v>5.9230271955337064E-3</c:v>
                  </c:pt>
                  <c:pt idx="9">
                    <c:v>3.1271369020634994E-3</c:v>
                  </c:pt>
                  <c:pt idx="10">
                    <c:v>3.8235845603388926E-3</c:v>
                  </c:pt>
                  <c:pt idx="11">
                    <c:v>9.4711862402927938E-3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Sheet1!$S$141:$S$152</c:f>
              <c:numCache>
                <c:formatCode>0.00</c:formatCode>
                <c:ptCount val="12"/>
                <c:pt idx="0">
                  <c:v>2.3222192947339191</c:v>
                </c:pt>
                <c:pt idx="1">
                  <c:v>2.6334684555795866</c:v>
                </c:pt>
                <c:pt idx="2">
                  <c:v>2.7323937598229686</c:v>
                </c:pt>
                <c:pt idx="3">
                  <c:v>2.9493900066449128</c:v>
                </c:pt>
                <c:pt idx="4">
                  <c:v>3.3222192947339191</c:v>
                </c:pt>
                <c:pt idx="5">
                  <c:v>3.5314789170422549</c:v>
                </c:pt>
                <c:pt idx="6">
                  <c:v>3.6589648426644348</c:v>
                </c:pt>
                <c:pt idx="7">
                  <c:v>4.0659529803138694</c:v>
                </c:pt>
                <c:pt idx="8">
                  <c:v>4.5440680443502757</c:v>
                </c:pt>
                <c:pt idx="9">
                  <c:v>5.2977605110991339</c:v>
                </c:pt>
                <c:pt idx="10">
                  <c:v>6.0907869279492672</c:v>
                </c:pt>
                <c:pt idx="11">
                  <c:v>6.4857214264815797</c:v>
                </c:pt>
              </c:numCache>
            </c:numRef>
          </c:xVal>
          <c:yVal>
            <c:numRef>
              <c:f>Sheet1!$Q$141:$Q$152</c:f>
              <c:numCache>
                <c:formatCode>#,##0.000</c:formatCode>
                <c:ptCount val="12"/>
                <c:pt idx="0">
                  <c:v>5.4658385083661887E-2</c:v>
                </c:pt>
                <c:pt idx="1">
                  <c:v>1.8481441554666429E-2</c:v>
                </c:pt>
                <c:pt idx="2">
                  <c:v>0</c:v>
                </c:pt>
                <c:pt idx="3">
                  <c:v>3.8180429802552644E-2</c:v>
                </c:pt>
                <c:pt idx="4">
                  <c:v>3.0504566783332663E-2</c:v>
                </c:pt>
                <c:pt idx="5">
                  <c:v>1.1116257542547173E-2</c:v>
                </c:pt>
                <c:pt idx="6">
                  <c:v>1.1420957456933471E-2</c:v>
                </c:pt>
                <c:pt idx="7">
                  <c:v>5.500588103965319E-2</c:v>
                </c:pt>
                <c:pt idx="8">
                  <c:v>3.883125545705482E-2</c:v>
                </c:pt>
                <c:pt idx="9">
                  <c:v>5.8651809020352129E-2</c:v>
                </c:pt>
                <c:pt idx="10">
                  <c:v>6.2615750948055382E-2</c:v>
                </c:pt>
                <c:pt idx="11">
                  <c:v>2.6481857110660367E-2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9-479E-91A0-68D33C415301}"/>
            </c:ext>
          </c:extLst>
        </c:ser>
        <c:ser>
          <c:idx val="0"/>
          <c:order val="1"/>
          <c:tx>
            <c:strRef>
              <c:f>Sheet1!$A$166</c:f>
              <c:strCache>
                <c:ptCount val="1"/>
                <c:pt idx="0">
                  <c:v>sample diF524c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Sheet1!$R$169:$R$178</c:f>
                <c:numCache>
                  <c:formatCode>General</c:formatCode>
                  <c:ptCount val="10"/>
                  <c:pt idx="0">
                    <c:v>9.4646554257423188E-3</c:v>
                  </c:pt>
                  <c:pt idx="1">
                    <c:v>9.8905806926839254E-3</c:v>
                  </c:pt>
                  <c:pt idx="2">
                    <c:v>1.3951224969279433E-2</c:v>
                  </c:pt>
                  <c:pt idx="3">
                    <c:v>1.2538570875033954E-2</c:v>
                  </c:pt>
                  <c:pt idx="4">
                    <c:v>1.0260619962535703E-2</c:v>
                  </c:pt>
                  <c:pt idx="5">
                    <c:v>5.5852374309180424E-3</c:v>
                  </c:pt>
                  <c:pt idx="6">
                    <c:v>3.3343367185818952E-3</c:v>
                  </c:pt>
                  <c:pt idx="7">
                    <c:v>1.6671773672130303E-3</c:v>
                  </c:pt>
                  <c:pt idx="8">
                    <c:v>4.3267008670085459E-3</c:v>
                  </c:pt>
                  <c:pt idx="9">
                    <c:v>4.4167966415490775E-3</c:v>
                  </c:pt>
                </c:numCache>
              </c:numRef>
            </c:plus>
            <c:minus>
              <c:numRef>
                <c:f>Sheet1!$R$169:$R$178</c:f>
                <c:numCache>
                  <c:formatCode>General</c:formatCode>
                  <c:ptCount val="10"/>
                  <c:pt idx="0">
                    <c:v>9.4646554257423188E-3</c:v>
                  </c:pt>
                  <c:pt idx="1">
                    <c:v>9.8905806926839254E-3</c:v>
                  </c:pt>
                  <c:pt idx="2">
                    <c:v>1.3951224969279433E-2</c:v>
                  </c:pt>
                  <c:pt idx="3">
                    <c:v>1.2538570875033954E-2</c:v>
                  </c:pt>
                  <c:pt idx="4">
                    <c:v>1.0260619962535703E-2</c:v>
                  </c:pt>
                  <c:pt idx="5">
                    <c:v>5.5852374309180424E-3</c:v>
                  </c:pt>
                  <c:pt idx="6">
                    <c:v>3.3343367185818952E-3</c:v>
                  </c:pt>
                  <c:pt idx="7">
                    <c:v>1.6671773672130303E-3</c:v>
                  </c:pt>
                  <c:pt idx="8">
                    <c:v>4.3267008670085459E-3</c:v>
                  </c:pt>
                  <c:pt idx="9">
                    <c:v>4.4167966415490775E-3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Sheet1!$S$169:$S$178</c:f>
              <c:numCache>
                <c:formatCode>0.00</c:formatCode>
                <c:ptCount val="10"/>
                <c:pt idx="0">
                  <c:v>2.3222192947339191</c:v>
                </c:pt>
                <c:pt idx="1">
                  <c:v>2.7481880270062002</c:v>
                </c:pt>
                <c:pt idx="2">
                  <c:v>2.9030899869919438</c:v>
                </c:pt>
                <c:pt idx="3">
                  <c:v>3.12057393120585</c:v>
                </c:pt>
                <c:pt idx="4">
                  <c:v>3.3180633349627615</c:v>
                </c:pt>
                <c:pt idx="5">
                  <c:v>3.8142475957319202</c:v>
                </c:pt>
                <c:pt idx="6">
                  <c:v>4.5232260419657013</c:v>
                </c:pt>
                <c:pt idx="7">
                  <c:v>5.7015679850559273</c:v>
                </c:pt>
                <c:pt idx="8">
                  <c:v>6.312811826212088</c:v>
                </c:pt>
                <c:pt idx="9">
                  <c:v>6.8609366207000937</c:v>
                </c:pt>
              </c:numCache>
            </c:numRef>
          </c:xVal>
          <c:yVal>
            <c:numRef>
              <c:f>Sheet1!$Q$169:$Q$178</c:f>
              <c:numCache>
                <c:formatCode>#,##0.000</c:formatCode>
                <c:ptCount val="10"/>
                <c:pt idx="0">
                  <c:v>5.4658385083661887E-2</c:v>
                </c:pt>
                <c:pt idx="1">
                  <c:v>3.0962415072103497E-2</c:v>
                </c:pt>
                <c:pt idx="2">
                  <c:v>0</c:v>
                </c:pt>
                <c:pt idx="3">
                  <c:v>3.8246543100912044E-2</c:v>
                </c:pt>
                <c:pt idx="4">
                  <c:v>8.5947571885060716E-3</c:v>
                </c:pt>
                <c:pt idx="5">
                  <c:v>5.5333295352612111E-2</c:v>
                </c:pt>
                <c:pt idx="6">
                  <c:v>4.9089119301303968E-2</c:v>
                </c:pt>
                <c:pt idx="7">
                  <c:v>8.9463220525838272E-2</c:v>
                </c:pt>
                <c:pt idx="8">
                  <c:v>4.2988372829586244E-2</c:v>
                </c:pt>
                <c:pt idx="9">
                  <c:v>4.4790875711659343E-2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9-479E-91A0-68D33C415301}"/>
            </c:ext>
          </c:extLst>
        </c:ser>
        <c:ser>
          <c:idx val="2"/>
          <c:order val="2"/>
          <c:tx>
            <c:strRef>
              <c:f>Sheet1!$A$192</c:f>
              <c:strCache>
                <c:ptCount val="1"/>
                <c:pt idx="0">
                  <c:v>sample diF524d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Sheet1!$R$195:$R$204</c:f>
                <c:numCache>
                  <c:formatCode>General</c:formatCode>
                  <c:ptCount val="10"/>
                  <c:pt idx="0">
                    <c:v>1.5971606030940163E-2</c:v>
                  </c:pt>
                  <c:pt idx="1">
                    <c:v>9.5401175059609458E-3</c:v>
                  </c:pt>
                  <c:pt idx="2">
                    <c:v>1.1205893557192408E-2</c:v>
                  </c:pt>
                  <c:pt idx="3">
                    <c:v>1.0561050077750869E-2</c:v>
                  </c:pt>
                  <c:pt idx="4">
                    <c:v>8.1500676741932763E-3</c:v>
                  </c:pt>
                  <c:pt idx="5">
                    <c:v>7.503921503789427E-3</c:v>
                  </c:pt>
                  <c:pt idx="6">
                    <c:v>4.6904657801475277E-3</c:v>
                  </c:pt>
                  <c:pt idx="7">
                    <c:v>3.0500048578882199E-3</c:v>
                  </c:pt>
                  <c:pt idx="8">
                    <c:v>5.4340169370438469E-3</c:v>
                  </c:pt>
                  <c:pt idx="9">
                    <c:v>2.9357139625260397E-3</c:v>
                  </c:pt>
                </c:numCache>
              </c:numRef>
            </c:plus>
            <c:minus>
              <c:numRef>
                <c:f>Sheet1!$R$195:$R$204</c:f>
                <c:numCache>
                  <c:formatCode>General</c:formatCode>
                  <c:ptCount val="10"/>
                  <c:pt idx="0">
                    <c:v>1.5971606030940163E-2</c:v>
                  </c:pt>
                  <c:pt idx="1">
                    <c:v>9.5401175059609458E-3</c:v>
                  </c:pt>
                  <c:pt idx="2">
                    <c:v>1.1205893557192408E-2</c:v>
                  </c:pt>
                  <c:pt idx="3">
                    <c:v>1.0561050077750869E-2</c:v>
                  </c:pt>
                  <c:pt idx="4">
                    <c:v>8.1500676741932763E-3</c:v>
                  </c:pt>
                  <c:pt idx="5">
                    <c:v>7.503921503789427E-3</c:v>
                  </c:pt>
                  <c:pt idx="6">
                    <c:v>4.6904657801475277E-3</c:v>
                  </c:pt>
                  <c:pt idx="7">
                    <c:v>3.0500048578882199E-3</c:v>
                  </c:pt>
                  <c:pt idx="8">
                    <c:v>5.4340169370438469E-3</c:v>
                  </c:pt>
                  <c:pt idx="9">
                    <c:v>2.9357139625260397E-3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Sheet1!$S$195:$S$204</c:f>
              <c:numCache>
                <c:formatCode>0.00</c:formatCode>
                <c:ptCount val="10"/>
                <c:pt idx="0">
                  <c:v>2.1461280356782382</c:v>
                </c:pt>
                <c:pt idx="1">
                  <c:v>2.6020599913279625</c:v>
                </c:pt>
                <c:pt idx="2">
                  <c:v>2.7923916894982539</c:v>
                </c:pt>
                <c:pt idx="3">
                  <c:v>2.9867717342662448</c:v>
                </c:pt>
                <c:pt idx="4">
                  <c:v>3.2966651902615309</c:v>
                </c:pt>
                <c:pt idx="5">
                  <c:v>3.7058637122839193</c:v>
                </c:pt>
                <c:pt idx="6">
                  <c:v>4.3044905277734875</c:v>
                </c:pt>
                <c:pt idx="7">
                  <c:v>5.3451776165427036</c:v>
                </c:pt>
                <c:pt idx="8">
                  <c:v>5.9111576087399769</c:v>
                </c:pt>
                <c:pt idx="9">
                  <c:v>6.6785183790401144</c:v>
                </c:pt>
              </c:numCache>
            </c:numRef>
          </c:xVal>
          <c:yVal>
            <c:numRef>
              <c:f>Sheet1!$Q$195:$Q$204</c:f>
              <c:numCache>
                <c:formatCode>#,##0.000</c:formatCode>
                <c:ptCount val="10"/>
                <c:pt idx="0">
                  <c:v>2.9813664591088303E-2</c:v>
                </c:pt>
                <c:pt idx="1">
                  <c:v>3.9735099342532824E-2</c:v>
                </c:pt>
                <c:pt idx="2">
                  <c:v>0</c:v>
                </c:pt>
                <c:pt idx="3">
                  <c:v>3.5031528375537996E-2</c:v>
                </c:pt>
                <c:pt idx="4">
                  <c:v>2.4829298544573098E-2</c:v>
                </c:pt>
                <c:pt idx="5">
                  <c:v>4.1258264393777444E-2</c:v>
                </c:pt>
                <c:pt idx="6">
                  <c:v>4.5351473922902487E-2</c:v>
                </c:pt>
                <c:pt idx="7">
                  <c:v>8.5756897693547357E-2</c:v>
                </c:pt>
                <c:pt idx="8">
                  <c:v>3.9728115922320617E-2</c:v>
                </c:pt>
                <c:pt idx="9">
                  <c:v>5.9144487405523201E-2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9-479E-91A0-68D33C415301}"/>
            </c:ext>
          </c:extLst>
        </c:ser>
        <c:ser>
          <c:idx val="3"/>
          <c:order val="3"/>
          <c:tx>
            <c:strRef>
              <c:f>Sheet1!$A$218</c:f>
              <c:strCache>
                <c:ptCount val="1"/>
                <c:pt idx="0">
                  <c:v>sample diF524e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Sheet1!$R$221:$R$231</c:f>
                <c:numCache>
                  <c:formatCode>General</c:formatCode>
                  <c:ptCount val="11"/>
                  <c:pt idx="0">
                    <c:v>1.1612081400441019E-2</c:v>
                  </c:pt>
                  <c:pt idx="1">
                    <c:v>1.0307144124567241E-2</c:v>
                  </c:pt>
                  <c:pt idx="2">
                    <c:v>1.1585861721212891E-2</c:v>
                  </c:pt>
                  <c:pt idx="3">
                    <c:v>9.0932002743308073E-3</c:v>
                  </c:pt>
                  <c:pt idx="4">
                    <c:v>8.9124625371067769E-3</c:v>
                  </c:pt>
                  <c:pt idx="5">
                    <c:v>7.7299653474575594E-3</c:v>
                  </c:pt>
                  <c:pt idx="6">
                    <c:v>3.9916245006175093E-3</c:v>
                  </c:pt>
                  <c:pt idx="7">
                    <c:v>3.063319529730579E-3</c:v>
                  </c:pt>
                  <c:pt idx="8">
                    <c:v>5.3770155278652166E-3</c:v>
                  </c:pt>
                  <c:pt idx="9">
                    <c:v>5.1203428780297227E-3</c:v>
                  </c:pt>
                  <c:pt idx="10">
                    <c:v>8.034441096181769E-3</c:v>
                  </c:pt>
                </c:numCache>
              </c:numRef>
            </c:plus>
            <c:minus>
              <c:numRef>
                <c:f>Sheet1!$R$221:$R$231</c:f>
                <c:numCache>
                  <c:formatCode>General</c:formatCode>
                  <c:ptCount val="11"/>
                  <c:pt idx="0">
                    <c:v>1.1612081400441019E-2</c:v>
                  </c:pt>
                  <c:pt idx="1">
                    <c:v>1.0307144124567241E-2</c:v>
                  </c:pt>
                  <c:pt idx="2">
                    <c:v>1.1585861721212891E-2</c:v>
                  </c:pt>
                  <c:pt idx="3">
                    <c:v>9.0932002743308073E-3</c:v>
                  </c:pt>
                  <c:pt idx="4">
                    <c:v>8.9124625371067769E-3</c:v>
                  </c:pt>
                  <c:pt idx="5">
                    <c:v>7.7299653474575594E-3</c:v>
                  </c:pt>
                  <c:pt idx="6">
                    <c:v>3.9916245006175093E-3</c:v>
                  </c:pt>
                  <c:pt idx="7">
                    <c:v>3.063319529730579E-3</c:v>
                  </c:pt>
                  <c:pt idx="8">
                    <c:v>5.3770155278652166E-3</c:v>
                  </c:pt>
                  <c:pt idx="9">
                    <c:v>5.1203428780297227E-3</c:v>
                  </c:pt>
                  <c:pt idx="10">
                    <c:v>8.034441096181769E-3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Sheet1!$S$221:$S$231</c:f>
              <c:numCache>
                <c:formatCode>0.00</c:formatCode>
                <c:ptCount val="11"/>
                <c:pt idx="0">
                  <c:v>2.255272505103306</c:v>
                </c:pt>
                <c:pt idx="1">
                  <c:v>2.6232492903979003</c:v>
                </c:pt>
                <c:pt idx="2">
                  <c:v>2.7634279935629373</c:v>
                </c:pt>
                <c:pt idx="3">
                  <c:v>3.0453229787866576</c:v>
                </c:pt>
                <c:pt idx="4">
                  <c:v>3.287801729930226</c:v>
                </c:pt>
                <c:pt idx="5">
                  <c:v>3.6589648426644348</c:v>
                </c:pt>
                <c:pt idx="6">
                  <c:v>4.34713478291002</c:v>
                </c:pt>
                <c:pt idx="7">
                  <c:v>5.3780343224573315</c:v>
                </c:pt>
                <c:pt idx="8">
                  <c:v>5.982271233039568</c:v>
                </c:pt>
                <c:pt idx="9">
                  <c:v>6.568201724066995</c:v>
                </c:pt>
                <c:pt idx="10">
                  <c:v>6.9283958522567142</c:v>
                </c:pt>
              </c:numCache>
            </c:numRef>
          </c:xVal>
          <c:yVal>
            <c:numRef>
              <c:f>Sheet1!$Q$221:$Q$231</c:f>
              <c:numCache>
                <c:formatCode>#,##0.000</c:formatCode>
                <c:ptCount val="11"/>
                <c:pt idx="0">
                  <c:v>4.6376811586137358E-2</c:v>
                </c:pt>
                <c:pt idx="1">
                  <c:v>2.7522146730758666E-2</c:v>
                </c:pt>
                <c:pt idx="2">
                  <c:v>0</c:v>
                </c:pt>
                <c:pt idx="3">
                  <c:v>4.6357036648298794E-2</c:v>
                </c:pt>
                <c:pt idx="4">
                  <c:v>1.1518746747482364E-2</c:v>
                </c:pt>
                <c:pt idx="5">
                  <c:v>4.370267119996616E-2</c:v>
                </c:pt>
                <c:pt idx="6">
                  <c:v>4.9956418228888848E-2</c:v>
                </c:pt>
                <c:pt idx="7">
                  <c:v>8.4820073379656746E-2</c:v>
                </c:pt>
                <c:pt idx="8">
                  <c:v>4.3304463806274375E-2</c:v>
                </c:pt>
                <c:pt idx="9">
                  <c:v>4.7682119142142931E-2</c:v>
                </c:pt>
                <c:pt idx="10">
                  <c:v>2.6194081774649026E-2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9-479E-91A0-68D33C415301}"/>
            </c:ext>
          </c:extLst>
        </c:ser>
        <c:ser>
          <c:idx val="4"/>
          <c:order val="4"/>
          <c:tx>
            <c:strRef>
              <c:f>Sheet1!$A$244</c:f>
              <c:strCache>
                <c:ptCount val="1"/>
                <c:pt idx="0">
                  <c:v>sample diF524f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Sheet1!$R$247:$R$257</c:f>
                <c:numCache>
                  <c:formatCode>General</c:formatCode>
                  <c:ptCount val="11"/>
                  <c:pt idx="0">
                    <c:v>1.7463918441498059E-2</c:v>
                  </c:pt>
                  <c:pt idx="1">
                    <c:v>1.0511262966609151E-2</c:v>
                  </c:pt>
                  <c:pt idx="2">
                    <c:v>1.2236033738462987E-2</c:v>
                  </c:pt>
                  <c:pt idx="3">
                    <c:v>1.0974056175303898E-2</c:v>
                  </c:pt>
                  <c:pt idx="4">
                    <c:v>8.7169786902831243E-3</c:v>
                  </c:pt>
                  <c:pt idx="5">
                    <c:v>1.0664532247738683E-2</c:v>
                  </c:pt>
                  <c:pt idx="6">
                    <c:v>6.4800100043199338E-3</c:v>
                  </c:pt>
                  <c:pt idx="7">
                    <c:v>7.1132318454108683E-3</c:v>
                  </c:pt>
                  <c:pt idx="8">
                    <c:v>4.7923348440068554E-3</c:v>
                  </c:pt>
                  <c:pt idx="9">
                    <c:v>1.9169551733157905E-3</c:v>
                  </c:pt>
                  <c:pt idx="10">
                    <c:v>4.9738014555546399E-3</c:v>
                  </c:pt>
                </c:numCache>
              </c:numRef>
            </c:plus>
            <c:minus>
              <c:numRef>
                <c:f>Sheet1!$R$247:$R$257</c:f>
                <c:numCache>
                  <c:formatCode>General</c:formatCode>
                  <c:ptCount val="11"/>
                  <c:pt idx="0">
                    <c:v>1.7463918441498059E-2</c:v>
                  </c:pt>
                  <c:pt idx="1">
                    <c:v>1.0511262966609151E-2</c:v>
                  </c:pt>
                  <c:pt idx="2">
                    <c:v>1.2236033738462987E-2</c:v>
                  </c:pt>
                  <c:pt idx="3">
                    <c:v>1.0974056175303898E-2</c:v>
                  </c:pt>
                  <c:pt idx="4">
                    <c:v>8.7169786902831243E-3</c:v>
                  </c:pt>
                  <c:pt idx="5">
                    <c:v>1.0664532247738683E-2</c:v>
                  </c:pt>
                  <c:pt idx="6">
                    <c:v>6.4800100043199338E-3</c:v>
                  </c:pt>
                  <c:pt idx="7">
                    <c:v>7.1132318454108683E-3</c:v>
                  </c:pt>
                  <c:pt idx="8">
                    <c:v>4.7923348440068554E-3</c:v>
                  </c:pt>
                  <c:pt idx="9">
                    <c:v>1.9169551733157905E-3</c:v>
                  </c:pt>
                  <c:pt idx="10">
                    <c:v>4.9738014555546399E-3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Sheet1!$S$247:$S$257</c:f>
              <c:numCache>
                <c:formatCode>0.00</c:formatCode>
                <c:ptCount val="11"/>
                <c:pt idx="0">
                  <c:v>2.1139433523068369</c:v>
                </c:pt>
                <c:pt idx="1">
                  <c:v>2.5314789170422549</c:v>
                </c:pt>
                <c:pt idx="2">
                  <c:v>2.716003343634799</c:v>
                </c:pt>
                <c:pt idx="3">
                  <c:v>2.9344984512435679</c:v>
                </c:pt>
                <c:pt idx="4">
                  <c:v>3.2455126678141499</c:v>
                </c:pt>
                <c:pt idx="5">
                  <c:v>3.510545010206612</c:v>
                </c:pt>
                <c:pt idx="6">
                  <c:v>4.0366288953621607</c:v>
                </c:pt>
                <c:pt idx="7">
                  <c:v>4.7505083948513462</c:v>
                </c:pt>
                <c:pt idx="8">
                  <c:v>5.4022613824546806</c:v>
                </c:pt>
                <c:pt idx="9">
                  <c:v>6.3588862044058692</c:v>
                </c:pt>
                <c:pt idx="10">
                  <c:v>6.9116901587538608</c:v>
                </c:pt>
              </c:numCache>
            </c:numRef>
          </c:xVal>
          <c:yVal>
            <c:numRef>
              <c:f>Sheet1!$Q$247:$Q$257</c:f>
              <c:numCache>
                <c:formatCode>#,##0.000</c:formatCode>
                <c:ptCount val="11"/>
                <c:pt idx="0">
                  <c:v>2.4080267554340555E-2</c:v>
                </c:pt>
                <c:pt idx="1">
                  <c:v>3.8247689206716083E-2</c:v>
                </c:pt>
                <c:pt idx="2">
                  <c:v>0</c:v>
                </c:pt>
                <c:pt idx="3">
                  <c:v>3.8383382253330336E-2</c:v>
                </c:pt>
                <c:pt idx="4">
                  <c:v>2.3700694065274319E-2</c:v>
                </c:pt>
                <c:pt idx="5">
                  <c:v>2.4390890567541776E-2</c:v>
                </c:pt>
                <c:pt idx="6">
                  <c:v>4.4676098287416227E-2</c:v>
                </c:pt>
                <c:pt idx="7">
                  <c:v>6.9200233531537286E-2</c:v>
                </c:pt>
                <c:pt idx="8">
                  <c:v>4.9867745068611462E-2</c:v>
                </c:pt>
                <c:pt idx="9">
                  <c:v>6.5210775632033535E-2</c:v>
                </c:pt>
                <c:pt idx="10">
                  <c:v>4.2533282293394557E-2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E9-479E-91A0-68D33C415301}"/>
            </c:ext>
          </c:extLst>
        </c:ser>
        <c:ser>
          <c:idx val="5"/>
          <c:order val="5"/>
          <c:tx>
            <c:strRef>
              <c:f>Sheet1!$A$270</c:f>
              <c:strCache>
                <c:ptCount val="1"/>
                <c:pt idx="0">
                  <c:v>sample diF524g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Sheet1!$R$273:$R$283</c:f>
                <c:numCache>
                  <c:formatCode>General</c:formatCode>
                  <c:ptCount val="11"/>
                  <c:pt idx="0">
                    <c:v>1.4665635522868025E-2</c:v>
                  </c:pt>
                  <c:pt idx="1">
                    <c:v>8.9537965389688383E-3</c:v>
                  </c:pt>
                  <c:pt idx="2">
                    <c:v>1.3951224969279433E-2</c:v>
                  </c:pt>
                  <c:pt idx="3">
                    <c:v>1.3274963986454943E-2</c:v>
                  </c:pt>
                  <c:pt idx="4">
                    <c:v>9.6573801331114855E-3</c:v>
                  </c:pt>
                  <c:pt idx="5">
                    <c:v>9.2014042478547695E-3</c:v>
                  </c:pt>
                  <c:pt idx="6">
                    <c:v>6.994253691565081E-3</c:v>
                  </c:pt>
                  <c:pt idx="7">
                    <c:v>5.8930360512782932E-3</c:v>
                  </c:pt>
                  <c:pt idx="8">
                    <c:v>5.1105118223885573E-3</c:v>
                  </c:pt>
                  <c:pt idx="9">
                    <c:v>2.4000011916979571E-3</c:v>
                  </c:pt>
                  <c:pt idx="10">
                    <c:v>6.0972120157748826E-3</c:v>
                  </c:pt>
                </c:numCache>
              </c:numRef>
            </c:plus>
            <c:minus>
              <c:numRef>
                <c:f>Sheet1!$R$273:$R$283</c:f>
                <c:numCache>
                  <c:formatCode>General</c:formatCode>
                  <c:ptCount val="11"/>
                  <c:pt idx="0">
                    <c:v>1.4665635522868025E-2</c:v>
                  </c:pt>
                  <c:pt idx="1">
                    <c:v>8.9537965389688383E-3</c:v>
                  </c:pt>
                  <c:pt idx="2">
                    <c:v>1.3951224969279433E-2</c:v>
                  </c:pt>
                  <c:pt idx="3">
                    <c:v>1.3274963986454943E-2</c:v>
                  </c:pt>
                  <c:pt idx="4">
                    <c:v>9.6573801331114855E-3</c:v>
                  </c:pt>
                  <c:pt idx="5">
                    <c:v>9.2014042478547695E-3</c:v>
                  </c:pt>
                  <c:pt idx="6">
                    <c:v>6.994253691565081E-3</c:v>
                  </c:pt>
                  <c:pt idx="7">
                    <c:v>5.8930360512782932E-3</c:v>
                  </c:pt>
                  <c:pt idx="8">
                    <c:v>5.1105118223885573E-3</c:v>
                  </c:pt>
                  <c:pt idx="9">
                    <c:v>2.4000011916979571E-3</c:v>
                  </c:pt>
                  <c:pt idx="10">
                    <c:v>6.0972120157748826E-3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Sheet1!$S$273:$S$283</c:f>
              <c:numCache>
                <c:formatCode>0.00</c:formatCode>
                <c:ptCount val="11"/>
                <c:pt idx="0">
                  <c:v>2.1760912590556813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3.0086001717619175</c:v>
                </c:pt>
                <c:pt idx="4">
                  <c:v>3.1986570869544226</c:v>
                </c:pt>
                <c:pt idx="5">
                  <c:v>3.5465426634781312</c:v>
                </c:pt>
                <c:pt idx="6">
                  <c:v>4.0553783313750005</c:v>
                </c:pt>
                <c:pt idx="7">
                  <c:v>4.8296253533580495</c:v>
                </c:pt>
                <c:pt idx="8">
                  <c:v>5.4170562991191105</c:v>
                </c:pt>
                <c:pt idx="9">
                  <c:v>6.2986711729591294</c:v>
                </c:pt>
                <c:pt idx="10">
                  <c:v>6.818665685531947</c:v>
                </c:pt>
              </c:numCache>
            </c:numRef>
          </c:xVal>
          <c:yVal>
            <c:numRef>
              <c:f>Sheet1!$Q$273:$Q$283</c:f>
              <c:numCache>
                <c:formatCode>#,##0.000</c:formatCode>
                <c:ptCount val="11"/>
                <c:pt idx="0">
                  <c:v>3.478260868960302E-2</c:v>
                </c:pt>
                <c:pt idx="1">
                  <c:v>4.3347381100944903E-2</c:v>
                </c:pt>
                <c:pt idx="2">
                  <c:v>0</c:v>
                </c:pt>
                <c:pt idx="3">
                  <c:v>2.0940415000951843E-2</c:v>
                </c:pt>
                <c:pt idx="4">
                  <c:v>1.6029040832572505E-2</c:v>
                </c:pt>
                <c:pt idx="5">
                  <c:v>3.9044706244483869E-2</c:v>
                </c:pt>
                <c:pt idx="6">
                  <c:v>3.9732063265669963E-2</c:v>
                </c:pt>
                <c:pt idx="7">
                  <c:v>7.4441502316739697E-2</c:v>
                </c:pt>
                <c:pt idx="8">
                  <c:v>4.3989812331732527E-2</c:v>
                </c:pt>
                <c:pt idx="9">
                  <c:v>6.3289839749485891E-2</c:v>
                </c:pt>
                <c:pt idx="10">
                  <c:v>3.9695434146855529E-2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9-479E-91A0-68D33C415301}"/>
            </c:ext>
          </c:extLst>
        </c:ser>
        <c:ser>
          <c:idx val="6"/>
          <c:order val="6"/>
          <c:tx>
            <c:strRef>
              <c:f>Sheet1!$A$343</c:f>
              <c:strCache>
                <c:ptCount val="1"/>
                <c:pt idx="0">
                  <c:v>sample diClp325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Sheet1!$R$346:$R$355</c:f>
                <c:numCache>
                  <c:formatCode>General</c:formatCode>
                  <c:ptCount val="10"/>
                  <c:pt idx="0">
                    <c:v>1.0225955556263624E-2</c:v>
                  </c:pt>
                  <c:pt idx="1">
                    <c:v>8.2201085528301621E-3</c:v>
                  </c:pt>
                  <c:pt idx="2">
                    <c:v>5.1514912078464399E-3</c:v>
                  </c:pt>
                  <c:pt idx="3">
                    <c:v>5.1980169790062369E-3</c:v>
                  </c:pt>
                  <c:pt idx="4">
                    <c:v>3.02269060754301E-3</c:v>
                  </c:pt>
                  <c:pt idx="5">
                    <c:v>3.0944243393848732E-3</c:v>
                  </c:pt>
                  <c:pt idx="6">
                    <c:v>2.3710795855328452E-3</c:v>
                  </c:pt>
                  <c:pt idx="7">
                    <c:v>1.386382798335027E-2</c:v>
                  </c:pt>
                  <c:pt idx="8">
                    <c:v>6.0047953649957286E-4</c:v>
                  </c:pt>
                  <c:pt idx="9">
                    <c:v>3.5612095519369355E-3</c:v>
                  </c:pt>
                </c:numCache>
              </c:numRef>
            </c:plus>
            <c:minus>
              <c:numRef>
                <c:f>Sheet1!$R$346:$R$355</c:f>
                <c:numCache>
                  <c:formatCode>General</c:formatCode>
                  <c:ptCount val="10"/>
                  <c:pt idx="0">
                    <c:v>1.0225955556263624E-2</c:v>
                  </c:pt>
                  <c:pt idx="1">
                    <c:v>8.2201085528301621E-3</c:v>
                  </c:pt>
                  <c:pt idx="2">
                    <c:v>5.1514912078464399E-3</c:v>
                  </c:pt>
                  <c:pt idx="3">
                    <c:v>5.1980169790062369E-3</c:v>
                  </c:pt>
                  <c:pt idx="4">
                    <c:v>3.02269060754301E-3</c:v>
                  </c:pt>
                  <c:pt idx="5">
                    <c:v>3.0944243393848732E-3</c:v>
                  </c:pt>
                  <c:pt idx="6">
                    <c:v>2.3710795855328452E-3</c:v>
                  </c:pt>
                  <c:pt idx="7">
                    <c:v>1.386382798335027E-2</c:v>
                  </c:pt>
                  <c:pt idx="8">
                    <c:v>6.0047953649957286E-4</c:v>
                  </c:pt>
                  <c:pt idx="9">
                    <c:v>3.5612095519369355E-3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Sheet1!$S$346:$S$355</c:f>
              <c:numCache>
                <c:formatCode>0.00</c:formatCode>
                <c:ptCount val="10"/>
                <c:pt idx="0">
                  <c:v>2.8129133566428557</c:v>
                </c:pt>
                <c:pt idx="1">
                  <c:v>3.0293837776852097</c:v>
                </c:pt>
                <c:pt idx="2">
                  <c:v>3.2810333672477277</c:v>
                </c:pt>
                <c:pt idx="3">
                  <c:v>3.5717088318086878</c:v>
                </c:pt>
                <c:pt idx="4">
                  <c:v>3.8621313793130372</c:v>
                </c:pt>
                <c:pt idx="5">
                  <c:v>4.0870712059065353</c:v>
                </c:pt>
                <c:pt idx="6">
                  <c:v>4.7203247174174416</c:v>
                </c:pt>
                <c:pt idx="7">
                  <c:v>5.1012313867906993</c:v>
                </c:pt>
                <c:pt idx="8">
                  <c:v>6.3183242508503952</c:v>
                </c:pt>
                <c:pt idx="9">
                  <c:v>6.6560982020128323</c:v>
                </c:pt>
              </c:numCache>
            </c:numRef>
          </c:xVal>
          <c:yVal>
            <c:numRef>
              <c:f>Sheet1!$Q$346:$Q$355</c:f>
              <c:numCache>
                <c:formatCode>#,##0.000</c:formatCode>
                <c:ptCount val="10"/>
                <c:pt idx="0">
                  <c:v>-3.1343868355752907E-3</c:v>
                </c:pt>
                <c:pt idx="1">
                  <c:v>3.9415252826949528E-2</c:v>
                </c:pt>
                <c:pt idx="2">
                  <c:v>1.4850071394574012E-2</c:v>
                </c:pt>
                <c:pt idx="3">
                  <c:v>4.1671523487585953E-2</c:v>
                </c:pt>
                <c:pt idx="4">
                  <c:v>2.4825983905267801E-2</c:v>
                </c:pt>
                <c:pt idx="5">
                  <c:v>2.5655278573566517E-2</c:v>
                </c:pt>
                <c:pt idx="6">
                  <c:v>4.0421008312189928E-2</c:v>
                </c:pt>
                <c:pt idx="7">
                  <c:v>4.1764176417641768E-2</c:v>
                </c:pt>
                <c:pt idx="8">
                  <c:v>5.5171868457326294E-2</c:v>
                </c:pt>
                <c:pt idx="9">
                  <c:v>1.2627932271395708E-2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E9-479E-91A0-68D33C415301}"/>
            </c:ext>
          </c:extLst>
        </c:ser>
        <c:ser>
          <c:idx val="7"/>
          <c:order val="7"/>
          <c:tx>
            <c:strRef>
              <c:f>Sheet1!$A$368</c:f>
              <c:strCache>
                <c:ptCount val="1"/>
                <c:pt idx="0">
                  <c:v>sample diClp331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Sheet1!$R$371:$R$378</c:f>
                <c:numCache>
                  <c:formatCode>General</c:formatCode>
                  <c:ptCount val="8"/>
                  <c:pt idx="0">
                    <c:v>3.2336300188753773E-3</c:v>
                  </c:pt>
                  <c:pt idx="1">
                    <c:v>4.2419406589709772E-3</c:v>
                  </c:pt>
                  <c:pt idx="2">
                    <c:v>7.3798905623100649E-3</c:v>
                  </c:pt>
                  <c:pt idx="3">
                    <c:v>5.577974417519083E-3</c:v>
                  </c:pt>
                  <c:pt idx="4">
                    <c:v>7.1081986972842256E-3</c:v>
                  </c:pt>
                  <c:pt idx="5">
                    <c:v>4.9106278668665879E-3</c:v>
                  </c:pt>
                  <c:pt idx="6">
                    <c:v>9.9846925114432331E-3</c:v>
                  </c:pt>
                  <c:pt idx="7">
                    <c:v>7.0604701875770573E-3</c:v>
                  </c:pt>
                </c:numCache>
              </c:numRef>
            </c:plus>
            <c:minus>
              <c:numRef>
                <c:f>Sheet1!$R$371:$R$378</c:f>
                <c:numCache>
                  <c:formatCode>General</c:formatCode>
                  <c:ptCount val="8"/>
                  <c:pt idx="0">
                    <c:v>3.2336300188753773E-3</c:v>
                  </c:pt>
                  <c:pt idx="1">
                    <c:v>4.2419406589709772E-3</c:v>
                  </c:pt>
                  <c:pt idx="2">
                    <c:v>7.3798905623100649E-3</c:v>
                  </c:pt>
                  <c:pt idx="3">
                    <c:v>5.577974417519083E-3</c:v>
                  </c:pt>
                  <c:pt idx="4">
                    <c:v>7.1081986972842256E-3</c:v>
                  </c:pt>
                  <c:pt idx="5">
                    <c:v>4.9106278668665879E-3</c:v>
                  </c:pt>
                  <c:pt idx="6">
                    <c:v>9.9846925114432331E-3</c:v>
                  </c:pt>
                  <c:pt idx="7">
                    <c:v>7.0604701875770573E-3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Sheet1!$S$371:$S$378</c:f>
              <c:numCache>
                <c:formatCode>0.00</c:formatCode>
                <c:ptCount val="8"/>
                <c:pt idx="0">
                  <c:v>3.2833012287035497</c:v>
                </c:pt>
                <c:pt idx="1">
                  <c:v>3.7634279935629373</c:v>
                </c:pt>
                <c:pt idx="2">
                  <c:v>4.3106933123433606</c:v>
                </c:pt>
                <c:pt idx="3">
                  <c:v>5.0653929615619919</c:v>
                </c:pt>
                <c:pt idx="4">
                  <c:v>5.7634279935629369</c:v>
                </c:pt>
                <c:pt idx="5">
                  <c:v>6.5465426634781307</c:v>
                </c:pt>
                <c:pt idx="6">
                  <c:v>6.8007170782823847</c:v>
                </c:pt>
                <c:pt idx="7">
                  <c:v>6.9786369483844739</c:v>
                </c:pt>
              </c:numCache>
            </c:numRef>
          </c:xVal>
          <c:yVal>
            <c:numRef>
              <c:f>Sheet1!$Q$371:$Q$378</c:f>
              <c:numCache>
                <c:formatCode>#,##0.000</c:formatCode>
                <c:ptCount val="8"/>
                <c:pt idx="0">
                  <c:v>4.0076144674882276E-2</c:v>
                </c:pt>
                <c:pt idx="1">
                  <c:v>5.123152709359606E-2</c:v>
                </c:pt>
                <c:pt idx="2">
                  <c:v>4.7309679148111669E-2</c:v>
                </c:pt>
                <c:pt idx="3">
                  <c:v>4.69030017921147E-2</c:v>
                </c:pt>
                <c:pt idx="4">
                  <c:v>6.1317025156116443E-2</c:v>
                </c:pt>
                <c:pt idx="5">
                  <c:v>6.9829354514904157E-2</c:v>
                </c:pt>
                <c:pt idx="6">
                  <c:v>3.3725296220518453E-3</c:v>
                </c:pt>
                <c:pt idx="7">
                  <c:v>2.5196464323168511E-2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E9-479E-91A0-68D33C415301}"/>
            </c:ext>
          </c:extLst>
        </c:ser>
        <c:ser>
          <c:idx val="8"/>
          <c:order val="8"/>
          <c:tx>
            <c:strRef>
              <c:f>Sheet1!$A$393</c:f>
              <c:strCache>
                <c:ptCount val="1"/>
                <c:pt idx="0">
                  <c:v>sample diClp354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Sheet1!$R$396:$R$401</c:f>
                <c:numCache>
                  <c:formatCode>General</c:formatCode>
                  <c:ptCount val="6"/>
                  <c:pt idx="0">
                    <c:v>1.3991062744239315E-2</c:v>
                  </c:pt>
                  <c:pt idx="1">
                    <c:v>1.7903377026490075E-3</c:v>
                  </c:pt>
                  <c:pt idx="2">
                    <c:v>2.4051183490500054E-3</c:v>
                  </c:pt>
                  <c:pt idx="3">
                    <c:v>3.7202766874621547E-3</c:v>
                  </c:pt>
                  <c:pt idx="4">
                    <c:v>4.038250793252326E-3</c:v>
                  </c:pt>
                  <c:pt idx="5">
                    <c:v>2.0450884525749003E-3</c:v>
                  </c:pt>
                </c:numCache>
              </c:numRef>
            </c:plus>
            <c:minus>
              <c:numRef>
                <c:f>Sheet1!$R$396:$R$401</c:f>
                <c:numCache>
                  <c:formatCode>General</c:formatCode>
                  <c:ptCount val="6"/>
                  <c:pt idx="0">
                    <c:v>1.3991062744239315E-2</c:v>
                  </c:pt>
                  <c:pt idx="1">
                    <c:v>1.7903377026490075E-3</c:v>
                  </c:pt>
                  <c:pt idx="2">
                    <c:v>2.4051183490500054E-3</c:v>
                  </c:pt>
                  <c:pt idx="3">
                    <c:v>3.7202766874621547E-3</c:v>
                  </c:pt>
                  <c:pt idx="4">
                    <c:v>4.038250793252326E-3</c:v>
                  </c:pt>
                  <c:pt idx="5">
                    <c:v>2.0450884525749003E-3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Sheet1!$S$396:$S$401</c:f>
              <c:numCache>
                <c:formatCode>0.00</c:formatCode>
                <c:ptCount val="6"/>
                <c:pt idx="0">
                  <c:v>2.9242792860618816</c:v>
                </c:pt>
                <c:pt idx="1">
                  <c:v>3.6263403673750423</c:v>
                </c:pt>
                <c:pt idx="2">
                  <c:v>4.2166935991697541</c:v>
                </c:pt>
                <c:pt idx="3">
                  <c:v>5.0324575827149296</c:v>
                </c:pt>
                <c:pt idx="4">
                  <c:v>5.8864907251724823</c:v>
                </c:pt>
                <c:pt idx="5">
                  <c:v>6.7719547489639496</c:v>
                </c:pt>
              </c:numCache>
            </c:numRef>
          </c:xVal>
          <c:yVal>
            <c:numRef>
              <c:f>Sheet1!$Q$396:$Q$401</c:f>
              <c:numCache>
                <c:formatCode>#,##0.000</c:formatCode>
                <c:ptCount val="6"/>
                <c:pt idx="0">
                  <c:v>2.6842755140387597E-2</c:v>
                </c:pt>
                <c:pt idx="1">
                  <c:v>4.2284110784370249E-2</c:v>
                </c:pt>
                <c:pt idx="2">
                  <c:v>5.7993024816849412E-2</c:v>
                </c:pt>
                <c:pt idx="3">
                  <c:v>5.841388682195784E-2</c:v>
                </c:pt>
                <c:pt idx="4">
                  <c:v>5.7390228818800251E-2</c:v>
                </c:pt>
                <c:pt idx="5">
                  <c:v>6.3650861430401481E-2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E9-479E-91A0-68D33C415301}"/>
            </c:ext>
          </c:extLst>
        </c:ser>
        <c:ser>
          <c:idx val="9"/>
          <c:order val="9"/>
          <c:tx>
            <c:strRef>
              <c:f>Sheet1!$A$418</c:f>
              <c:strCache>
                <c:ptCount val="1"/>
                <c:pt idx="0">
                  <c:v>sample diClp355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Sheet1!$R$421:$R$426</c:f>
                <c:numCache>
                  <c:formatCode>General</c:formatCode>
                  <c:ptCount val="6"/>
                  <c:pt idx="0">
                    <c:v>1.3440496271711415E-2</c:v>
                  </c:pt>
                  <c:pt idx="1">
                    <c:v>3.1694598389586173E-3</c:v>
                  </c:pt>
                  <c:pt idx="2">
                    <c:v>9.0898328129221245E-3</c:v>
                  </c:pt>
                  <c:pt idx="3">
                    <c:v>4.9903065163501171E-3</c:v>
                  </c:pt>
                  <c:pt idx="4">
                    <c:v>2.0417689959214853E-3</c:v>
                  </c:pt>
                  <c:pt idx="5">
                    <c:v>3.305487645844556E-3</c:v>
                  </c:pt>
                </c:numCache>
              </c:numRef>
            </c:plus>
            <c:minus>
              <c:numRef>
                <c:f>Sheet1!$R$421:$R$426</c:f>
                <c:numCache>
                  <c:formatCode>General</c:formatCode>
                  <c:ptCount val="6"/>
                  <c:pt idx="0">
                    <c:v>1.3440496271711415E-2</c:v>
                  </c:pt>
                  <c:pt idx="1">
                    <c:v>3.1694598389586173E-3</c:v>
                  </c:pt>
                  <c:pt idx="2">
                    <c:v>9.0898328129221245E-3</c:v>
                  </c:pt>
                  <c:pt idx="3">
                    <c:v>4.9903065163501171E-3</c:v>
                  </c:pt>
                  <c:pt idx="4">
                    <c:v>2.0417689959214853E-3</c:v>
                  </c:pt>
                  <c:pt idx="5">
                    <c:v>3.305487645844556E-3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Sheet1!$S$421:$S$426</c:f>
              <c:numCache>
                <c:formatCode>0.00</c:formatCode>
                <c:ptCount val="6"/>
                <c:pt idx="0">
                  <c:v>2.7708520116421442</c:v>
                </c:pt>
                <c:pt idx="1">
                  <c:v>3.5051499783199058</c:v>
                </c:pt>
                <c:pt idx="2">
                  <c:v>4.062205808819713</c:v>
                </c:pt>
                <c:pt idx="3">
                  <c:v>4.9834007381805385</c:v>
                </c:pt>
                <c:pt idx="4">
                  <c:v>5.92813970687512</c:v>
                </c:pt>
                <c:pt idx="5">
                  <c:v>6.6232492903979008</c:v>
                </c:pt>
              </c:numCache>
            </c:numRef>
          </c:xVal>
          <c:yVal>
            <c:numRef>
              <c:f>Sheet1!$Q$421:$Q$426</c:f>
              <c:numCache>
                <c:formatCode>#,##0.000</c:formatCode>
                <c:ptCount val="6"/>
                <c:pt idx="0">
                  <c:v>4.3702971802082533E-2</c:v>
                </c:pt>
                <c:pt idx="1">
                  <c:v>6.3083121289228161E-2</c:v>
                </c:pt>
                <c:pt idx="2">
                  <c:v>3.3460607152822334E-2</c:v>
                </c:pt>
                <c:pt idx="3">
                  <c:v>6.2313923700062342E-2</c:v>
                </c:pt>
                <c:pt idx="4">
                  <c:v>6.0573307212501933E-2</c:v>
                </c:pt>
                <c:pt idx="5">
                  <c:v>5.2735143644234574E-2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E9-479E-91A0-68D33C415301}"/>
            </c:ext>
          </c:extLst>
        </c:ser>
        <c:ser>
          <c:idx val="10"/>
          <c:order val="10"/>
          <c:tx>
            <c:strRef>
              <c:f>Sheet1!$A$443</c:f>
              <c:strCache>
                <c:ptCount val="1"/>
                <c:pt idx="0">
                  <c:v>sample diClp358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Sheet1!$R$446:$R$453</c:f>
                <c:numCache>
                  <c:formatCode>General</c:formatCode>
                  <c:ptCount val="8"/>
                  <c:pt idx="0">
                    <c:v>4.2854299193654539E-3</c:v>
                  </c:pt>
                  <c:pt idx="1">
                    <c:v>3.4887493131113409E-3</c:v>
                  </c:pt>
                  <c:pt idx="2">
                    <c:v>1.2754453251791279E-2</c:v>
                  </c:pt>
                  <c:pt idx="3">
                    <c:v>7.4685603841323457E-3</c:v>
                  </c:pt>
                  <c:pt idx="4">
                    <c:v>7.5743408303695012E-3</c:v>
                  </c:pt>
                  <c:pt idx="5">
                    <c:v>3.8753817267619651E-3</c:v>
                  </c:pt>
                  <c:pt idx="6">
                    <c:v>4.8399998571534378E-3</c:v>
                  </c:pt>
                  <c:pt idx="7">
                    <c:v>6.2940335820269892E-3</c:v>
                  </c:pt>
                </c:numCache>
              </c:numRef>
            </c:plus>
            <c:minus>
              <c:numRef>
                <c:f>Sheet1!$R$446:$R$453</c:f>
                <c:numCache>
                  <c:formatCode>General</c:formatCode>
                  <c:ptCount val="8"/>
                  <c:pt idx="0">
                    <c:v>4.2854299193654539E-3</c:v>
                  </c:pt>
                  <c:pt idx="1">
                    <c:v>3.4887493131113409E-3</c:v>
                  </c:pt>
                  <c:pt idx="2">
                    <c:v>1.2754453251791279E-2</c:v>
                  </c:pt>
                  <c:pt idx="3">
                    <c:v>7.4685603841323457E-3</c:v>
                  </c:pt>
                  <c:pt idx="4">
                    <c:v>7.5743408303695012E-3</c:v>
                  </c:pt>
                  <c:pt idx="5">
                    <c:v>3.8753817267619651E-3</c:v>
                  </c:pt>
                  <c:pt idx="6">
                    <c:v>4.8399998571534378E-3</c:v>
                  </c:pt>
                  <c:pt idx="7">
                    <c:v>6.2940335820269892E-3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Sheet1!$S$446:$S$453</c:f>
              <c:numCache>
                <c:formatCode>0.00</c:formatCode>
                <c:ptCount val="8"/>
                <c:pt idx="0">
                  <c:v>3.0863598306747484</c:v>
                </c:pt>
                <c:pt idx="1">
                  <c:v>3.5751878449276608</c:v>
                </c:pt>
                <c:pt idx="2">
                  <c:v>3.7315887651867388</c:v>
                </c:pt>
                <c:pt idx="3">
                  <c:v>4.0549958615291413</c:v>
                </c:pt>
                <c:pt idx="4">
                  <c:v>4.6651117370750512</c:v>
                </c:pt>
                <c:pt idx="5">
                  <c:v>5.4432629874586951</c:v>
                </c:pt>
                <c:pt idx="6">
                  <c:v>6.0644579892269181</c:v>
                </c:pt>
                <c:pt idx="7">
                  <c:v>6.5611013836490564</c:v>
                </c:pt>
              </c:numCache>
            </c:numRef>
          </c:xVal>
          <c:yVal>
            <c:numRef>
              <c:f>Sheet1!$Q$446:$Q$453</c:f>
              <c:numCache>
                <c:formatCode>#,##0.000</c:formatCode>
                <c:ptCount val="8"/>
                <c:pt idx="0">
                  <c:v>3.4603572818893542E-2</c:v>
                </c:pt>
                <c:pt idx="1">
                  <c:v>3.7421148294664829E-2</c:v>
                </c:pt>
                <c:pt idx="2">
                  <c:v>1.0444581873153303E-2</c:v>
                </c:pt>
                <c:pt idx="3">
                  <c:v>4.1761095974128484E-2</c:v>
                </c:pt>
                <c:pt idx="4">
                  <c:v>4.7415836889521078E-2</c:v>
                </c:pt>
                <c:pt idx="5">
                  <c:v>6.0283331658796388E-2</c:v>
                </c:pt>
                <c:pt idx="6">
                  <c:v>6.4774242712897612E-2</c:v>
                </c:pt>
                <c:pt idx="7">
                  <c:v>4.1054835575383558E-2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3E9-479E-91A0-68D33C415301}"/>
            </c:ext>
          </c:extLst>
        </c:ser>
        <c:ser>
          <c:idx val="11"/>
          <c:order val="11"/>
          <c:tx>
            <c:strRef>
              <c:f>Sheet1!$A$468</c:f>
              <c:strCache>
                <c:ptCount val="1"/>
                <c:pt idx="0">
                  <c:v>sample diClp360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Sheet1!$R$471:$R$476</c:f>
                <c:numCache>
                  <c:formatCode>General</c:formatCode>
                  <c:ptCount val="6"/>
                  <c:pt idx="0">
                    <c:v>5.502989719338095E-3</c:v>
                  </c:pt>
                  <c:pt idx="1">
                    <c:v>3.8289402445786705E-3</c:v>
                  </c:pt>
                  <c:pt idx="2">
                    <c:v>5.327593356603386E-3</c:v>
                  </c:pt>
                  <c:pt idx="3">
                    <c:v>6.032800698794469E-3</c:v>
                  </c:pt>
                  <c:pt idx="4">
                    <c:v>2.9231927701725479E-3</c:v>
                  </c:pt>
                  <c:pt idx="5">
                    <c:v>3.3434405242552395E-3</c:v>
                  </c:pt>
                </c:numCache>
              </c:numRef>
            </c:plus>
            <c:minus>
              <c:numRef>
                <c:f>Sheet1!$R$471:$R$476</c:f>
                <c:numCache>
                  <c:formatCode>General</c:formatCode>
                  <c:ptCount val="6"/>
                  <c:pt idx="0">
                    <c:v>5.502989719338095E-3</c:v>
                  </c:pt>
                  <c:pt idx="1">
                    <c:v>3.8289402445786705E-3</c:v>
                  </c:pt>
                  <c:pt idx="2">
                    <c:v>5.327593356603386E-3</c:v>
                  </c:pt>
                  <c:pt idx="3">
                    <c:v>6.032800698794469E-3</c:v>
                  </c:pt>
                  <c:pt idx="4">
                    <c:v>2.9231927701725479E-3</c:v>
                  </c:pt>
                  <c:pt idx="5">
                    <c:v>3.3434405242552395E-3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Sheet1!$S$471:$S$476</c:f>
              <c:numCache>
                <c:formatCode>0.00</c:formatCode>
                <c:ptCount val="6"/>
                <c:pt idx="0">
                  <c:v>3.0755469613925306</c:v>
                </c:pt>
                <c:pt idx="1">
                  <c:v>3.6680751513945196</c:v>
                </c:pt>
                <c:pt idx="2">
                  <c:v>4.377063289113944</c:v>
                </c:pt>
                <c:pt idx="3">
                  <c:v>5.0969100130080562</c:v>
                </c:pt>
                <c:pt idx="4">
                  <c:v>5.9590413923210939</c:v>
                </c:pt>
                <c:pt idx="5">
                  <c:v>6.7391766319107296</c:v>
                </c:pt>
              </c:numCache>
            </c:numRef>
          </c:xVal>
          <c:yVal>
            <c:numRef>
              <c:f>Sheet1!$Q$471:$Q$476</c:f>
              <c:numCache>
                <c:formatCode>#,##0.000</c:formatCode>
                <c:ptCount val="6"/>
                <c:pt idx="0">
                  <c:v>2.3246496950752048E-2</c:v>
                </c:pt>
                <c:pt idx="1">
                  <c:v>6.7490491085286916E-2</c:v>
                </c:pt>
                <c:pt idx="2">
                  <c:v>5.22147130988765E-2</c:v>
                </c:pt>
                <c:pt idx="3">
                  <c:v>5.1948051948051938E-2</c:v>
                </c:pt>
                <c:pt idx="4">
                  <c:v>6.3572790845518146E-2</c:v>
                </c:pt>
                <c:pt idx="5">
                  <c:v>7.7634307351718404E-2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3E9-479E-91A0-68D33C415301}"/>
            </c:ext>
          </c:extLst>
        </c:ser>
        <c:ser>
          <c:idx val="12"/>
          <c:order val="12"/>
          <c:tx>
            <c:strRef>
              <c:f>Sheet1!$A$493</c:f>
              <c:strCache>
                <c:ptCount val="1"/>
                <c:pt idx="0">
                  <c:v>sample diClp361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Sheet1!$R$496:$R$501</c:f>
                <c:numCache>
                  <c:formatCode>General</c:formatCode>
                  <c:ptCount val="6"/>
                  <c:pt idx="0">
                    <c:v>4.7744615288928295E-3</c:v>
                  </c:pt>
                  <c:pt idx="1">
                    <c:v>6.0367568009907996E-3</c:v>
                  </c:pt>
                  <c:pt idx="2">
                    <c:v>4.6249216109601546E-3</c:v>
                  </c:pt>
                  <c:pt idx="3">
                    <c:v>6.7904212602840873E-3</c:v>
                  </c:pt>
                  <c:pt idx="4">
                    <c:v>2.7891433429057307E-3</c:v>
                  </c:pt>
                  <c:pt idx="5">
                    <c:v>3.3434405242552395E-3</c:v>
                  </c:pt>
                </c:numCache>
              </c:numRef>
            </c:plus>
            <c:minus>
              <c:numRef>
                <c:f>Sheet1!$R$496:$R$501</c:f>
                <c:numCache>
                  <c:formatCode>General</c:formatCode>
                  <c:ptCount val="6"/>
                  <c:pt idx="0">
                    <c:v>4.7744615288928295E-3</c:v>
                  </c:pt>
                  <c:pt idx="1">
                    <c:v>6.0367568009907996E-3</c:v>
                  </c:pt>
                  <c:pt idx="2">
                    <c:v>4.6249216109601546E-3</c:v>
                  </c:pt>
                  <c:pt idx="3">
                    <c:v>6.7904212602840873E-3</c:v>
                  </c:pt>
                  <c:pt idx="4">
                    <c:v>2.7891433429057307E-3</c:v>
                  </c:pt>
                  <c:pt idx="5">
                    <c:v>3.3434405242552395E-3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Sheet1!$S$496:$S$501</c:f>
              <c:numCache>
                <c:formatCode>0.00</c:formatCode>
                <c:ptCount val="6"/>
                <c:pt idx="0">
                  <c:v>3.12057393120585</c:v>
                </c:pt>
                <c:pt idx="1">
                  <c:v>3.6473829701146196</c:v>
                </c:pt>
                <c:pt idx="2">
                  <c:v>4.3911116137028028</c:v>
                </c:pt>
                <c:pt idx="3">
                  <c:v>5.0559514053291501</c:v>
                </c:pt>
                <c:pt idx="4">
                  <c:v>5.9530344572503564</c:v>
                </c:pt>
                <c:pt idx="5">
                  <c:v>6.7391766319107296</c:v>
                </c:pt>
              </c:numCache>
            </c:numRef>
          </c:xVal>
          <c:yVal>
            <c:numRef>
              <c:f>Sheet1!$Q$496:$Q$501</c:f>
              <c:numCache>
                <c:formatCode>#,##0.000</c:formatCode>
                <c:ptCount val="6"/>
                <c:pt idx="0">
                  <c:v>3.7521440823327611E-2</c:v>
                </c:pt>
                <c:pt idx="1">
                  <c:v>5.3827412317978357E-2</c:v>
                </c:pt>
                <c:pt idx="2">
                  <c:v>5.6026224908182286E-2</c:v>
                </c:pt>
                <c:pt idx="3">
                  <c:v>4.7778308647873864E-2</c:v>
                </c:pt>
                <c:pt idx="4">
                  <c:v>6.5690679875487393E-2</c:v>
                </c:pt>
                <c:pt idx="5">
                  <c:v>7.7634307351718404E-2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3E9-479E-91A0-68D33C41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01200"/>
        <c:axId val="1694102032"/>
      </c:scatterChart>
      <c:valAx>
        <c:axId val="16941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log10(cell</a:t>
                </a:r>
                <a:r>
                  <a:rPr lang="en-US" baseline="0"/>
                  <a:t> density (cell/ml))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02032"/>
        <c:crosses val="autoZero"/>
        <c:crossBetween val="midCat"/>
      </c:valAx>
      <c:valAx>
        <c:axId val="16941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Proliferation</a:t>
                </a:r>
                <a:r>
                  <a:rPr lang="en-US" baseline="0"/>
                  <a:t> Rate, </a:t>
                </a:r>
                <a:r>
                  <a:rPr lang="el-GR"/>
                  <a:t>γ</a:t>
                </a:r>
                <a:r>
                  <a:rPr lang="en-US"/>
                  <a:t> (1/ 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Sheet1!$A$138</c:f>
              <c:strCache>
                <c:ptCount val="1"/>
                <c:pt idx="0">
                  <c:v>sample diF524b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Sheet1!$R$141:$R$152</c:f>
                <c:numCache>
                  <c:formatCode>General</c:formatCode>
                  <c:ptCount val="12"/>
                  <c:pt idx="0">
                    <c:v>9.4646554257423188E-3</c:v>
                  </c:pt>
                  <c:pt idx="1">
                    <c:v>1.065076492386116E-2</c:v>
                  </c:pt>
                  <c:pt idx="2">
                    <c:v>1.2007302658936072E-2</c:v>
                  </c:pt>
                  <c:pt idx="3">
                    <c:v>1.0802380709689863E-2</c:v>
                  </c:pt>
                  <c:pt idx="4">
                    <c:v>7.5475024667393809E-3</c:v>
                  </c:pt>
                  <c:pt idx="5">
                    <c:v>9.2386375320447894E-3</c:v>
                  </c:pt>
                  <c:pt idx="6">
                    <c:v>7.9745327644757721E-3</c:v>
                  </c:pt>
                  <c:pt idx="7">
                    <c:v>8.0920682266078653E-3</c:v>
                  </c:pt>
                  <c:pt idx="8">
                    <c:v>5.9230271955337064E-3</c:v>
                  </c:pt>
                  <c:pt idx="9">
                    <c:v>3.1271369020634994E-3</c:v>
                  </c:pt>
                  <c:pt idx="10">
                    <c:v>3.8235845603388926E-3</c:v>
                  </c:pt>
                  <c:pt idx="11">
                    <c:v>9.4711862402927938E-3</c:v>
                  </c:pt>
                </c:numCache>
              </c:numRef>
            </c:plus>
            <c:minus>
              <c:numRef>
                <c:f>Sheet1!$R$141:$R$152</c:f>
                <c:numCache>
                  <c:formatCode>General</c:formatCode>
                  <c:ptCount val="12"/>
                  <c:pt idx="0">
                    <c:v>9.4646554257423188E-3</c:v>
                  </c:pt>
                  <c:pt idx="1">
                    <c:v>1.065076492386116E-2</c:v>
                  </c:pt>
                  <c:pt idx="2">
                    <c:v>1.2007302658936072E-2</c:v>
                  </c:pt>
                  <c:pt idx="3">
                    <c:v>1.0802380709689863E-2</c:v>
                  </c:pt>
                  <c:pt idx="4">
                    <c:v>7.5475024667393809E-3</c:v>
                  </c:pt>
                  <c:pt idx="5">
                    <c:v>9.2386375320447894E-3</c:v>
                  </c:pt>
                  <c:pt idx="6">
                    <c:v>7.9745327644757721E-3</c:v>
                  </c:pt>
                  <c:pt idx="7">
                    <c:v>8.0920682266078653E-3</c:v>
                  </c:pt>
                  <c:pt idx="8">
                    <c:v>5.9230271955337064E-3</c:v>
                  </c:pt>
                  <c:pt idx="9">
                    <c:v>3.1271369020634994E-3</c:v>
                  </c:pt>
                  <c:pt idx="10">
                    <c:v>3.8235845603388926E-3</c:v>
                  </c:pt>
                  <c:pt idx="11">
                    <c:v>9.4711862402927938E-3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Sheet1!$S$141:$S$152</c:f>
              <c:numCache>
                <c:formatCode>0.00</c:formatCode>
                <c:ptCount val="12"/>
                <c:pt idx="0">
                  <c:v>2.3222192947339191</c:v>
                </c:pt>
                <c:pt idx="1">
                  <c:v>2.6334684555795866</c:v>
                </c:pt>
                <c:pt idx="2">
                  <c:v>2.7323937598229686</c:v>
                </c:pt>
                <c:pt idx="3">
                  <c:v>2.9493900066449128</c:v>
                </c:pt>
                <c:pt idx="4">
                  <c:v>3.3222192947339191</c:v>
                </c:pt>
                <c:pt idx="5">
                  <c:v>3.5314789170422549</c:v>
                </c:pt>
                <c:pt idx="6">
                  <c:v>3.6589648426644348</c:v>
                </c:pt>
                <c:pt idx="7">
                  <c:v>4.0659529803138694</c:v>
                </c:pt>
                <c:pt idx="8">
                  <c:v>4.5440680443502757</c:v>
                </c:pt>
                <c:pt idx="9">
                  <c:v>5.2977605110991339</c:v>
                </c:pt>
                <c:pt idx="10">
                  <c:v>6.0907869279492672</c:v>
                </c:pt>
                <c:pt idx="11">
                  <c:v>6.4857214264815797</c:v>
                </c:pt>
              </c:numCache>
            </c:numRef>
          </c:xVal>
          <c:yVal>
            <c:numRef>
              <c:f>Sheet1!$Q$141:$Q$152</c:f>
              <c:numCache>
                <c:formatCode>#,##0.000</c:formatCode>
                <c:ptCount val="12"/>
                <c:pt idx="0">
                  <c:v>5.4658385083661887E-2</c:v>
                </c:pt>
                <c:pt idx="1">
                  <c:v>1.8481441554666429E-2</c:v>
                </c:pt>
                <c:pt idx="2">
                  <c:v>0</c:v>
                </c:pt>
                <c:pt idx="3">
                  <c:v>3.8180429802552644E-2</c:v>
                </c:pt>
                <c:pt idx="4">
                  <c:v>3.0504566783332663E-2</c:v>
                </c:pt>
                <c:pt idx="5">
                  <c:v>1.1116257542547173E-2</c:v>
                </c:pt>
                <c:pt idx="6">
                  <c:v>1.1420957456933471E-2</c:v>
                </c:pt>
                <c:pt idx="7">
                  <c:v>5.500588103965319E-2</c:v>
                </c:pt>
                <c:pt idx="8">
                  <c:v>3.883125545705482E-2</c:v>
                </c:pt>
                <c:pt idx="9">
                  <c:v>5.8651809020352129E-2</c:v>
                </c:pt>
                <c:pt idx="10">
                  <c:v>6.2615750948055382E-2</c:v>
                </c:pt>
                <c:pt idx="11">
                  <c:v>2.6481857110660367E-2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D-4B29-AE0E-7ABD7E0761EF}"/>
            </c:ext>
          </c:extLst>
        </c:ser>
        <c:ser>
          <c:idx val="0"/>
          <c:order val="1"/>
          <c:tx>
            <c:strRef>
              <c:f>Sheet1!$A$166</c:f>
              <c:strCache>
                <c:ptCount val="1"/>
                <c:pt idx="0">
                  <c:v>sample diF524c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Sheet1!$R$169:$R$178</c:f>
                <c:numCache>
                  <c:formatCode>General</c:formatCode>
                  <c:ptCount val="10"/>
                  <c:pt idx="0">
                    <c:v>9.4646554257423188E-3</c:v>
                  </c:pt>
                  <c:pt idx="1">
                    <c:v>9.8905806926839254E-3</c:v>
                  </c:pt>
                  <c:pt idx="2">
                    <c:v>1.3951224969279433E-2</c:v>
                  </c:pt>
                  <c:pt idx="3">
                    <c:v>1.2538570875033954E-2</c:v>
                  </c:pt>
                  <c:pt idx="4">
                    <c:v>1.0260619962535703E-2</c:v>
                  </c:pt>
                  <c:pt idx="5">
                    <c:v>5.5852374309180424E-3</c:v>
                  </c:pt>
                  <c:pt idx="6">
                    <c:v>3.3343367185818952E-3</c:v>
                  </c:pt>
                  <c:pt idx="7">
                    <c:v>1.6671773672130303E-3</c:v>
                  </c:pt>
                  <c:pt idx="8">
                    <c:v>4.3267008670085459E-3</c:v>
                  </c:pt>
                  <c:pt idx="9">
                    <c:v>4.4167966415490775E-3</c:v>
                  </c:pt>
                </c:numCache>
              </c:numRef>
            </c:plus>
            <c:minus>
              <c:numRef>
                <c:f>Sheet1!$R$169:$R$178</c:f>
                <c:numCache>
                  <c:formatCode>General</c:formatCode>
                  <c:ptCount val="10"/>
                  <c:pt idx="0">
                    <c:v>9.4646554257423188E-3</c:v>
                  </c:pt>
                  <c:pt idx="1">
                    <c:v>9.8905806926839254E-3</c:v>
                  </c:pt>
                  <c:pt idx="2">
                    <c:v>1.3951224969279433E-2</c:v>
                  </c:pt>
                  <c:pt idx="3">
                    <c:v>1.2538570875033954E-2</c:v>
                  </c:pt>
                  <c:pt idx="4">
                    <c:v>1.0260619962535703E-2</c:v>
                  </c:pt>
                  <c:pt idx="5">
                    <c:v>5.5852374309180424E-3</c:v>
                  </c:pt>
                  <c:pt idx="6">
                    <c:v>3.3343367185818952E-3</c:v>
                  </c:pt>
                  <c:pt idx="7">
                    <c:v>1.6671773672130303E-3</c:v>
                  </c:pt>
                  <c:pt idx="8">
                    <c:v>4.3267008670085459E-3</c:v>
                  </c:pt>
                  <c:pt idx="9">
                    <c:v>4.4167966415490775E-3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Sheet1!$S$169:$S$178</c:f>
              <c:numCache>
                <c:formatCode>0.00</c:formatCode>
                <c:ptCount val="10"/>
                <c:pt idx="0">
                  <c:v>2.3222192947339191</c:v>
                </c:pt>
                <c:pt idx="1">
                  <c:v>2.7481880270062002</c:v>
                </c:pt>
                <c:pt idx="2">
                  <c:v>2.9030899869919438</c:v>
                </c:pt>
                <c:pt idx="3">
                  <c:v>3.12057393120585</c:v>
                </c:pt>
                <c:pt idx="4">
                  <c:v>3.3180633349627615</c:v>
                </c:pt>
                <c:pt idx="5">
                  <c:v>3.8142475957319202</c:v>
                </c:pt>
                <c:pt idx="6">
                  <c:v>4.5232260419657013</c:v>
                </c:pt>
                <c:pt idx="7">
                  <c:v>5.7015679850559273</c:v>
                </c:pt>
                <c:pt idx="8">
                  <c:v>6.312811826212088</c:v>
                </c:pt>
                <c:pt idx="9">
                  <c:v>6.8609366207000937</c:v>
                </c:pt>
              </c:numCache>
            </c:numRef>
          </c:xVal>
          <c:yVal>
            <c:numRef>
              <c:f>Sheet1!$Q$169:$Q$178</c:f>
              <c:numCache>
                <c:formatCode>#,##0.000</c:formatCode>
                <c:ptCount val="10"/>
                <c:pt idx="0">
                  <c:v>5.4658385083661887E-2</c:v>
                </c:pt>
                <c:pt idx="1">
                  <c:v>3.0962415072103497E-2</c:v>
                </c:pt>
                <c:pt idx="2">
                  <c:v>0</c:v>
                </c:pt>
                <c:pt idx="3">
                  <c:v>3.8246543100912044E-2</c:v>
                </c:pt>
                <c:pt idx="4">
                  <c:v>8.5947571885060716E-3</c:v>
                </c:pt>
                <c:pt idx="5">
                  <c:v>5.5333295352612111E-2</c:v>
                </c:pt>
                <c:pt idx="6">
                  <c:v>4.9089119301303968E-2</c:v>
                </c:pt>
                <c:pt idx="7">
                  <c:v>8.9463220525838272E-2</c:v>
                </c:pt>
                <c:pt idx="8">
                  <c:v>4.2988372829586244E-2</c:v>
                </c:pt>
                <c:pt idx="9">
                  <c:v>4.4790875711659343E-2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D-4B29-AE0E-7ABD7E0761EF}"/>
            </c:ext>
          </c:extLst>
        </c:ser>
        <c:ser>
          <c:idx val="2"/>
          <c:order val="2"/>
          <c:tx>
            <c:strRef>
              <c:f>Sheet1!$A$192</c:f>
              <c:strCache>
                <c:ptCount val="1"/>
                <c:pt idx="0">
                  <c:v>sample diF524d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Sheet1!$R$195:$R$204</c:f>
                <c:numCache>
                  <c:formatCode>General</c:formatCode>
                  <c:ptCount val="10"/>
                  <c:pt idx="0">
                    <c:v>1.5971606030940163E-2</c:v>
                  </c:pt>
                  <c:pt idx="1">
                    <c:v>9.5401175059609458E-3</c:v>
                  </c:pt>
                  <c:pt idx="2">
                    <c:v>1.1205893557192408E-2</c:v>
                  </c:pt>
                  <c:pt idx="3">
                    <c:v>1.0561050077750869E-2</c:v>
                  </c:pt>
                  <c:pt idx="4">
                    <c:v>8.1500676741932763E-3</c:v>
                  </c:pt>
                  <c:pt idx="5">
                    <c:v>7.503921503789427E-3</c:v>
                  </c:pt>
                  <c:pt idx="6">
                    <c:v>4.6904657801475277E-3</c:v>
                  </c:pt>
                  <c:pt idx="7">
                    <c:v>3.0500048578882199E-3</c:v>
                  </c:pt>
                  <c:pt idx="8">
                    <c:v>5.4340169370438469E-3</c:v>
                  </c:pt>
                  <c:pt idx="9">
                    <c:v>2.9357139625260397E-3</c:v>
                  </c:pt>
                </c:numCache>
              </c:numRef>
            </c:plus>
            <c:minus>
              <c:numRef>
                <c:f>Sheet1!$R$195:$R$204</c:f>
                <c:numCache>
                  <c:formatCode>General</c:formatCode>
                  <c:ptCount val="10"/>
                  <c:pt idx="0">
                    <c:v>1.5971606030940163E-2</c:v>
                  </c:pt>
                  <c:pt idx="1">
                    <c:v>9.5401175059609458E-3</c:v>
                  </c:pt>
                  <c:pt idx="2">
                    <c:v>1.1205893557192408E-2</c:v>
                  </c:pt>
                  <c:pt idx="3">
                    <c:v>1.0561050077750869E-2</c:v>
                  </c:pt>
                  <c:pt idx="4">
                    <c:v>8.1500676741932763E-3</c:v>
                  </c:pt>
                  <c:pt idx="5">
                    <c:v>7.503921503789427E-3</c:v>
                  </c:pt>
                  <c:pt idx="6">
                    <c:v>4.6904657801475277E-3</c:v>
                  </c:pt>
                  <c:pt idx="7">
                    <c:v>3.0500048578882199E-3</c:v>
                  </c:pt>
                  <c:pt idx="8">
                    <c:v>5.4340169370438469E-3</c:v>
                  </c:pt>
                  <c:pt idx="9">
                    <c:v>2.9357139625260397E-3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Sheet1!$S$195:$S$204</c:f>
              <c:numCache>
                <c:formatCode>0.00</c:formatCode>
                <c:ptCount val="10"/>
                <c:pt idx="0">
                  <c:v>2.1461280356782382</c:v>
                </c:pt>
                <c:pt idx="1">
                  <c:v>2.6020599913279625</c:v>
                </c:pt>
                <c:pt idx="2">
                  <c:v>2.7923916894982539</c:v>
                </c:pt>
                <c:pt idx="3">
                  <c:v>2.9867717342662448</c:v>
                </c:pt>
                <c:pt idx="4">
                  <c:v>3.2966651902615309</c:v>
                </c:pt>
                <c:pt idx="5">
                  <c:v>3.7058637122839193</c:v>
                </c:pt>
                <c:pt idx="6">
                  <c:v>4.3044905277734875</c:v>
                </c:pt>
                <c:pt idx="7">
                  <c:v>5.3451776165427036</c:v>
                </c:pt>
                <c:pt idx="8">
                  <c:v>5.9111576087399769</c:v>
                </c:pt>
                <c:pt idx="9">
                  <c:v>6.6785183790401144</c:v>
                </c:pt>
              </c:numCache>
            </c:numRef>
          </c:xVal>
          <c:yVal>
            <c:numRef>
              <c:f>Sheet1!$Q$195:$Q$204</c:f>
              <c:numCache>
                <c:formatCode>#,##0.000</c:formatCode>
                <c:ptCount val="10"/>
                <c:pt idx="0">
                  <c:v>2.9813664591088303E-2</c:v>
                </c:pt>
                <c:pt idx="1">
                  <c:v>3.9735099342532824E-2</c:v>
                </c:pt>
                <c:pt idx="2">
                  <c:v>0</c:v>
                </c:pt>
                <c:pt idx="3">
                  <c:v>3.5031528375537996E-2</c:v>
                </c:pt>
                <c:pt idx="4">
                  <c:v>2.4829298544573098E-2</c:v>
                </c:pt>
                <c:pt idx="5">
                  <c:v>4.1258264393777444E-2</c:v>
                </c:pt>
                <c:pt idx="6">
                  <c:v>4.5351473922902487E-2</c:v>
                </c:pt>
                <c:pt idx="7">
                  <c:v>8.5756897693547357E-2</c:v>
                </c:pt>
                <c:pt idx="8">
                  <c:v>3.9728115922320617E-2</c:v>
                </c:pt>
                <c:pt idx="9">
                  <c:v>5.9144487405523201E-2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D-4B29-AE0E-7ABD7E0761EF}"/>
            </c:ext>
          </c:extLst>
        </c:ser>
        <c:ser>
          <c:idx val="3"/>
          <c:order val="3"/>
          <c:tx>
            <c:strRef>
              <c:f>Sheet1!$A$218</c:f>
              <c:strCache>
                <c:ptCount val="1"/>
                <c:pt idx="0">
                  <c:v>sample diF524e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Sheet1!$R$221:$R$231</c:f>
                <c:numCache>
                  <c:formatCode>General</c:formatCode>
                  <c:ptCount val="11"/>
                  <c:pt idx="0">
                    <c:v>1.1612081400441019E-2</c:v>
                  </c:pt>
                  <c:pt idx="1">
                    <c:v>1.0307144124567241E-2</c:v>
                  </c:pt>
                  <c:pt idx="2">
                    <c:v>1.1585861721212891E-2</c:v>
                  </c:pt>
                  <c:pt idx="3">
                    <c:v>9.0932002743308073E-3</c:v>
                  </c:pt>
                  <c:pt idx="4">
                    <c:v>8.9124625371067769E-3</c:v>
                  </c:pt>
                  <c:pt idx="5">
                    <c:v>7.7299653474575594E-3</c:v>
                  </c:pt>
                  <c:pt idx="6">
                    <c:v>3.9916245006175093E-3</c:v>
                  </c:pt>
                  <c:pt idx="7">
                    <c:v>3.063319529730579E-3</c:v>
                  </c:pt>
                  <c:pt idx="8">
                    <c:v>5.3770155278652166E-3</c:v>
                  </c:pt>
                  <c:pt idx="9">
                    <c:v>5.1203428780297227E-3</c:v>
                  </c:pt>
                  <c:pt idx="10">
                    <c:v>8.034441096181769E-3</c:v>
                  </c:pt>
                </c:numCache>
              </c:numRef>
            </c:plus>
            <c:minus>
              <c:numRef>
                <c:f>Sheet1!$R$221:$R$231</c:f>
                <c:numCache>
                  <c:formatCode>General</c:formatCode>
                  <c:ptCount val="11"/>
                  <c:pt idx="0">
                    <c:v>1.1612081400441019E-2</c:v>
                  </c:pt>
                  <c:pt idx="1">
                    <c:v>1.0307144124567241E-2</c:v>
                  </c:pt>
                  <c:pt idx="2">
                    <c:v>1.1585861721212891E-2</c:v>
                  </c:pt>
                  <c:pt idx="3">
                    <c:v>9.0932002743308073E-3</c:v>
                  </c:pt>
                  <c:pt idx="4">
                    <c:v>8.9124625371067769E-3</c:v>
                  </c:pt>
                  <c:pt idx="5">
                    <c:v>7.7299653474575594E-3</c:v>
                  </c:pt>
                  <c:pt idx="6">
                    <c:v>3.9916245006175093E-3</c:v>
                  </c:pt>
                  <c:pt idx="7">
                    <c:v>3.063319529730579E-3</c:v>
                  </c:pt>
                  <c:pt idx="8">
                    <c:v>5.3770155278652166E-3</c:v>
                  </c:pt>
                  <c:pt idx="9">
                    <c:v>5.1203428780297227E-3</c:v>
                  </c:pt>
                  <c:pt idx="10">
                    <c:v>8.034441096181769E-3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Sheet1!$S$221:$S$231</c:f>
              <c:numCache>
                <c:formatCode>0.00</c:formatCode>
                <c:ptCount val="11"/>
                <c:pt idx="0">
                  <c:v>2.255272505103306</c:v>
                </c:pt>
                <c:pt idx="1">
                  <c:v>2.6232492903979003</c:v>
                </c:pt>
                <c:pt idx="2">
                  <c:v>2.7634279935629373</c:v>
                </c:pt>
                <c:pt idx="3">
                  <c:v>3.0453229787866576</c:v>
                </c:pt>
                <c:pt idx="4">
                  <c:v>3.287801729930226</c:v>
                </c:pt>
                <c:pt idx="5">
                  <c:v>3.6589648426644348</c:v>
                </c:pt>
                <c:pt idx="6">
                  <c:v>4.34713478291002</c:v>
                </c:pt>
                <c:pt idx="7">
                  <c:v>5.3780343224573315</c:v>
                </c:pt>
                <c:pt idx="8">
                  <c:v>5.982271233039568</c:v>
                </c:pt>
                <c:pt idx="9">
                  <c:v>6.568201724066995</c:v>
                </c:pt>
                <c:pt idx="10">
                  <c:v>6.9283958522567142</c:v>
                </c:pt>
              </c:numCache>
            </c:numRef>
          </c:xVal>
          <c:yVal>
            <c:numRef>
              <c:f>Sheet1!$Q$221:$Q$231</c:f>
              <c:numCache>
                <c:formatCode>#,##0.000</c:formatCode>
                <c:ptCount val="11"/>
                <c:pt idx="0">
                  <c:v>4.6376811586137358E-2</c:v>
                </c:pt>
                <c:pt idx="1">
                  <c:v>2.7522146730758666E-2</c:v>
                </c:pt>
                <c:pt idx="2">
                  <c:v>0</c:v>
                </c:pt>
                <c:pt idx="3">
                  <c:v>4.6357036648298794E-2</c:v>
                </c:pt>
                <c:pt idx="4">
                  <c:v>1.1518746747482364E-2</c:v>
                </c:pt>
                <c:pt idx="5">
                  <c:v>4.370267119996616E-2</c:v>
                </c:pt>
                <c:pt idx="6">
                  <c:v>4.9956418228888848E-2</c:v>
                </c:pt>
                <c:pt idx="7">
                  <c:v>8.4820073379656746E-2</c:v>
                </c:pt>
                <c:pt idx="8">
                  <c:v>4.3304463806274375E-2</c:v>
                </c:pt>
                <c:pt idx="9">
                  <c:v>4.7682119142142931E-2</c:v>
                </c:pt>
                <c:pt idx="10">
                  <c:v>2.6194081774649026E-2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D-4B29-AE0E-7ABD7E0761EF}"/>
            </c:ext>
          </c:extLst>
        </c:ser>
        <c:ser>
          <c:idx val="4"/>
          <c:order val="4"/>
          <c:tx>
            <c:strRef>
              <c:f>Sheet1!$A$244</c:f>
              <c:strCache>
                <c:ptCount val="1"/>
                <c:pt idx="0">
                  <c:v>sample diF524f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Sheet1!$R$247:$R$257</c:f>
                <c:numCache>
                  <c:formatCode>General</c:formatCode>
                  <c:ptCount val="11"/>
                  <c:pt idx="0">
                    <c:v>1.7463918441498059E-2</c:v>
                  </c:pt>
                  <c:pt idx="1">
                    <c:v>1.0511262966609151E-2</c:v>
                  </c:pt>
                  <c:pt idx="2">
                    <c:v>1.2236033738462987E-2</c:v>
                  </c:pt>
                  <c:pt idx="3">
                    <c:v>1.0974056175303898E-2</c:v>
                  </c:pt>
                  <c:pt idx="4">
                    <c:v>8.7169786902831243E-3</c:v>
                  </c:pt>
                  <c:pt idx="5">
                    <c:v>1.0664532247738683E-2</c:v>
                  </c:pt>
                  <c:pt idx="6">
                    <c:v>6.4800100043199338E-3</c:v>
                  </c:pt>
                  <c:pt idx="7">
                    <c:v>7.1132318454108683E-3</c:v>
                  </c:pt>
                  <c:pt idx="8">
                    <c:v>4.7923348440068554E-3</c:v>
                  </c:pt>
                  <c:pt idx="9">
                    <c:v>1.9169551733157905E-3</c:v>
                  </c:pt>
                  <c:pt idx="10">
                    <c:v>4.9738014555546399E-3</c:v>
                  </c:pt>
                </c:numCache>
              </c:numRef>
            </c:plus>
            <c:minus>
              <c:numRef>
                <c:f>Sheet1!$R$247:$R$257</c:f>
                <c:numCache>
                  <c:formatCode>General</c:formatCode>
                  <c:ptCount val="11"/>
                  <c:pt idx="0">
                    <c:v>1.7463918441498059E-2</c:v>
                  </c:pt>
                  <c:pt idx="1">
                    <c:v>1.0511262966609151E-2</c:v>
                  </c:pt>
                  <c:pt idx="2">
                    <c:v>1.2236033738462987E-2</c:v>
                  </c:pt>
                  <c:pt idx="3">
                    <c:v>1.0974056175303898E-2</c:v>
                  </c:pt>
                  <c:pt idx="4">
                    <c:v>8.7169786902831243E-3</c:v>
                  </c:pt>
                  <c:pt idx="5">
                    <c:v>1.0664532247738683E-2</c:v>
                  </c:pt>
                  <c:pt idx="6">
                    <c:v>6.4800100043199338E-3</c:v>
                  </c:pt>
                  <c:pt idx="7">
                    <c:v>7.1132318454108683E-3</c:v>
                  </c:pt>
                  <c:pt idx="8">
                    <c:v>4.7923348440068554E-3</c:v>
                  </c:pt>
                  <c:pt idx="9">
                    <c:v>1.9169551733157905E-3</c:v>
                  </c:pt>
                  <c:pt idx="10">
                    <c:v>4.9738014555546399E-3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Sheet1!$S$247:$S$257</c:f>
              <c:numCache>
                <c:formatCode>0.00</c:formatCode>
                <c:ptCount val="11"/>
                <c:pt idx="0">
                  <c:v>2.1139433523068369</c:v>
                </c:pt>
                <c:pt idx="1">
                  <c:v>2.5314789170422549</c:v>
                </c:pt>
                <c:pt idx="2">
                  <c:v>2.716003343634799</c:v>
                </c:pt>
                <c:pt idx="3">
                  <c:v>2.9344984512435679</c:v>
                </c:pt>
                <c:pt idx="4">
                  <c:v>3.2455126678141499</c:v>
                </c:pt>
                <c:pt idx="5">
                  <c:v>3.510545010206612</c:v>
                </c:pt>
                <c:pt idx="6">
                  <c:v>4.0366288953621607</c:v>
                </c:pt>
                <c:pt idx="7">
                  <c:v>4.7505083948513462</c:v>
                </c:pt>
                <c:pt idx="8">
                  <c:v>5.4022613824546806</c:v>
                </c:pt>
                <c:pt idx="9">
                  <c:v>6.3588862044058692</c:v>
                </c:pt>
                <c:pt idx="10">
                  <c:v>6.9116901587538608</c:v>
                </c:pt>
              </c:numCache>
            </c:numRef>
          </c:xVal>
          <c:yVal>
            <c:numRef>
              <c:f>Sheet1!$Q$247:$Q$257</c:f>
              <c:numCache>
                <c:formatCode>#,##0.000</c:formatCode>
                <c:ptCount val="11"/>
                <c:pt idx="0">
                  <c:v>2.4080267554340555E-2</c:v>
                </c:pt>
                <c:pt idx="1">
                  <c:v>3.8247689206716083E-2</c:v>
                </c:pt>
                <c:pt idx="2">
                  <c:v>0</c:v>
                </c:pt>
                <c:pt idx="3">
                  <c:v>3.8383382253330336E-2</c:v>
                </c:pt>
                <c:pt idx="4">
                  <c:v>2.3700694065274319E-2</c:v>
                </c:pt>
                <c:pt idx="5">
                  <c:v>2.4390890567541776E-2</c:v>
                </c:pt>
                <c:pt idx="6">
                  <c:v>4.4676098287416227E-2</c:v>
                </c:pt>
                <c:pt idx="7">
                  <c:v>6.9200233531537286E-2</c:v>
                </c:pt>
                <c:pt idx="8">
                  <c:v>4.9867745068611462E-2</c:v>
                </c:pt>
                <c:pt idx="9">
                  <c:v>6.5210775632033535E-2</c:v>
                </c:pt>
                <c:pt idx="10">
                  <c:v>4.2533282293394557E-2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AD-4B29-AE0E-7ABD7E0761EF}"/>
            </c:ext>
          </c:extLst>
        </c:ser>
        <c:ser>
          <c:idx val="5"/>
          <c:order val="5"/>
          <c:tx>
            <c:strRef>
              <c:f>Sheet1!$A$270</c:f>
              <c:strCache>
                <c:ptCount val="1"/>
                <c:pt idx="0">
                  <c:v>sample diF524g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Sheet1!$R$273:$R$283</c:f>
                <c:numCache>
                  <c:formatCode>General</c:formatCode>
                  <c:ptCount val="11"/>
                  <c:pt idx="0">
                    <c:v>1.4665635522868025E-2</c:v>
                  </c:pt>
                  <c:pt idx="1">
                    <c:v>8.9537965389688383E-3</c:v>
                  </c:pt>
                  <c:pt idx="2">
                    <c:v>1.3951224969279433E-2</c:v>
                  </c:pt>
                  <c:pt idx="3">
                    <c:v>1.3274963986454943E-2</c:v>
                  </c:pt>
                  <c:pt idx="4">
                    <c:v>9.6573801331114855E-3</c:v>
                  </c:pt>
                  <c:pt idx="5">
                    <c:v>9.2014042478547695E-3</c:v>
                  </c:pt>
                  <c:pt idx="6">
                    <c:v>6.994253691565081E-3</c:v>
                  </c:pt>
                  <c:pt idx="7">
                    <c:v>5.8930360512782932E-3</c:v>
                  </c:pt>
                  <c:pt idx="8">
                    <c:v>5.1105118223885573E-3</c:v>
                  </c:pt>
                  <c:pt idx="9">
                    <c:v>2.4000011916979571E-3</c:v>
                  </c:pt>
                  <c:pt idx="10">
                    <c:v>6.0972120157748826E-3</c:v>
                  </c:pt>
                </c:numCache>
              </c:numRef>
            </c:plus>
            <c:minus>
              <c:numRef>
                <c:f>Sheet1!$R$273:$R$283</c:f>
                <c:numCache>
                  <c:formatCode>General</c:formatCode>
                  <c:ptCount val="11"/>
                  <c:pt idx="0">
                    <c:v>1.4665635522868025E-2</c:v>
                  </c:pt>
                  <c:pt idx="1">
                    <c:v>8.9537965389688383E-3</c:v>
                  </c:pt>
                  <c:pt idx="2">
                    <c:v>1.3951224969279433E-2</c:v>
                  </c:pt>
                  <c:pt idx="3">
                    <c:v>1.3274963986454943E-2</c:v>
                  </c:pt>
                  <c:pt idx="4">
                    <c:v>9.6573801331114855E-3</c:v>
                  </c:pt>
                  <c:pt idx="5">
                    <c:v>9.2014042478547695E-3</c:v>
                  </c:pt>
                  <c:pt idx="6">
                    <c:v>6.994253691565081E-3</c:v>
                  </c:pt>
                  <c:pt idx="7">
                    <c:v>5.8930360512782932E-3</c:v>
                  </c:pt>
                  <c:pt idx="8">
                    <c:v>5.1105118223885573E-3</c:v>
                  </c:pt>
                  <c:pt idx="9">
                    <c:v>2.4000011916979571E-3</c:v>
                  </c:pt>
                  <c:pt idx="10">
                    <c:v>6.0972120157748826E-3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Sheet1!$S$273:$S$283</c:f>
              <c:numCache>
                <c:formatCode>0.00</c:formatCode>
                <c:ptCount val="11"/>
                <c:pt idx="0">
                  <c:v>2.1760912590556813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3.0086001717619175</c:v>
                </c:pt>
                <c:pt idx="4">
                  <c:v>3.1986570869544226</c:v>
                </c:pt>
                <c:pt idx="5">
                  <c:v>3.5465426634781312</c:v>
                </c:pt>
                <c:pt idx="6">
                  <c:v>4.0553783313750005</c:v>
                </c:pt>
                <c:pt idx="7">
                  <c:v>4.8296253533580495</c:v>
                </c:pt>
                <c:pt idx="8">
                  <c:v>5.4170562991191105</c:v>
                </c:pt>
                <c:pt idx="9">
                  <c:v>6.2986711729591294</c:v>
                </c:pt>
                <c:pt idx="10">
                  <c:v>6.818665685531947</c:v>
                </c:pt>
              </c:numCache>
            </c:numRef>
          </c:xVal>
          <c:yVal>
            <c:numRef>
              <c:f>Sheet1!$Q$273:$Q$283</c:f>
              <c:numCache>
                <c:formatCode>#,##0.000</c:formatCode>
                <c:ptCount val="11"/>
                <c:pt idx="0">
                  <c:v>3.478260868960302E-2</c:v>
                </c:pt>
                <c:pt idx="1">
                  <c:v>4.3347381100944903E-2</c:v>
                </c:pt>
                <c:pt idx="2">
                  <c:v>0</c:v>
                </c:pt>
                <c:pt idx="3">
                  <c:v>2.0940415000951843E-2</c:v>
                </c:pt>
                <c:pt idx="4">
                  <c:v>1.6029040832572505E-2</c:v>
                </c:pt>
                <c:pt idx="5">
                  <c:v>3.9044706244483869E-2</c:v>
                </c:pt>
                <c:pt idx="6">
                  <c:v>3.9732063265669963E-2</c:v>
                </c:pt>
                <c:pt idx="7">
                  <c:v>7.4441502316739697E-2</c:v>
                </c:pt>
                <c:pt idx="8">
                  <c:v>4.3989812331732527E-2</c:v>
                </c:pt>
                <c:pt idx="9">
                  <c:v>6.3289839749485891E-2</c:v>
                </c:pt>
                <c:pt idx="10">
                  <c:v>3.9695434146855529E-2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D-4B29-AE0E-7ABD7E0761EF}"/>
            </c:ext>
          </c:extLst>
        </c:ser>
        <c:ser>
          <c:idx val="6"/>
          <c:order val="6"/>
          <c:tx>
            <c:strRef>
              <c:f>Sheet1!$A$343</c:f>
              <c:strCache>
                <c:ptCount val="1"/>
                <c:pt idx="0">
                  <c:v>sample diClp325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Sheet1!$R$346:$R$355</c:f>
                <c:numCache>
                  <c:formatCode>General</c:formatCode>
                  <c:ptCount val="10"/>
                  <c:pt idx="0">
                    <c:v>1.0225955556263624E-2</c:v>
                  </c:pt>
                  <c:pt idx="1">
                    <c:v>8.2201085528301621E-3</c:v>
                  </c:pt>
                  <c:pt idx="2">
                    <c:v>5.1514912078464399E-3</c:v>
                  </c:pt>
                  <c:pt idx="3">
                    <c:v>5.1980169790062369E-3</c:v>
                  </c:pt>
                  <c:pt idx="4">
                    <c:v>3.02269060754301E-3</c:v>
                  </c:pt>
                  <c:pt idx="5">
                    <c:v>3.0944243393848732E-3</c:v>
                  </c:pt>
                  <c:pt idx="6">
                    <c:v>2.3710795855328452E-3</c:v>
                  </c:pt>
                  <c:pt idx="7">
                    <c:v>1.386382798335027E-2</c:v>
                  </c:pt>
                  <c:pt idx="8">
                    <c:v>6.0047953649957286E-4</c:v>
                  </c:pt>
                  <c:pt idx="9">
                    <c:v>3.5612095519369355E-3</c:v>
                  </c:pt>
                </c:numCache>
              </c:numRef>
            </c:plus>
            <c:minus>
              <c:numRef>
                <c:f>Sheet1!$R$346:$R$355</c:f>
                <c:numCache>
                  <c:formatCode>General</c:formatCode>
                  <c:ptCount val="10"/>
                  <c:pt idx="0">
                    <c:v>1.0225955556263624E-2</c:v>
                  </c:pt>
                  <c:pt idx="1">
                    <c:v>8.2201085528301621E-3</c:v>
                  </c:pt>
                  <c:pt idx="2">
                    <c:v>5.1514912078464399E-3</c:v>
                  </c:pt>
                  <c:pt idx="3">
                    <c:v>5.1980169790062369E-3</c:v>
                  </c:pt>
                  <c:pt idx="4">
                    <c:v>3.02269060754301E-3</c:v>
                  </c:pt>
                  <c:pt idx="5">
                    <c:v>3.0944243393848732E-3</c:v>
                  </c:pt>
                  <c:pt idx="6">
                    <c:v>2.3710795855328452E-3</c:v>
                  </c:pt>
                  <c:pt idx="7">
                    <c:v>1.386382798335027E-2</c:v>
                  </c:pt>
                  <c:pt idx="8">
                    <c:v>6.0047953649957286E-4</c:v>
                  </c:pt>
                  <c:pt idx="9">
                    <c:v>3.5612095519369355E-3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Sheet1!$S$346:$S$355</c:f>
              <c:numCache>
                <c:formatCode>0.00</c:formatCode>
                <c:ptCount val="10"/>
                <c:pt idx="0">
                  <c:v>2.8129133566428557</c:v>
                </c:pt>
                <c:pt idx="1">
                  <c:v>3.0293837776852097</c:v>
                </c:pt>
                <c:pt idx="2">
                  <c:v>3.2810333672477277</c:v>
                </c:pt>
                <c:pt idx="3">
                  <c:v>3.5717088318086878</c:v>
                </c:pt>
                <c:pt idx="4">
                  <c:v>3.8621313793130372</c:v>
                </c:pt>
                <c:pt idx="5">
                  <c:v>4.0870712059065353</c:v>
                </c:pt>
                <c:pt idx="6">
                  <c:v>4.7203247174174416</c:v>
                </c:pt>
                <c:pt idx="7">
                  <c:v>5.1012313867906993</c:v>
                </c:pt>
                <c:pt idx="8">
                  <c:v>6.3183242508503952</c:v>
                </c:pt>
                <c:pt idx="9">
                  <c:v>6.6560982020128323</c:v>
                </c:pt>
              </c:numCache>
            </c:numRef>
          </c:xVal>
          <c:yVal>
            <c:numRef>
              <c:f>Sheet1!$Q$346:$Q$355</c:f>
              <c:numCache>
                <c:formatCode>#,##0.000</c:formatCode>
                <c:ptCount val="10"/>
                <c:pt idx="0">
                  <c:v>-3.1343868355752907E-3</c:v>
                </c:pt>
                <c:pt idx="1">
                  <c:v>3.9415252826949528E-2</c:v>
                </c:pt>
                <c:pt idx="2">
                  <c:v>1.4850071394574012E-2</c:v>
                </c:pt>
                <c:pt idx="3">
                  <c:v>4.1671523487585953E-2</c:v>
                </c:pt>
                <c:pt idx="4">
                  <c:v>2.4825983905267801E-2</c:v>
                </c:pt>
                <c:pt idx="5">
                  <c:v>2.5655278573566517E-2</c:v>
                </c:pt>
                <c:pt idx="6">
                  <c:v>4.0421008312189928E-2</c:v>
                </c:pt>
                <c:pt idx="7">
                  <c:v>4.1764176417641768E-2</c:v>
                </c:pt>
                <c:pt idx="8">
                  <c:v>5.5171868457326294E-2</c:v>
                </c:pt>
                <c:pt idx="9">
                  <c:v>1.2627932271395708E-2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AD-4B29-AE0E-7ABD7E0761EF}"/>
            </c:ext>
          </c:extLst>
        </c:ser>
        <c:ser>
          <c:idx val="7"/>
          <c:order val="7"/>
          <c:tx>
            <c:strRef>
              <c:f>Sheet1!$A$368</c:f>
              <c:strCache>
                <c:ptCount val="1"/>
                <c:pt idx="0">
                  <c:v>sample diClp331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Sheet1!$R$371:$R$378</c:f>
                <c:numCache>
                  <c:formatCode>General</c:formatCode>
                  <c:ptCount val="8"/>
                  <c:pt idx="0">
                    <c:v>3.2336300188753773E-3</c:v>
                  </c:pt>
                  <c:pt idx="1">
                    <c:v>4.2419406589709772E-3</c:v>
                  </c:pt>
                  <c:pt idx="2">
                    <c:v>7.3798905623100649E-3</c:v>
                  </c:pt>
                  <c:pt idx="3">
                    <c:v>5.577974417519083E-3</c:v>
                  </c:pt>
                  <c:pt idx="4">
                    <c:v>7.1081986972842256E-3</c:v>
                  </c:pt>
                  <c:pt idx="5">
                    <c:v>4.9106278668665879E-3</c:v>
                  </c:pt>
                  <c:pt idx="6">
                    <c:v>9.9846925114432331E-3</c:v>
                  </c:pt>
                  <c:pt idx="7">
                    <c:v>7.0604701875770573E-3</c:v>
                  </c:pt>
                </c:numCache>
              </c:numRef>
            </c:plus>
            <c:minus>
              <c:numRef>
                <c:f>Sheet1!$R$371:$R$378</c:f>
                <c:numCache>
                  <c:formatCode>General</c:formatCode>
                  <c:ptCount val="8"/>
                  <c:pt idx="0">
                    <c:v>3.2336300188753773E-3</c:v>
                  </c:pt>
                  <c:pt idx="1">
                    <c:v>4.2419406589709772E-3</c:v>
                  </c:pt>
                  <c:pt idx="2">
                    <c:v>7.3798905623100649E-3</c:v>
                  </c:pt>
                  <c:pt idx="3">
                    <c:v>5.577974417519083E-3</c:v>
                  </c:pt>
                  <c:pt idx="4">
                    <c:v>7.1081986972842256E-3</c:v>
                  </c:pt>
                  <c:pt idx="5">
                    <c:v>4.9106278668665879E-3</c:v>
                  </c:pt>
                  <c:pt idx="6">
                    <c:v>9.9846925114432331E-3</c:v>
                  </c:pt>
                  <c:pt idx="7">
                    <c:v>7.0604701875770573E-3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Sheet1!$S$371:$S$378</c:f>
              <c:numCache>
                <c:formatCode>0.00</c:formatCode>
                <c:ptCount val="8"/>
                <c:pt idx="0">
                  <c:v>3.2833012287035497</c:v>
                </c:pt>
                <c:pt idx="1">
                  <c:v>3.7634279935629373</c:v>
                </c:pt>
                <c:pt idx="2">
                  <c:v>4.3106933123433606</c:v>
                </c:pt>
                <c:pt idx="3">
                  <c:v>5.0653929615619919</c:v>
                </c:pt>
                <c:pt idx="4">
                  <c:v>5.7634279935629369</c:v>
                </c:pt>
                <c:pt idx="5">
                  <c:v>6.5465426634781307</c:v>
                </c:pt>
                <c:pt idx="6">
                  <c:v>6.8007170782823847</c:v>
                </c:pt>
                <c:pt idx="7">
                  <c:v>6.9786369483844739</c:v>
                </c:pt>
              </c:numCache>
            </c:numRef>
          </c:xVal>
          <c:yVal>
            <c:numRef>
              <c:f>Sheet1!$Q$371:$Q$378</c:f>
              <c:numCache>
                <c:formatCode>#,##0.000</c:formatCode>
                <c:ptCount val="8"/>
                <c:pt idx="0">
                  <c:v>4.0076144674882276E-2</c:v>
                </c:pt>
                <c:pt idx="1">
                  <c:v>5.123152709359606E-2</c:v>
                </c:pt>
                <c:pt idx="2">
                  <c:v>4.7309679148111669E-2</c:v>
                </c:pt>
                <c:pt idx="3">
                  <c:v>4.69030017921147E-2</c:v>
                </c:pt>
                <c:pt idx="4">
                  <c:v>6.1317025156116443E-2</c:v>
                </c:pt>
                <c:pt idx="5">
                  <c:v>6.9829354514904157E-2</c:v>
                </c:pt>
                <c:pt idx="6">
                  <c:v>3.3725296220518453E-3</c:v>
                </c:pt>
                <c:pt idx="7">
                  <c:v>2.5196464323168511E-2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AD-4B29-AE0E-7ABD7E0761EF}"/>
            </c:ext>
          </c:extLst>
        </c:ser>
        <c:ser>
          <c:idx val="8"/>
          <c:order val="8"/>
          <c:tx>
            <c:strRef>
              <c:f>Sheet1!$A$393</c:f>
              <c:strCache>
                <c:ptCount val="1"/>
                <c:pt idx="0">
                  <c:v>sample diClp354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Sheet1!$R$396:$R$401</c:f>
                <c:numCache>
                  <c:formatCode>General</c:formatCode>
                  <c:ptCount val="6"/>
                  <c:pt idx="0">
                    <c:v>1.3991062744239315E-2</c:v>
                  </c:pt>
                  <c:pt idx="1">
                    <c:v>1.7903377026490075E-3</c:v>
                  </c:pt>
                  <c:pt idx="2">
                    <c:v>2.4051183490500054E-3</c:v>
                  </c:pt>
                  <c:pt idx="3">
                    <c:v>3.7202766874621547E-3</c:v>
                  </c:pt>
                  <c:pt idx="4">
                    <c:v>4.038250793252326E-3</c:v>
                  </c:pt>
                  <c:pt idx="5">
                    <c:v>2.0450884525749003E-3</c:v>
                  </c:pt>
                </c:numCache>
              </c:numRef>
            </c:plus>
            <c:minus>
              <c:numRef>
                <c:f>Sheet1!$R$396:$R$401</c:f>
                <c:numCache>
                  <c:formatCode>General</c:formatCode>
                  <c:ptCount val="6"/>
                  <c:pt idx="0">
                    <c:v>1.3991062744239315E-2</c:v>
                  </c:pt>
                  <c:pt idx="1">
                    <c:v>1.7903377026490075E-3</c:v>
                  </c:pt>
                  <c:pt idx="2">
                    <c:v>2.4051183490500054E-3</c:v>
                  </c:pt>
                  <c:pt idx="3">
                    <c:v>3.7202766874621547E-3</c:v>
                  </c:pt>
                  <c:pt idx="4">
                    <c:v>4.038250793252326E-3</c:v>
                  </c:pt>
                  <c:pt idx="5">
                    <c:v>2.0450884525749003E-3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Sheet1!$S$396:$S$401</c:f>
              <c:numCache>
                <c:formatCode>0.00</c:formatCode>
                <c:ptCount val="6"/>
                <c:pt idx="0">
                  <c:v>2.9242792860618816</c:v>
                </c:pt>
                <c:pt idx="1">
                  <c:v>3.6263403673750423</c:v>
                </c:pt>
                <c:pt idx="2">
                  <c:v>4.2166935991697541</c:v>
                </c:pt>
                <c:pt idx="3">
                  <c:v>5.0324575827149296</c:v>
                </c:pt>
                <c:pt idx="4">
                  <c:v>5.8864907251724823</c:v>
                </c:pt>
                <c:pt idx="5">
                  <c:v>6.7719547489639496</c:v>
                </c:pt>
              </c:numCache>
            </c:numRef>
          </c:xVal>
          <c:yVal>
            <c:numRef>
              <c:f>Sheet1!$Q$396:$Q$401</c:f>
              <c:numCache>
                <c:formatCode>#,##0.000</c:formatCode>
                <c:ptCount val="6"/>
                <c:pt idx="0">
                  <c:v>2.6842755140387597E-2</c:v>
                </c:pt>
                <c:pt idx="1">
                  <c:v>4.2284110784370249E-2</c:v>
                </c:pt>
                <c:pt idx="2">
                  <c:v>5.7993024816849412E-2</c:v>
                </c:pt>
                <c:pt idx="3">
                  <c:v>5.841388682195784E-2</c:v>
                </c:pt>
                <c:pt idx="4">
                  <c:v>5.7390228818800251E-2</c:v>
                </c:pt>
                <c:pt idx="5">
                  <c:v>6.3650861430401481E-2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AD-4B29-AE0E-7ABD7E0761EF}"/>
            </c:ext>
          </c:extLst>
        </c:ser>
        <c:ser>
          <c:idx val="9"/>
          <c:order val="9"/>
          <c:tx>
            <c:strRef>
              <c:f>Sheet1!$A$418</c:f>
              <c:strCache>
                <c:ptCount val="1"/>
                <c:pt idx="0">
                  <c:v>sample diClp355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Sheet1!$R$421:$R$426</c:f>
                <c:numCache>
                  <c:formatCode>General</c:formatCode>
                  <c:ptCount val="6"/>
                  <c:pt idx="0">
                    <c:v>1.3440496271711415E-2</c:v>
                  </c:pt>
                  <c:pt idx="1">
                    <c:v>3.1694598389586173E-3</c:v>
                  </c:pt>
                  <c:pt idx="2">
                    <c:v>9.0898328129221245E-3</c:v>
                  </c:pt>
                  <c:pt idx="3">
                    <c:v>4.9903065163501171E-3</c:v>
                  </c:pt>
                  <c:pt idx="4">
                    <c:v>2.0417689959214853E-3</c:v>
                  </c:pt>
                  <c:pt idx="5">
                    <c:v>3.305487645844556E-3</c:v>
                  </c:pt>
                </c:numCache>
              </c:numRef>
            </c:plus>
            <c:minus>
              <c:numRef>
                <c:f>Sheet1!$R$421:$R$426</c:f>
                <c:numCache>
                  <c:formatCode>General</c:formatCode>
                  <c:ptCount val="6"/>
                  <c:pt idx="0">
                    <c:v>1.3440496271711415E-2</c:v>
                  </c:pt>
                  <c:pt idx="1">
                    <c:v>3.1694598389586173E-3</c:v>
                  </c:pt>
                  <c:pt idx="2">
                    <c:v>9.0898328129221245E-3</c:v>
                  </c:pt>
                  <c:pt idx="3">
                    <c:v>4.9903065163501171E-3</c:v>
                  </c:pt>
                  <c:pt idx="4">
                    <c:v>2.0417689959214853E-3</c:v>
                  </c:pt>
                  <c:pt idx="5">
                    <c:v>3.305487645844556E-3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Sheet1!$S$421:$S$426</c:f>
              <c:numCache>
                <c:formatCode>0.00</c:formatCode>
                <c:ptCount val="6"/>
                <c:pt idx="0">
                  <c:v>2.7708520116421442</c:v>
                </c:pt>
                <c:pt idx="1">
                  <c:v>3.5051499783199058</c:v>
                </c:pt>
                <c:pt idx="2">
                  <c:v>4.062205808819713</c:v>
                </c:pt>
                <c:pt idx="3">
                  <c:v>4.9834007381805385</c:v>
                </c:pt>
                <c:pt idx="4">
                  <c:v>5.92813970687512</c:v>
                </c:pt>
                <c:pt idx="5">
                  <c:v>6.6232492903979008</c:v>
                </c:pt>
              </c:numCache>
            </c:numRef>
          </c:xVal>
          <c:yVal>
            <c:numRef>
              <c:f>Sheet1!$Q$421:$Q$426</c:f>
              <c:numCache>
                <c:formatCode>#,##0.000</c:formatCode>
                <c:ptCount val="6"/>
                <c:pt idx="0">
                  <c:v>4.3702971802082533E-2</c:v>
                </c:pt>
                <c:pt idx="1">
                  <c:v>6.3083121289228161E-2</c:v>
                </c:pt>
                <c:pt idx="2">
                  <c:v>3.3460607152822334E-2</c:v>
                </c:pt>
                <c:pt idx="3">
                  <c:v>6.2313923700062342E-2</c:v>
                </c:pt>
                <c:pt idx="4">
                  <c:v>6.0573307212501933E-2</c:v>
                </c:pt>
                <c:pt idx="5">
                  <c:v>5.2735143644234574E-2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AD-4B29-AE0E-7ABD7E0761EF}"/>
            </c:ext>
          </c:extLst>
        </c:ser>
        <c:ser>
          <c:idx val="10"/>
          <c:order val="10"/>
          <c:tx>
            <c:strRef>
              <c:f>Sheet1!$A$443</c:f>
              <c:strCache>
                <c:ptCount val="1"/>
                <c:pt idx="0">
                  <c:v>sample diClp358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Sheet1!$R$446:$R$453</c:f>
                <c:numCache>
                  <c:formatCode>General</c:formatCode>
                  <c:ptCount val="8"/>
                  <c:pt idx="0">
                    <c:v>4.2854299193654539E-3</c:v>
                  </c:pt>
                  <c:pt idx="1">
                    <c:v>3.4887493131113409E-3</c:v>
                  </c:pt>
                  <c:pt idx="2">
                    <c:v>1.2754453251791279E-2</c:v>
                  </c:pt>
                  <c:pt idx="3">
                    <c:v>7.4685603841323457E-3</c:v>
                  </c:pt>
                  <c:pt idx="4">
                    <c:v>7.5743408303695012E-3</c:v>
                  </c:pt>
                  <c:pt idx="5">
                    <c:v>3.8753817267619651E-3</c:v>
                  </c:pt>
                  <c:pt idx="6">
                    <c:v>4.8399998571534378E-3</c:v>
                  </c:pt>
                  <c:pt idx="7">
                    <c:v>6.2940335820269892E-3</c:v>
                  </c:pt>
                </c:numCache>
              </c:numRef>
            </c:plus>
            <c:minus>
              <c:numRef>
                <c:f>Sheet1!$R$446:$R$453</c:f>
                <c:numCache>
                  <c:formatCode>General</c:formatCode>
                  <c:ptCount val="8"/>
                  <c:pt idx="0">
                    <c:v>4.2854299193654539E-3</c:v>
                  </c:pt>
                  <c:pt idx="1">
                    <c:v>3.4887493131113409E-3</c:v>
                  </c:pt>
                  <c:pt idx="2">
                    <c:v>1.2754453251791279E-2</c:v>
                  </c:pt>
                  <c:pt idx="3">
                    <c:v>7.4685603841323457E-3</c:v>
                  </c:pt>
                  <c:pt idx="4">
                    <c:v>7.5743408303695012E-3</c:v>
                  </c:pt>
                  <c:pt idx="5">
                    <c:v>3.8753817267619651E-3</c:v>
                  </c:pt>
                  <c:pt idx="6">
                    <c:v>4.8399998571534378E-3</c:v>
                  </c:pt>
                  <c:pt idx="7">
                    <c:v>6.2940335820269892E-3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Sheet1!$S$446:$S$453</c:f>
              <c:numCache>
                <c:formatCode>0.00</c:formatCode>
                <c:ptCount val="8"/>
                <c:pt idx="0">
                  <c:v>3.0863598306747484</c:v>
                </c:pt>
                <c:pt idx="1">
                  <c:v>3.5751878449276608</c:v>
                </c:pt>
                <c:pt idx="2">
                  <c:v>3.7315887651867388</c:v>
                </c:pt>
                <c:pt idx="3">
                  <c:v>4.0549958615291413</c:v>
                </c:pt>
                <c:pt idx="4">
                  <c:v>4.6651117370750512</c:v>
                </c:pt>
                <c:pt idx="5">
                  <c:v>5.4432629874586951</c:v>
                </c:pt>
                <c:pt idx="6">
                  <c:v>6.0644579892269181</c:v>
                </c:pt>
                <c:pt idx="7">
                  <c:v>6.5611013836490564</c:v>
                </c:pt>
              </c:numCache>
            </c:numRef>
          </c:xVal>
          <c:yVal>
            <c:numRef>
              <c:f>Sheet1!$Q$446:$Q$453</c:f>
              <c:numCache>
                <c:formatCode>#,##0.000</c:formatCode>
                <c:ptCount val="8"/>
                <c:pt idx="0">
                  <c:v>3.4603572818893542E-2</c:v>
                </c:pt>
                <c:pt idx="1">
                  <c:v>3.7421148294664829E-2</c:v>
                </c:pt>
                <c:pt idx="2">
                  <c:v>1.0444581873153303E-2</c:v>
                </c:pt>
                <c:pt idx="3">
                  <c:v>4.1761095974128484E-2</c:v>
                </c:pt>
                <c:pt idx="4">
                  <c:v>4.7415836889521078E-2</c:v>
                </c:pt>
                <c:pt idx="5">
                  <c:v>6.0283331658796388E-2</c:v>
                </c:pt>
                <c:pt idx="6">
                  <c:v>6.4774242712897612E-2</c:v>
                </c:pt>
                <c:pt idx="7">
                  <c:v>4.1054835575383558E-2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AD-4B29-AE0E-7ABD7E0761EF}"/>
            </c:ext>
          </c:extLst>
        </c:ser>
        <c:ser>
          <c:idx val="11"/>
          <c:order val="11"/>
          <c:tx>
            <c:strRef>
              <c:f>Sheet1!$A$468</c:f>
              <c:strCache>
                <c:ptCount val="1"/>
                <c:pt idx="0">
                  <c:v>sample diClp360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Sheet1!$R$471:$R$476</c:f>
                <c:numCache>
                  <c:formatCode>General</c:formatCode>
                  <c:ptCount val="6"/>
                  <c:pt idx="0">
                    <c:v>5.502989719338095E-3</c:v>
                  </c:pt>
                  <c:pt idx="1">
                    <c:v>3.8289402445786705E-3</c:v>
                  </c:pt>
                  <c:pt idx="2">
                    <c:v>5.327593356603386E-3</c:v>
                  </c:pt>
                  <c:pt idx="3">
                    <c:v>6.032800698794469E-3</c:v>
                  </c:pt>
                  <c:pt idx="4">
                    <c:v>2.9231927701725479E-3</c:v>
                  </c:pt>
                  <c:pt idx="5">
                    <c:v>3.3434405242552395E-3</c:v>
                  </c:pt>
                </c:numCache>
              </c:numRef>
            </c:plus>
            <c:minus>
              <c:numRef>
                <c:f>Sheet1!$R$471:$R$476</c:f>
                <c:numCache>
                  <c:formatCode>General</c:formatCode>
                  <c:ptCount val="6"/>
                  <c:pt idx="0">
                    <c:v>5.502989719338095E-3</c:v>
                  </c:pt>
                  <c:pt idx="1">
                    <c:v>3.8289402445786705E-3</c:v>
                  </c:pt>
                  <c:pt idx="2">
                    <c:v>5.327593356603386E-3</c:v>
                  </c:pt>
                  <c:pt idx="3">
                    <c:v>6.032800698794469E-3</c:v>
                  </c:pt>
                  <c:pt idx="4">
                    <c:v>2.9231927701725479E-3</c:v>
                  </c:pt>
                  <c:pt idx="5">
                    <c:v>3.3434405242552395E-3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Sheet1!$S$471:$S$476</c:f>
              <c:numCache>
                <c:formatCode>0.00</c:formatCode>
                <c:ptCount val="6"/>
                <c:pt idx="0">
                  <c:v>3.0755469613925306</c:v>
                </c:pt>
                <c:pt idx="1">
                  <c:v>3.6680751513945196</c:v>
                </c:pt>
                <c:pt idx="2">
                  <c:v>4.377063289113944</c:v>
                </c:pt>
                <c:pt idx="3">
                  <c:v>5.0969100130080562</c:v>
                </c:pt>
                <c:pt idx="4">
                  <c:v>5.9590413923210939</c:v>
                </c:pt>
                <c:pt idx="5">
                  <c:v>6.7391766319107296</c:v>
                </c:pt>
              </c:numCache>
            </c:numRef>
          </c:xVal>
          <c:yVal>
            <c:numRef>
              <c:f>Sheet1!$Q$471:$Q$476</c:f>
              <c:numCache>
                <c:formatCode>#,##0.000</c:formatCode>
                <c:ptCount val="6"/>
                <c:pt idx="0">
                  <c:v>2.3246496950752048E-2</c:v>
                </c:pt>
                <c:pt idx="1">
                  <c:v>6.7490491085286916E-2</c:v>
                </c:pt>
                <c:pt idx="2">
                  <c:v>5.22147130988765E-2</c:v>
                </c:pt>
                <c:pt idx="3">
                  <c:v>5.1948051948051938E-2</c:v>
                </c:pt>
                <c:pt idx="4">
                  <c:v>6.3572790845518146E-2</c:v>
                </c:pt>
                <c:pt idx="5">
                  <c:v>7.7634307351718404E-2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AD-4B29-AE0E-7ABD7E0761EF}"/>
            </c:ext>
          </c:extLst>
        </c:ser>
        <c:ser>
          <c:idx val="12"/>
          <c:order val="12"/>
          <c:tx>
            <c:strRef>
              <c:f>Sheet1!$A$493</c:f>
              <c:strCache>
                <c:ptCount val="1"/>
                <c:pt idx="0">
                  <c:v>sample diClp361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Sheet1!$R$496:$R$501</c:f>
                <c:numCache>
                  <c:formatCode>General</c:formatCode>
                  <c:ptCount val="6"/>
                  <c:pt idx="0">
                    <c:v>4.7744615288928295E-3</c:v>
                  </c:pt>
                  <c:pt idx="1">
                    <c:v>6.0367568009907996E-3</c:v>
                  </c:pt>
                  <c:pt idx="2">
                    <c:v>4.6249216109601546E-3</c:v>
                  </c:pt>
                  <c:pt idx="3">
                    <c:v>6.7904212602840873E-3</c:v>
                  </c:pt>
                  <c:pt idx="4">
                    <c:v>2.7891433429057307E-3</c:v>
                  </c:pt>
                  <c:pt idx="5">
                    <c:v>3.3434405242552395E-3</c:v>
                  </c:pt>
                </c:numCache>
              </c:numRef>
            </c:plus>
            <c:minus>
              <c:numRef>
                <c:f>Sheet1!$R$496:$R$501</c:f>
                <c:numCache>
                  <c:formatCode>General</c:formatCode>
                  <c:ptCount val="6"/>
                  <c:pt idx="0">
                    <c:v>4.7744615288928295E-3</c:v>
                  </c:pt>
                  <c:pt idx="1">
                    <c:v>6.0367568009907996E-3</c:v>
                  </c:pt>
                  <c:pt idx="2">
                    <c:v>4.6249216109601546E-3</c:v>
                  </c:pt>
                  <c:pt idx="3">
                    <c:v>6.7904212602840873E-3</c:v>
                  </c:pt>
                  <c:pt idx="4">
                    <c:v>2.7891433429057307E-3</c:v>
                  </c:pt>
                  <c:pt idx="5">
                    <c:v>3.3434405242552395E-3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Sheet1!$S$496:$S$501</c:f>
              <c:numCache>
                <c:formatCode>0.00</c:formatCode>
                <c:ptCount val="6"/>
                <c:pt idx="0">
                  <c:v>3.12057393120585</c:v>
                </c:pt>
                <c:pt idx="1">
                  <c:v>3.6473829701146196</c:v>
                </c:pt>
                <c:pt idx="2">
                  <c:v>4.3911116137028028</c:v>
                </c:pt>
                <c:pt idx="3">
                  <c:v>5.0559514053291501</c:v>
                </c:pt>
                <c:pt idx="4">
                  <c:v>5.9530344572503564</c:v>
                </c:pt>
                <c:pt idx="5">
                  <c:v>6.7391766319107296</c:v>
                </c:pt>
              </c:numCache>
            </c:numRef>
          </c:xVal>
          <c:yVal>
            <c:numRef>
              <c:f>Sheet1!$Q$496:$Q$501</c:f>
              <c:numCache>
                <c:formatCode>#,##0.000</c:formatCode>
                <c:ptCount val="6"/>
                <c:pt idx="0">
                  <c:v>3.7521440823327611E-2</c:v>
                </c:pt>
                <c:pt idx="1">
                  <c:v>5.3827412317978357E-2</c:v>
                </c:pt>
                <c:pt idx="2">
                  <c:v>5.6026224908182286E-2</c:v>
                </c:pt>
                <c:pt idx="3">
                  <c:v>4.7778308647873864E-2</c:v>
                </c:pt>
                <c:pt idx="4">
                  <c:v>6.5690679875487393E-2</c:v>
                </c:pt>
                <c:pt idx="5">
                  <c:v>7.7634307351718404E-2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AD-4B29-AE0E-7ABD7E07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01200"/>
        <c:axId val="1694102032"/>
      </c:scatterChart>
      <c:valAx>
        <c:axId val="16941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log10(cell density (cell/ml))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02032"/>
        <c:crosses val="autoZero"/>
        <c:crossBetween val="midCat"/>
      </c:valAx>
      <c:valAx>
        <c:axId val="169410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Proliferation Rate, </a:t>
                </a:r>
                <a:r>
                  <a:rPr lang="el-GR" sz="1100" baseline="0"/>
                  <a:t>γ</a:t>
                </a:r>
                <a:r>
                  <a:rPr lang="en-US" sz="1100" baseline="0"/>
                  <a:t> (1/ 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Sheet1!$A$138</c:f>
              <c:strCache>
                <c:ptCount val="1"/>
                <c:pt idx="0">
                  <c:v>sample diF524b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Sheet1!$R$141:$R$152</c:f>
                <c:numCache>
                  <c:formatCode>General</c:formatCode>
                  <c:ptCount val="12"/>
                  <c:pt idx="0">
                    <c:v>9.4646554257423188E-3</c:v>
                  </c:pt>
                  <c:pt idx="1">
                    <c:v>1.065076492386116E-2</c:v>
                  </c:pt>
                  <c:pt idx="2">
                    <c:v>1.2007302658936072E-2</c:v>
                  </c:pt>
                  <c:pt idx="3">
                    <c:v>1.0802380709689863E-2</c:v>
                  </c:pt>
                  <c:pt idx="4">
                    <c:v>7.5475024667393809E-3</c:v>
                  </c:pt>
                  <c:pt idx="5">
                    <c:v>9.2386375320447894E-3</c:v>
                  </c:pt>
                  <c:pt idx="6">
                    <c:v>7.9745327644757721E-3</c:v>
                  </c:pt>
                  <c:pt idx="7">
                    <c:v>8.0920682266078653E-3</c:v>
                  </c:pt>
                  <c:pt idx="8">
                    <c:v>5.9230271955337064E-3</c:v>
                  </c:pt>
                  <c:pt idx="9">
                    <c:v>3.1271369020634994E-3</c:v>
                  </c:pt>
                  <c:pt idx="10">
                    <c:v>3.8235845603388926E-3</c:v>
                  </c:pt>
                  <c:pt idx="11">
                    <c:v>9.4711862402927938E-3</c:v>
                  </c:pt>
                </c:numCache>
              </c:numRef>
            </c:plus>
            <c:minus>
              <c:numRef>
                <c:f>Sheet1!$R$141:$R$152</c:f>
                <c:numCache>
                  <c:formatCode>General</c:formatCode>
                  <c:ptCount val="12"/>
                  <c:pt idx="0">
                    <c:v>9.4646554257423188E-3</c:v>
                  </c:pt>
                  <c:pt idx="1">
                    <c:v>1.065076492386116E-2</c:v>
                  </c:pt>
                  <c:pt idx="2">
                    <c:v>1.2007302658936072E-2</c:v>
                  </c:pt>
                  <c:pt idx="3">
                    <c:v>1.0802380709689863E-2</c:v>
                  </c:pt>
                  <c:pt idx="4">
                    <c:v>7.5475024667393809E-3</c:v>
                  </c:pt>
                  <c:pt idx="5">
                    <c:v>9.2386375320447894E-3</c:v>
                  </c:pt>
                  <c:pt idx="6">
                    <c:v>7.9745327644757721E-3</c:v>
                  </c:pt>
                  <c:pt idx="7">
                    <c:v>8.0920682266078653E-3</c:v>
                  </c:pt>
                  <c:pt idx="8">
                    <c:v>5.9230271955337064E-3</c:v>
                  </c:pt>
                  <c:pt idx="9">
                    <c:v>3.1271369020634994E-3</c:v>
                  </c:pt>
                  <c:pt idx="10">
                    <c:v>3.8235845603388926E-3</c:v>
                  </c:pt>
                  <c:pt idx="11">
                    <c:v>9.4711862402927938E-3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Sheet1!$S$141:$S$152</c:f>
              <c:numCache>
                <c:formatCode>0.00</c:formatCode>
                <c:ptCount val="12"/>
                <c:pt idx="0">
                  <c:v>2.3222192947339191</c:v>
                </c:pt>
                <c:pt idx="1">
                  <c:v>2.6334684555795866</c:v>
                </c:pt>
                <c:pt idx="2">
                  <c:v>2.7323937598229686</c:v>
                </c:pt>
                <c:pt idx="3">
                  <c:v>2.9493900066449128</c:v>
                </c:pt>
                <c:pt idx="4">
                  <c:v>3.3222192947339191</c:v>
                </c:pt>
                <c:pt idx="5">
                  <c:v>3.5314789170422549</c:v>
                </c:pt>
                <c:pt idx="6">
                  <c:v>3.6589648426644348</c:v>
                </c:pt>
                <c:pt idx="7">
                  <c:v>4.0659529803138694</c:v>
                </c:pt>
                <c:pt idx="8">
                  <c:v>4.5440680443502757</c:v>
                </c:pt>
                <c:pt idx="9">
                  <c:v>5.2977605110991339</c:v>
                </c:pt>
                <c:pt idx="10">
                  <c:v>6.0907869279492672</c:v>
                </c:pt>
                <c:pt idx="11">
                  <c:v>6.4857214264815797</c:v>
                </c:pt>
              </c:numCache>
            </c:numRef>
          </c:xVal>
          <c:yVal>
            <c:numRef>
              <c:f>Sheet1!$Q$141:$Q$152</c:f>
              <c:numCache>
                <c:formatCode>#,##0.000</c:formatCode>
                <c:ptCount val="12"/>
                <c:pt idx="0">
                  <c:v>5.4658385083661887E-2</c:v>
                </c:pt>
                <c:pt idx="1">
                  <c:v>1.8481441554666429E-2</c:v>
                </c:pt>
                <c:pt idx="2">
                  <c:v>0</c:v>
                </c:pt>
                <c:pt idx="3">
                  <c:v>3.8180429802552644E-2</c:v>
                </c:pt>
                <c:pt idx="4">
                  <c:v>3.0504566783332663E-2</c:v>
                </c:pt>
                <c:pt idx="5">
                  <c:v>1.1116257542547173E-2</c:v>
                </c:pt>
                <c:pt idx="6">
                  <c:v>1.1420957456933471E-2</c:v>
                </c:pt>
                <c:pt idx="7">
                  <c:v>5.500588103965319E-2</c:v>
                </c:pt>
                <c:pt idx="8">
                  <c:v>3.883125545705482E-2</c:v>
                </c:pt>
                <c:pt idx="9">
                  <c:v>5.8651809020352129E-2</c:v>
                </c:pt>
                <c:pt idx="10">
                  <c:v>6.2615750948055382E-2</c:v>
                </c:pt>
                <c:pt idx="11">
                  <c:v>2.6481857110660367E-2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5-41B0-838C-3B5C86EC545D}"/>
            </c:ext>
          </c:extLst>
        </c:ser>
        <c:ser>
          <c:idx val="0"/>
          <c:order val="1"/>
          <c:tx>
            <c:strRef>
              <c:f>Sheet1!$A$166</c:f>
              <c:strCache>
                <c:ptCount val="1"/>
                <c:pt idx="0">
                  <c:v>sample diF524c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Sheet1!$R$169:$R$178</c:f>
                <c:numCache>
                  <c:formatCode>General</c:formatCode>
                  <c:ptCount val="10"/>
                  <c:pt idx="0">
                    <c:v>9.4646554257423188E-3</c:v>
                  </c:pt>
                  <c:pt idx="1">
                    <c:v>9.8905806926839254E-3</c:v>
                  </c:pt>
                  <c:pt idx="2">
                    <c:v>1.3951224969279433E-2</c:v>
                  </c:pt>
                  <c:pt idx="3">
                    <c:v>1.2538570875033954E-2</c:v>
                  </c:pt>
                  <c:pt idx="4">
                    <c:v>1.0260619962535703E-2</c:v>
                  </c:pt>
                  <c:pt idx="5">
                    <c:v>5.5852374309180424E-3</c:v>
                  </c:pt>
                  <c:pt idx="6">
                    <c:v>3.3343367185818952E-3</c:v>
                  </c:pt>
                  <c:pt idx="7">
                    <c:v>1.6671773672130303E-3</c:v>
                  </c:pt>
                  <c:pt idx="8">
                    <c:v>4.3267008670085459E-3</c:v>
                  </c:pt>
                  <c:pt idx="9">
                    <c:v>4.4167966415490775E-3</c:v>
                  </c:pt>
                </c:numCache>
              </c:numRef>
            </c:plus>
            <c:minus>
              <c:numRef>
                <c:f>Sheet1!$R$169:$R$178</c:f>
                <c:numCache>
                  <c:formatCode>General</c:formatCode>
                  <c:ptCount val="10"/>
                  <c:pt idx="0">
                    <c:v>9.4646554257423188E-3</c:v>
                  </c:pt>
                  <c:pt idx="1">
                    <c:v>9.8905806926839254E-3</c:v>
                  </c:pt>
                  <c:pt idx="2">
                    <c:v>1.3951224969279433E-2</c:v>
                  </c:pt>
                  <c:pt idx="3">
                    <c:v>1.2538570875033954E-2</c:v>
                  </c:pt>
                  <c:pt idx="4">
                    <c:v>1.0260619962535703E-2</c:v>
                  </c:pt>
                  <c:pt idx="5">
                    <c:v>5.5852374309180424E-3</c:v>
                  </c:pt>
                  <c:pt idx="6">
                    <c:v>3.3343367185818952E-3</c:v>
                  </c:pt>
                  <c:pt idx="7">
                    <c:v>1.6671773672130303E-3</c:v>
                  </c:pt>
                  <c:pt idx="8">
                    <c:v>4.3267008670085459E-3</c:v>
                  </c:pt>
                  <c:pt idx="9">
                    <c:v>4.4167966415490775E-3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Sheet1!$S$169:$S$178</c:f>
              <c:numCache>
                <c:formatCode>0.00</c:formatCode>
                <c:ptCount val="10"/>
                <c:pt idx="0">
                  <c:v>2.3222192947339191</c:v>
                </c:pt>
                <c:pt idx="1">
                  <c:v>2.7481880270062002</c:v>
                </c:pt>
                <c:pt idx="2">
                  <c:v>2.9030899869919438</c:v>
                </c:pt>
                <c:pt idx="3">
                  <c:v>3.12057393120585</c:v>
                </c:pt>
                <c:pt idx="4">
                  <c:v>3.3180633349627615</c:v>
                </c:pt>
                <c:pt idx="5">
                  <c:v>3.8142475957319202</c:v>
                </c:pt>
                <c:pt idx="6">
                  <c:v>4.5232260419657013</c:v>
                </c:pt>
                <c:pt idx="7">
                  <c:v>5.7015679850559273</c:v>
                </c:pt>
                <c:pt idx="8">
                  <c:v>6.312811826212088</c:v>
                </c:pt>
                <c:pt idx="9">
                  <c:v>6.8609366207000937</c:v>
                </c:pt>
              </c:numCache>
            </c:numRef>
          </c:xVal>
          <c:yVal>
            <c:numRef>
              <c:f>Sheet1!$Q$169:$Q$178</c:f>
              <c:numCache>
                <c:formatCode>#,##0.000</c:formatCode>
                <c:ptCount val="10"/>
                <c:pt idx="0">
                  <c:v>5.4658385083661887E-2</c:v>
                </c:pt>
                <c:pt idx="1">
                  <c:v>3.0962415072103497E-2</c:v>
                </c:pt>
                <c:pt idx="2">
                  <c:v>0</c:v>
                </c:pt>
                <c:pt idx="3">
                  <c:v>3.8246543100912044E-2</c:v>
                </c:pt>
                <c:pt idx="4">
                  <c:v>8.5947571885060716E-3</c:v>
                </c:pt>
                <c:pt idx="5">
                  <c:v>5.5333295352612111E-2</c:v>
                </c:pt>
                <c:pt idx="6">
                  <c:v>4.9089119301303968E-2</c:v>
                </c:pt>
                <c:pt idx="7">
                  <c:v>8.9463220525838272E-2</c:v>
                </c:pt>
                <c:pt idx="8">
                  <c:v>4.2988372829586244E-2</c:v>
                </c:pt>
                <c:pt idx="9">
                  <c:v>4.4790875711659343E-2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5-41B0-838C-3B5C86EC545D}"/>
            </c:ext>
          </c:extLst>
        </c:ser>
        <c:ser>
          <c:idx val="2"/>
          <c:order val="2"/>
          <c:tx>
            <c:strRef>
              <c:f>Sheet1!$A$192</c:f>
              <c:strCache>
                <c:ptCount val="1"/>
                <c:pt idx="0">
                  <c:v>sample diF524d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Sheet1!$R$195:$R$204</c:f>
                <c:numCache>
                  <c:formatCode>General</c:formatCode>
                  <c:ptCount val="10"/>
                  <c:pt idx="0">
                    <c:v>1.5971606030940163E-2</c:v>
                  </c:pt>
                  <c:pt idx="1">
                    <c:v>9.5401175059609458E-3</c:v>
                  </c:pt>
                  <c:pt idx="2">
                    <c:v>1.1205893557192408E-2</c:v>
                  </c:pt>
                  <c:pt idx="3">
                    <c:v>1.0561050077750869E-2</c:v>
                  </c:pt>
                  <c:pt idx="4">
                    <c:v>8.1500676741932763E-3</c:v>
                  </c:pt>
                  <c:pt idx="5">
                    <c:v>7.503921503789427E-3</c:v>
                  </c:pt>
                  <c:pt idx="6">
                    <c:v>4.6904657801475277E-3</c:v>
                  </c:pt>
                  <c:pt idx="7">
                    <c:v>3.0500048578882199E-3</c:v>
                  </c:pt>
                  <c:pt idx="8">
                    <c:v>5.4340169370438469E-3</c:v>
                  </c:pt>
                  <c:pt idx="9">
                    <c:v>2.9357139625260397E-3</c:v>
                  </c:pt>
                </c:numCache>
              </c:numRef>
            </c:plus>
            <c:minus>
              <c:numRef>
                <c:f>Sheet1!$R$195:$R$204</c:f>
                <c:numCache>
                  <c:formatCode>General</c:formatCode>
                  <c:ptCount val="10"/>
                  <c:pt idx="0">
                    <c:v>1.5971606030940163E-2</c:v>
                  </c:pt>
                  <c:pt idx="1">
                    <c:v>9.5401175059609458E-3</c:v>
                  </c:pt>
                  <c:pt idx="2">
                    <c:v>1.1205893557192408E-2</c:v>
                  </c:pt>
                  <c:pt idx="3">
                    <c:v>1.0561050077750869E-2</c:v>
                  </c:pt>
                  <c:pt idx="4">
                    <c:v>8.1500676741932763E-3</c:v>
                  </c:pt>
                  <c:pt idx="5">
                    <c:v>7.503921503789427E-3</c:v>
                  </c:pt>
                  <c:pt idx="6">
                    <c:v>4.6904657801475277E-3</c:v>
                  </c:pt>
                  <c:pt idx="7">
                    <c:v>3.0500048578882199E-3</c:v>
                  </c:pt>
                  <c:pt idx="8">
                    <c:v>5.4340169370438469E-3</c:v>
                  </c:pt>
                  <c:pt idx="9">
                    <c:v>2.9357139625260397E-3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Sheet1!$S$195:$S$204</c:f>
              <c:numCache>
                <c:formatCode>0.00</c:formatCode>
                <c:ptCount val="10"/>
                <c:pt idx="0">
                  <c:v>2.1461280356782382</c:v>
                </c:pt>
                <c:pt idx="1">
                  <c:v>2.6020599913279625</c:v>
                </c:pt>
                <c:pt idx="2">
                  <c:v>2.7923916894982539</c:v>
                </c:pt>
                <c:pt idx="3">
                  <c:v>2.9867717342662448</c:v>
                </c:pt>
                <c:pt idx="4">
                  <c:v>3.2966651902615309</c:v>
                </c:pt>
                <c:pt idx="5">
                  <c:v>3.7058637122839193</c:v>
                </c:pt>
                <c:pt idx="6">
                  <c:v>4.3044905277734875</c:v>
                </c:pt>
                <c:pt idx="7">
                  <c:v>5.3451776165427036</c:v>
                </c:pt>
                <c:pt idx="8">
                  <c:v>5.9111576087399769</c:v>
                </c:pt>
                <c:pt idx="9">
                  <c:v>6.6785183790401144</c:v>
                </c:pt>
              </c:numCache>
            </c:numRef>
          </c:xVal>
          <c:yVal>
            <c:numRef>
              <c:f>Sheet1!$Q$195:$Q$204</c:f>
              <c:numCache>
                <c:formatCode>#,##0.000</c:formatCode>
                <c:ptCount val="10"/>
                <c:pt idx="0">
                  <c:v>2.9813664591088303E-2</c:v>
                </c:pt>
                <c:pt idx="1">
                  <c:v>3.9735099342532824E-2</c:v>
                </c:pt>
                <c:pt idx="2">
                  <c:v>0</c:v>
                </c:pt>
                <c:pt idx="3">
                  <c:v>3.5031528375537996E-2</c:v>
                </c:pt>
                <c:pt idx="4">
                  <c:v>2.4829298544573098E-2</c:v>
                </c:pt>
                <c:pt idx="5">
                  <c:v>4.1258264393777444E-2</c:v>
                </c:pt>
                <c:pt idx="6">
                  <c:v>4.5351473922902487E-2</c:v>
                </c:pt>
                <c:pt idx="7">
                  <c:v>8.5756897693547357E-2</c:v>
                </c:pt>
                <c:pt idx="8">
                  <c:v>3.9728115922320617E-2</c:v>
                </c:pt>
                <c:pt idx="9">
                  <c:v>5.9144487405523201E-2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C5-41B0-838C-3B5C86EC545D}"/>
            </c:ext>
          </c:extLst>
        </c:ser>
        <c:ser>
          <c:idx val="3"/>
          <c:order val="3"/>
          <c:tx>
            <c:strRef>
              <c:f>Sheet1!$A$218</c:f>
              <c:strCache>
                <c:ptCount val="1"/>
                <c:pt idx="0">
                  <c:v>sample diF524e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Sheet1!$R$221:$R$231</c:f>
                <c:numCache>
                  <c:formatCode>General</c:formatCode>
                  <c:ptCount val="11"/>
                  <c:pt idx="0">
                    <c:v>1.1612081400441019E-2</c:v>
                  </c:pt>
                  <c:pt idx="1">
                    <c:v>1.0307144124567241E-2</c:v>
                  </c:pt>
                  <c:pt idx="2">
                    <c:v>1.1585861721212891E-2</c:v>
                  </c:pt>
                  <c:pt idx="3">
                    <c:v>9.0932002743308073E-3</c:v>
                  </c:pt>
                  <c:pt idx="4">
                    <c:v>8.9124625371067769E-3</c:v>
                  </c:pt>
                  <c:pt idx="5">
                    <c:v>7.7299653474575594E-3</c:v>
                  </c:pt>
                  <c:pt idx="6">
                    <c:v>3.9916245006175093E-3</c:v>
                  </c:pt>
                  <c:pt idx="7">
                    <c:v>3.063319529730579E-3</c:v>
                  </c:pt>
                  <c:pt idx="8">
                    <c:v>5.3770155278652166E-3</c:v>
                  </c:pt>
                  <c:pt idx="9">
                    <c:v>5.1203428780297227E-3</c:v>
                  </c:pt>
                  <c:pt idx="10">
                    <c:v>8.034441096181769E-3</c:v>
                  </c:pt>
                </c:numCache>
              </c:numRef>
            </c:plus>
            <c:minus>
              <c:numRef>
                <c:f>Sheet1!$R$221:$R$231</c:f>
                <c:numCache>
                  <c:formatCode>General</c:formatCode>
                  <c:ptCount val="11"/>
                  <c:pt idx="0">
                    <c:v>1.1612081400441019E-2</c:v>
                  </c:pt>
                  <c:pt idx="1">
                    <c:v>1.0307144124567241E-2</c:v>
                  </c:pt>
                  <c:pt idx="2">
                    <c:v>1.1585861721212891E-2</c:v>
                  </c:pt>
                  <c:pt idx="3">
                    <c:v>9.0932002743308073E-3</c:v>
                  </c:pt>
                  <c:pt idx="4">
                    <c:v>8.9124625371067769E-3</c:v>
                  </c:pt>
                  <c:pt idx="5">
                    <c:v>7.7299653474575594E-3</c:v>
                  </c:pt>
                  <c:pt idx="6">
                    <c:v>3.9916245006175093E-3</c:v>
                  </c:pt>
                  <c:pt idx="7">
                    <c:v>3.063319529730579E-3</c:v>
                  </c:pt>
                  <c:pt idx="8">
                    <c:v>5.3770155278652166E-3</c:v>
                  </c:pt>
                  <c:pt idx="9">
                    <c:v>5.1203428780297227E-3</c:v>
                  </c:pt>
                  <c:pt idx="10">
                    <c:v>8.034441096181769E-3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Sheet1!$S$221:$S$231</c:f>
              <c:numCache>
                <c:formatCode>0.00</c:formatCode>
                <c:ptCount val="11"/>
                <c:pt idx="0">
                  <c:v>2.255272505103306</c:v>
                </c:pt>
                <c:pt idx="1">
                  <c:v>2.6232492903979003</c:v>
                </c:pt>
                <c:pt idx="2">
                  <c:v>2.7634279935629373</c:v>
                </c:pt>
                <c:pt idx="3">
                  <c:v>3.0453229787866576</c:v>
                </c:pt>
                <c:pt idx="4">
                  <c:v>3.287801729930226</c:v>
                </c:pt>
                <c:pt idx="5">
                  <c:v>3.6589648426644348</c:v>
                </c:pt>
                <c:pt idx="6">
                  <c:v>4.34713478291002</c:v>
                </c:pt>
                <c:pt idx="7">
                  <c:v>5.3780343224573315</c:v>
                </c:pt>
                <c:pt idx="8">
                  <c:v>5.982271233039568</c:v>
                </c:pt>
                <c:pt idx="9">
                  <c:v>6.568201724066995</c:v>
                </c:pt>
                <c:pt idx="10">
                  <c:v>6.9283958522567142</c:v>
                </c:pt>
              </c:numCache>
            </c:numRef>
          </c:xVal>
          <c:yVal>
            <c:numRef>
              <c:f>Sheet1!$Q$221:$Q$231</c:f>
              <c:numCache>
                <c:formatCode>#,##0.000</c:formatCode>
                <c:ptCount val="11"/>
                <c:pt idx="0">
                  <c:v>4.6376811586137358E-2</c:v>
                </c:pt>
                <c:pt idx="1">
                  <c:v>2.7522146730758666E-2</c:v>
                </c:pt>
                <c:pt idx="2">
                  <c:v>0</c:v>
                </c:pt>
                <c:pt idx="3">
                  <c:v>4.6357036648298794E-2</c:v>
                </c:pt>
                <c:pt idx="4">
                  <c:v>1.1518746747482364E-2</c:v>
                </c:pt>
                <c:pt idx="5">
                  <c:v>4.370267119996616E-2</c:v>
                </c:pt>
                <c:pt idx="6">
                  <c:v>4.9956418228888848E-2</c:v>
                </c:pt>
                <c:pt idx="7">
                  <c:v>8.4820073379656746E-2</c:v>
                </c:pt>
                <c:pt idx="8">
                  <c:v>4.3304463806274375E-2</c:v>
                </c:pt>
                <c:pt idx="9">
                  <c:v>4.7682119142142931E-2</c:v>
                </c:pt>
                <c:pt idx="10">
                  <c:v>2.6194081774649026E-2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C5-41B0-838C-3B5C86EC545D}"/>
            </c:ext>
          </c:extLst>
        </c:ser>
        <c:ser>
          <c:idx val="4"/>
          <c:order val="4"/>
          <c:tx>
            <c:strRef>
              <c:f>Sheet1!$A$244</c:f>
              <c:strCache>
                <c:ptCount val="1"/>
                <c:pt idx="0">
                  <c:v>sample diF524f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Sheet1!$R$247:$R$257</c:f>
                <c:numCache>
                  <c:formatCode>General</c:formatCode>
                  <c:ptCount val="11"/>
                  <c:pt idx="0">
                    <c:v>1.7463918441498059E-2</c:v>
                  </c:pt>
                  <c:pt idx="1">
                    <c:v>1.0511262966609151E-2</c:v>
                  </c:pt>
                  <c:pt idx="2">
                    <c:v>1.2236033738462987E-2</c:v>
                  </c:pt>
                  <c:pt idx="3">
                    <c:v>1.0974056175303898E-2</c:v>
                  </c:pt>
                  <c:pt idx="4">
                    <c:v>8.7169786902831243E-3</c:v>
                  </c:pt>
                  <c:pt idx="5">
                    <c:v>1.0664532247738683E-2</c:v>
                  </c:pt>
                  <c:pt idx="6">
                    <c:v>6.4800100043199338E-3</c:v>
                  </c:pt>
                  <c:pt idx="7">
                    <c:v>7.1132318454108683E-3</c:v>
                  </c:pt>
                  <c:pt idx="8">
                    <c:v>4.7923348440068554E-3</c:v>
                  </c:pt>
                  <c:pt idx="9">
                    <c:v>1.9169551733157905E-3</c:v>
                  </c:pt>
                  <c:pt idx="10">
                    <c:v>4.9738014555546399E-3</c:v>
                  </c:pt>
                </c:numCache>
              </c:numRef>
            </c:plus>
            <c:minus>
              <c:numRef>
                <c:f>Sheet1!$R$247:$R$257</c:f>
                <c:numCache>
                  <c:formatCode>General</c:formatCode>
                  <c:ptCount val="11"/>
                  <c:pt idx="0">
                    <c:v>1.7463918441498059E-2</c:v>
                  </c:pt>
                  <c:pt idx="1">
                    <c:v>1.0511262966609151E-2</c:v>
                  </c:pt>
                  <c:pt idx="2">
                    <c:v>1.2236033738462987E-2</c:v>
                  </c:pt>
                  <c:pt idx="3">
                    <c:v>1.0974056175303898E-2</c:v>
                  </c:pt>
                  <c:pt idx="4">
                    <c:v>8.7169786902831243E-3</c:v>
                  </c:pt>
                  <c:pt idx="5">
                    <c:v>1.0664532247738683E-2</c:v>
                  </c:pt>
                  <c:pt idx="6">
                    <c:v>6.4800100043199338E-3</c:v>
                  </c:pt>
                  <c:pt idx="7">
                    <c:v>7.1132318454108683E-3</c:v>
                  </c:pt>
                  <c:pt idx="8">
                    <c:v>4.7923348440068554E-3</c:v>
                  </c:pt>
                  <c:pt idx="9">
                    <c:v>1.9169551733157905E-3</c:v>
                  </c:pt>
                  <c:pt idx="10">
                    <c:v>4.9738014555546399E-3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Sheet1!$S$247:$S$257</c:f>
              <c:numCache>
                <c:formatCode>0.00</c:formatCode>
                <c:ptCount val="11"/>
                <c:pt idx="0">
                  <c:v>2.1139433523068369</c:v>
                </c:pt>
                <c:pt idx="1">
                  <c:v>2.5314789170422549</c:v>
                </c:pt>
                <c:pt idx="2">
                  <c:v>2.716003343634799</c:v>
                </c:pt>
                <c:pt idx="3">
                  <c:v>2.9344984512435679</c:v>
                </c:pt>
                <c:pt idx="4">
                  <c:v>3.2455126678141499</c:v>
                </c:pt>
                <c:pt idx="5">
                  <c:v>3.510545010206612</c:v>
                </c:pt>
                <c:pt idx="6">
                  <c:v>4.0366288953621607</c:v>
                </c:pt>
                <c:pt idx="7">
                  <c:v>4.7505083948513462</c:v>
                </c:pt>
                <c:pt idx="8">
                  <c:v>5.4022613824546806</c:v>
                </c:pt>
                <c:pt idx="9">
                  <c:v>6.3588862044058692</c:v>
                </c:pt>
                <c:pt idx="10">
                  <c:v>6.9116901587538608</c:v>
                </c:pt>
              </c:numCache>
            </c:numRef>
          </c:xVal>
          <c:yVal>
            <c:numRef>
              <c:f>Sheet1!$Q$247:$Q$257</c:f>
              <c:numCache>
                <c:formatCode>#,##0.000</c:formatCode>
                <c:ptCount val="11"/>
                <c:pt idx="0">
                  <c:v>2.4080267554340555E-2</c:v>
                </c:pt>
                <c:pt idx="1">
                  <c:v>3.8247689206716083E-2</c:v>
                </c:pt>
                <c:pt idx="2">
                  <c:v>0</c:v>
                </c:pt>
                <c:pt idx="3">
                  <c:v>3.8383382253330336E-2</c:v>
                </c:pt>
                <c:pt idx="4">
                  <c:v>2.3700694065274319E-2</c:v>
                </c:pt>
                <c:pt idx="5">
                  <c:v>2.4390890567541776E-2</c:v>
                </c:pt>
                <c:pt idx="6">
                  <c:v>4.4676098287416227E-2</c:v>
                </c:pt>
                <c:pt idx="7">
                  <c:v>6.9200233531537286E-2</c:v>
                </c:pt>
                <c:pt idx="8">
                  <c:v>4.9867745068611462E-2</c:v>
                </c:pt>
                <c:pt idx="9">
                  <c:v>6.5210775632033535E-2</c:v>
                </c:pt>
                <c:pt idx="10">
                  <c:v>4.2533282293394557E-2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C5-41B0-838C-3B5C86EC545D}"/>
            </c:ext>
          </c:extLst>
        </c:ser>
        <c:ser>
          <c:idx val="5"/>
          <c:order val="5"/>
          <c:tx>
            <c:strRef>
              <c:f>Sheet1!$A$270</c:f>
              <c:strCache>
                <c:ptCount val="1"/>
                <c:pt idx="0">
                  <c:v>sample diF524g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Sheet1!$R$273:$R$283</c:f>
                <c:numCache>
                  <c:formatCode>General</c:formatCode>
                  <c:ptCount val="11"/>
                  <c:pt idx="0">
                    <c:v>1.4665635522868025E-2</c:v>
                  </c:pt>
                  <c:pt idx="1">
                    <c:v>8.9537965389688383E-3</c:v>
                  </c:pt>
                  <c:pt idx="2">
                    <c:v>1.3951224969279433E-2</c:v>
                  </c:pt>
                  <c:pt idx="3">
                    <c:v>1.3274963986454943E-2</c:v>
                  </c:pt>
                  <c:pt idx="4">
                    <c:v>9.6573801331114855E-3</c:v>
                  </c:pt>
                  <c:pt idx="5">
                    <c:v>9.2014042478547695E-3</c:v>
                  </c:pt>
                  <c:pt idx="6">
                    <c:v>6.994253691565081E-3</c:v>
                  </c:pt>
                  <c:pt idx="7">
                    <c:v>5.8930360512782932E-3</c:v>
                  </c:pt>
                  <c:pt idx="8">
                    <c:v>5.1105118223885573E-3</c:v>
                  </c:pt>
                  <c:pt idx="9">
                    <c:v>2.4000011916979571E-3</c:v>
                  </c:pt>
                  <c:pt idx="10">
                    <c:v>6.0972120157748826E-3</c:v>
                  </c:pt>
                </c:numCache>
              </c:numRef>
            </c:plus>
            <c:minus>
              <c:numRef>
                <c:f>Sheet1!$R$273:$R$283</c:f>
                <c:numCache>
                  <c:formatCode>General</c:formatCode>
                  <c:ptCount val="11"/>
                  <c:pt idx="0">
                    <c:v>1.4665635522868025E-2</c:v>
                  </c:pt>
                  <c:pt idx="1">
                    <c:v>8.9537965389688383E-3</c:v>
                  </c:pt>
                  <c:pt idx="2">
                    <c:v>1.3951224969279433E-2</c:v>
                  </c:pt>
                  <c:pt idx="3">
                    <c:v>1.3274963986454943E-2</c:v>
                  </c:pt>
                  <c:pt idx="4">
                    <c:v>9.6573801331114855E-3</c:v>
                  </c:pt>
                  <c:pt idx="5">
                    <c:v>9.2014042478547695E-3</c:v>
                  </c:pt>
                  <c:pt idx="6">
                    <c:v>6.994253691565081E-3</c:v>
                  </c:pt>
                  <c:pt idx="7">
                    <c:v>5.8930360512782932E-3</c:v>
                  </c:pt>
                  <c:pt idx="8">
                    <c:v>5.1105118223885573E-3</c:v>
                  </c:pt>
                  <c:pt idx="9">
                    <c:v>2.4000011916979571E-3</c:v>
                  </c:pt>
                  <c:pt idx="10">
                    <c:v>6.0972120157748826E-3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Sheet1!$S$273:$S$283</c:f>
              <c:numCache>
                <c:formatCode>0.00</c:formatCode>
                <c:ptCount val="11"/>
                <c:pt idx="0">
                  <c:v>2.1760912590556813</c:v>
                </c:pt>
                <c:pt idx="1">
                  <c:v>2.6989700043360187</c:v>
                </c:pt>
                <c:pt idx="2">
                  <c:v>2.9030899869919438</c:v>
                </c:pt>
                <c:pt idx="3">
                  <c:v>3.0086001717619175</c:v>
                </c:pt>
                <c:pt idx="4">
                  <c:v>3.1986570869544226</c:v>
                </c:pt>
                <c:pt idx="5">
                  <c:v>3.5465426634781312</c:v>
                </c:pt>
                <c:pt idx="6">
                  <c:v>4.0553783313750005</c:v>
                </c:pt>
                <c:pt idx="7">
                  <c:v>4.8296253533580495</c:v>
                </c:pt>
                <c:pt idx="8">
                  <c:v>5.4170562991191105</c:v>
                </c:pt>
                <c:pt idx="9">
                  <c:v>6.2986711729591294</c:v>
                </c:pt>
                <c:pt idx="10">
                  <c:v>6.818665685531947</c:v>
                </c:pt>
              </c:numCache>
            </c:numRef>
          </c:xVal>
          <c:yVal>
            <c:numRef>
              <c:f>Sheet1!$Q$273:$Q$283</c:f>
              <c:numCache>
                <c:formatCode>#,##0.000</c:formatCode>
                <c:ptCount val="11"/>
                <c:pt idx="0">
                  <c:v>3.478260868960302E-2</c:v>
                </c:pt>
                <c:pt idx="1">
                  <c:v>4.3347381100944903E-2</c:v>
                </c:pt>
                <c:pt idx="2">
                  <c:v>0</c:v>
                </c:pt>
                <c:pt idx="3">
                  <c:v>2.0940415000951843E-2</c:v>
                </c:pt>
                <c:pt idx="4">
                  <c:v>1.6029040832572505E-2</c:v>
                </c:pt>
                <c:pt idx="5">
                  <c:v>3.9044706244483869E-2</c:v>
                </c:pt>
                <c:pt idx="6">
                  <c:v>3.9732063265669963E-2</c:v>
                </c:pt>
                <c:pt idx="7">
                  <c:v>7.4441502316739697E-2</c:v>
                </c:pt>
                <c:pt idx="8">
                  <c:v>4.3989812331732527E-2</c:v>
                </c:pt>
                <c:pt idx="9">
                  <c:v>6.3289839749485891E-2</c:v>
                </c:pt>
                <c:pt idx="10">
                  <c:v>3.9695434146855529E-2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C5-41B0-838C-3B5C86EC545D}"/>
            </c:ext>
          </c:extLst>
        </c:ser>
        <c:ser>
          <c:idx val="6"/>
          <c:order val="6"/>
          <c:tx>
            <c:strRef>
              <c:f>Sheet1!$A$343</c:f>
              <c:strCache>
                <c:ptCount val="1"/>
                <c:pt idx="0">
                  <c:v>sample diClp325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Sheet1!$R$346:$R$355</c:f>
                <c:numCache>
                  <c:formatCode>General</c:formatCode>
                  <c:ptCount val="10"/>
                  <c:pt idx="0">
                    <c:v>1.0225955556263624E-2</c:v>
                  </c:pt>
                  <c:pt idx="1">
                    <c:v>8.2201085528301621E-3</c:v>
                  </c:pt>
                  <c:pt idx="2">
                    <c:v>5.1514912078464399E-3</c:v>
                  </c:pt>
                  <c:pt idx="3">
                    <c:v>5.1980169790062369E-3</c:v>
                  </c:pt>
                  <c:pt idx="4">
                    <c:v>3.02269060754301E-3</c:v>
                  </c:pt>
                  <c:pt idx="5">
                    <c:v>3.0944243393848732E-3</c:v>
                  </c:pt>
                  <c:pt idx="6">
                    <c:v>2.3710795855328452E-3</c:v>
                  </c:pt>
                  <c:pt idx="7">
                    <c:v>1.386382798335027E-2</c:v>
                  </c:pt>
                  <c:pt idx="8">
                    <c:v>6.0047953649957286E-4</c:v>
                  </c:pt>
                  <c:pt idx="9">
                    <c:v>3.5612095519369355E-3</c:v>
                  </c:pt>
                </c:numCache>
              </c:numRef>
            </c:plus>
            <c:minus>
              <c:numRef>
                <c:f>Sheet1!$R$346:$R$355</c:f>
                <c:numCache>
                  <c:formatCode>General</c:formatCode>
                  <c:ptCount val="10"/>
                  <c:pt idx="0">
                    <c:v>1.0225955556263624E-2</c:v>
                  </c:pt>
                  <c:pt idx="1">
                    <c:v>8.2201085528301621E-3</c:v>
                  </c:pt>
                  <c:pt idx="2">
                    <c:v>5.1514912078464399E-3</c:v>
                  </c:pt>
                  <c:pt idx="3">
                    <c:v>5.1980169790062369E-3</c:v>
                  </c:pt>
                  <c:pt idx="4">
                    <c:v>3.02269060754301E-3</c:v>
                  </c:pt>
                  <c:pt idx="5">
                    <c:v>3.0944243393848732E-3</c:v>
                  </c:pt>
                  <c:pt idx="6">
                    <c:v>2.3710795855328452E-3</c:v>
                  </c:pt>
                  <c:pt idx="7">
                    <c:v>1.386382798335027E-2</c:v>
                  </c:pt>
                  <c:pt idx="8">
                    <c:v>6.0047953649957286E-4</c:v>
                  </c:pt>
                  <c:pt idx="9">
                    <c:v>3.5612095519369355E-3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Sheet1!$S$346:$S$355</c:f>
              <c:numCache>
                <c:formatCode>0.00</c:formatCode>
                <c:ptCount val="10"/>
                <c:pt idx="0">
                  <c:v>2.8129133566428557</c:v>
                </c:pt>
                <c:pt idx="1">
                  <c:v>3.0293837776852097</c:v>
                </c:pt>
                <c:pt idx="2">
                  <c:v>3.2810333672477277</c:v>
                </c:pt>
                <c:pt idx="3">
                  <c:v>3.5717088318086878</c:v>
                </c:pt>
                <c:pt idx="4">
                  <c:v>3.8621313793130372</c:v>
                </c:pt>
                <c:pt idx="5">
                  <c:v>4.0870712059065353</c:v>
                </c:pt>
                <c:pt idx="6">
                  <c:v>4.7203247174174416</c:v>
                </c:pt>
                <c:pt idx="7">
                  <c:v>5.1012313867906993</c:v>
                </c:pt>
                <c:pt idx="8">
                  <c:v>6.3183242508503952</c:v>
                </c:pt>
                <c:pt idx="9">
                  <c:v>6.6560982020128323</c:v>
                </c:pt>
              </c:numCache>
            </c:numRef>
          </c:xVal>
          <c:yVal>
            <c:numRef>
              <c:f>Sheet1!$Q$346:$Q$355</c:f>
              <c:numCache>
                <c:formatCode>#,##0.000</c:formatCode>
                <c:ptCount val="10"/>
                <c:pt idx="0">
                  <c:v>-3.1343868355752907E-3</c:v>
                </c:pt>
                <c:pt idx="1">
                  <c:v>3.9415252826949528E-2</c:v>
                </c:pt>
                <c:pt idx="2">
                  <c:v>1.4850071394574012E-2</c:v>
                </c:pt>
                <c:pt idx="3">
                  <c:v>4.1671523487585953E-2</c:v>
                </c:pt>
                <c:pt idx="4">
                  <c:v>2.4825983905267801E-2</c:v>
                </c:pt>
                <c:pt idx="5">
                  <c:v>2.5655278573566517E-2</c:v>
                </c:pt>
                <c:pt idx="6">
                  <c:v>4.0421008312189928E-2</c:v>
                </c:pt>
                <c:pt idx="7">
                  <c:v>4.1764176417641768E-2</c:v>
                </c:pt>
                <c:pt idx="8">
                  <c:v>5.5171868457326294E-2</c:v>
                </c:pt>
                <c:pt idx="9">
                  <c:v>1.2627932271395708E-2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C5-41B0-838C-3B5C86EC545D}"/>
            </c:ext>
          </c:extLst>
        </c:ser>
        <c:ser>
          <c:idx val="7"/>
          <c:order val="7"/>
          <c:tx>
            <c:strRef>
              <c:f>Sheet1!$A$368</c:f>
              <c:strCache>
                <c:ptCount val="1"/>
                <c:pt idx="0">
                  <c:v>sample diClp331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Sheet1!$R$371:$R$378</c:f>
                <c:numCache>
                  <c:formatCode>General</c:formatCode>
                  <c:ptCount val="8"/>
                  <c:pt idx="0">
                    <c:v>3.2336300188753773E-3</c:v>
                  </c:pt>
                  <c:pt idx="1">
                    <c:v>4.2419406589709772E-3</c:v>
                  </c:pt>
                  <c:pt idx="2">
                    <c:v>7.3798905623100649E-3</c:v>
                  </c:pt>
                  <c:pt idx="3">
                    <c:v>5.577974417519083E-3</c:v>
                  </c:pt>
                  <c:pt idx="4">
                    <c:v>7.1081986972842256E-3</c:v>
                  </c:pt>
                  <c:pt idx="5">
                    <c:v>4.9106278668665879E-3</c:v>
                  </c:pt>
                  <c:pt idx="6">
                    <c:v>9.9846925114432331E-3</c:v>
                  </c:pt>
                  <c:pt idx="7">
                    <c:v>7.0604701875770573E-3</c:v>
                  </c:pt>
                </c:numCache>
              </c:numRef>
            </c:plus>
            <c:minus>
              <c:numRef>
                <c:f>Sheet1!$R$371:$R$378</c:f>
                <c:numCache>
                  <c:formatCode>General</c:formatCode>
                  <c:ptCount val="8"/>
                  <c:pt idx="0">
                    <c:v>3.2336300188753773E-3</c:v>
                  </c:pt>
                  <c:pt idx="1">
                    <c:v>4.2419406589709772E-3</c:v>
                  </c:pt>
                  <c:pt idx="2">
                    <c:v>7.3798905623100649E-3</c:v>
                  </c:pt>
                  <c:pt idx="3">
                    <c:v>5.577974417519083E-3</c:v>
                  </c:pt>
                  <c:pt idx="4">
                    <c:v>7.1081986972842256E-3</c:v>
                  </c:pt>
                  <c:pt idx="5">
                    <c:v>4.9106278668665879E-3</c:v>
                  </c:pt>
                  <c:pt idx="6">
                    <c:v>9.9846925114432331E-3</c:v>
                  </c:pt>
                  <c:pt idx="7">
                    <c:v>7.0604701875770573E-3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Sheet1!$S$371:$S$378</c:f>
              <c:numCache>
                <c:formatCode>0.00</c:formatCode>
                <c:ptCount val="8"/>
                <c:pt idx="0">
                  <c:v>3.2833012287035497</c:v>
                </c:pt>
                <c:pt idx="1">
                  <c:v>3.7634279935629373</c:v>
                </c:pt>
                <c:pt idx="2">
                  <c:v>4.3106933123433606</c:v>
                </c:pt>
                <c:pt idx="3">
                  <c:v>5.0653929615619919</c:v>
                </c:pt>
                <c:pt idx="4">
                  <c:v>5.7634279935629369</c:v>
                </c:pt>
                <c:pt idx="5">
                  <c:v>6.5465426634781307</c:v>
                </c:pt>
                <c:pt idx="6">
                  <c:v>6.8007170782823847</c:v>
                </c:pt>
                <c:pt idx="7">
                  <c:v>6.9786369483844739</c:v>
                </c:pt>
              </c:numCache>
            </c:numRef>
          </c:xVal>
          <c:yVal>
            <c:numRef>
              <c:f>Sheet1!$Q$371:$Q$378</c:f>
              <c:numCache>
                <c:formatCode>#,##0.000</c:formatCode>
                <c:ptCount val="8"/>
                <c:pt idx="0">
                  <c:v>4.0076144674882276E-2</c:v>
                </c:pt>
                <c:pt idx="1">
                  <c:v>5.123152709359606E-2</c:v>
                </c:pt>
                <c:pt idx="2">
                  <c:v>4.7309679148111669E-2</c:v>
                </c:pt>
                <c:pt idx="3">
                  <c:v>4.69030017921147E-2</c:v>
                </c:pt>
                <c:pt idx="4">
                  <c:v>6.1317025156116443E-2</c:v>
                </c:pt>
                <c:pt idx="5">
                  <c:v>6.9829354514904157E-2</c:v>
                </c:pt>
                <c:pt idx="6">
                  <c:v>3.3725296220518453E-3</c:v>
                </c:pt>
                <c:pt idx="7">
                  <c:v>2.5196464323168511E-2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C5-41B0-838C-3B5C86EC545D}"/>
            </c:ext>
          </c:extLst>
        </c:ser>
        <c:ser>
          <c:idx val="8"/>
          <c:order val="8"/>
          <c:tx>
            <c:strRef>
              <c:f>Sheet1!$A$393</c:f>
              <c:strCache>
                <c:ptCount val="1"/>
                <c:pt idx="0">
                  <c:v>sample diClp354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Sheet1!$R$396:$R$401</c:f>
                <c:numCache>
                  <c:formatCode>General</c:formatCode>
                  <c:ptCount val="6"/>
                  <c:pt idx="0">
                    <c:v>1.3991062744239315E-2</c:v>
                  </c:pt>
                  <c:pt idx="1">
                    <c:v>1.7903377026490075E-3</c:v>
                  </c:pt>
                  <c:pt idx="2">
                    <c:v>2.4051183490500054E-3</c:v>
                  </c:pt>
                  <c:pt idx="3">
                    <c:v>3.7202766874621547E-3</c:v>
                  </c:pt>
                  <c:pt idx="4">
                    <c:v>4.038250793252326E-3</c:v>
                  </c:pt>
                  <c:pt idx="5">
                    <c:v>2.0450884525749003E-3</c:v>
                  </c:pt>
                </c:numCache>
              </c:numRef>
            </c:plus>
            <c:minus>
              <c:numRef>
                <c:f>Sheet1!$R$396:$R$401</c:f>
                <c:numCache>
                  <c:formatCode>General</c:formatCode>
                  <c:ptCount val="6"/>
                  <c:pt idx="0">
                    <c:v>1.3991062744239315E-2</c:v>
                  </c:pt>
                  <c:pt idx="1">
                    <c:v>1.7903377026490075E-3</c:v>
                  </c:pt>
                  <c:pt idx="2">
                    <c:v>2.4051183490500054E-3</c:v>
                  </c:pt>
                  <c:pt idx="3">
                    <c:v>3.7202766874621547E-3</c:v>
                  </c:pt>
                  <c:pt idx="4">
                    <c:v>4.038250793252326E-3</c:v>
                  </c:pt>
                  <c:pt idx="5">
                    <c:v>2.0450884525749003E-3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Sheet1!$S$396:$S$401</c:f>
              <c:numCache>
                <c:formatCode>0.00</c:formatCode>
                <c:ptCount val="6"/>
                <c:pt idx="0">
                  <c:v>2.9242792860618816</c:v>
                </c:pt>
                <c:pt idx="1">
                  <c:v>3.6263403673750423</c:v>
                </c:pt>
                <c:pt idx="2">
                  <c:v>4.2166935991697541</c:v>
                </c:pt>
                <c:pt idx="3">
                  <c:v>5.0324575827149296</c:v>
                </c:pt>
                <c:pt idx="4">
                  <c:v>5.8864907251724823</c:v>
                </c:pt>
                <c:pt idx="5">
                  <c:v>6.7719547489639496</c:v>
                </c:pt>
              </c:numCache>
            </c:numRef>
          </c:xVal>
          <c:yVal>
            <c:numRef>
              <c:f>Sheet1!$Q$396:$Q$401</c:f>
              <c:numCache>
                <c:formatCode>#,##0.000</c:formatCode>
                <c:ptCount val="6"/>
                <c:pt idx="0">
                  <c:v>2.6842755140387597E-2</c:v>
                </c:pt>
                <c:pt idx="1">
                  <c:v>4.2284110784370249E-2</c:v>
                </c:pt>
                <c:pt idx="2">
                  <c:v>5.7993024816849412E-2</c:v>
                </c:pt>
                <c:pt idx="3">
                  <c:v>5.841388682195784E-2</c:v>
                </c:pt>
                <c:pt idx="4">
                  <c:v>5.7390228818800251E-2</c:v>
                </c:pt>
                <c:pt idx="5">
                  <c:v>6.3650861430401481E-2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C5-41B0-838C-3B5C86EC545D}"/>
            </c:ext>
          </c:extLst>
        </c:ser>
        <c:ser>
          <c:idx val="9"/>
          <c:order val="9"/>
          <c:tx>
            <c:strRef>
              <c:f>Sheet1!$A$418</c:f>
              <c:strCache>
                <c:ptCount val="1"/>
                <c:pt idx="0">
                  <c:v>sample diClp355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Sheet1!$R$421:$R$426</c:f>
                <c:numCache>
                  <c:formatCode>General</c:formatCode>
                  <c:ptCount val="6"/>
                  <c:pt idx="0">
                    <c:v>1.3440496271711415E-2</c:v>
                  </c:pt>
                  <c:pt idx="1">
                    <c:v>3.1694598389586173E-3</c:v>
                  </c:pt>
                  <c:pt idx="2">
                    <c:v>9.0898328129221245E-3</c:v>
                  </c:pt>
                  <c:pt idx="3">
                    <c:v>4.9903065163501171E-3</c:v>
                  </c:pt>
                  <c:pt idx="4">
                    <c:v>2.0417689959214853E-3</c:v>
                  </c:pt>
                  <c:pt idx="5">
                    <c:v>3.305487645844556E-3</c:v>
                  </c:pt>
                </c:numCache>
              </c:numRef>
            </c:plus>
            <c:minus>
              <c:numRef>
                <c:f>Sheet1!$R$421:$R$426</c:f>
                <c:numCache>
                  <c:formatCode>General</c:formatCode>
                  <c:ptCount val="6"/>
                  <c:pt idx="0">
                    <c:v>1.3440496271711415E-2</c:v>
                  </c:pt>
                  <c:pt idx="1">
                    <c:v>3.1694598389586173E-3</c:v>
                  </c:pt>
                  <c:pt idx="2">
                    <c:v>9.0898328129221245E-3</c:v>
                  </c:pt>
                  <c:pt idx="3">
                    <c:v>4.9903065163501171E-3</c:v>
                  </c:pt>
                  <c:pt idx="4">
                    <c:v>2.0417689959214853E-3</c:v>
                  </c:pt>
                  <c:pt idx="5">
                    <c:v>3.305487645844556E-3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Sheet1!$S$421:$S$426</c:f>
              <c:numCache>
                <c:formatCode>0.00</c:formatCode>
                <c:ptCount val="6"/>
                <c:pt idx="0">
                  <c:v>2.7708520116421442</c:v>
                </c:pt>
                <c:pt idx="1">
                  <c:v>3.5051499783199058</c:v>
                </c:pt>
                <c:pt idx="2">
                  <c:v>4.062205808819713</c:v>
                </c:pt>
                <c:pt idx="3">
                  <c:v>4.9834007381805385</c:v>
                </c:pt>
                <c:pt idx="4">
                  <c:v>5.92813970687512</c:v>
                </c:pt>
                <c:pt idx="5">
                  <c:v>6.6232492903979008</c:v>
                </c:pt>
              </c:numCache>
            </c:numRef>
          </c:xVal>
          <c:yVal>
            <c:numRef>
              <c:f>Sheet1!$Q$421:$Q$426</c:f>
              <c:numCache>
                <c:formatCode>#,##0.000</c:formatCode>
                <c:ptCount val="6"/>
                <c:pt idx="0">
                  <c:v>4.3702971802082533E-2</c:v>
                </c:pt>
                <c:pt idx="1">
                  <c:v>6.3083121289228161E-2</c:v>
                </c:pt>
                <c:pt idx="2">
                  <c:v>3.3460607152822334E-2</c:v>
                </c:pt>
                <c:pt idx="3">
                  <c:v>6.2313923700062342E-2</c:v>
                </c:pt>
                <c:pt idx="4">
                  <c:v>6.0573307212501933E-2</c:v>
                </c:pt>
                <c:pt idx="5">
                  <c:v>5.2735143644234574E-2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C5-41B0-838C-3B5C86EC545D}"/>
            </c:ext>
          </c:extLst>
        </c:ser>
        <c:ser>
          <c:idx val="10"/>
          <c:order val="10"/>
          <c:tx>
            <c:strRef>
              <c:f>Sheet1!$A$443</c:f>
              <c:strCache>
                <c:ptCount val="1"/>
                <c:pt idx="0">
                  <c:v>sample diClp358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Sheet1!$R$446:$R$453</c:f>
                <c:numCache>
                  <c:formatCode>General</c:formatCode>
                  <c:ptCount val="8"/>
                  <c:pt idx="0">
                    <c:v>4.2854299193654539E-3</c:v>
                  </c:pt>
                  <c:pt idx="1">
                    <c:v>3.4887493131113409E-3</c:v>
                  </c:pt>
                  <c:pt idx="2">
                    <c:v>1.2754453251791279E-2</c:v>
                  </c:pt>
                  <c:pt idx="3">
                    <c:v>7.4685603841323457E-3</c:v>
                  </c:pt>
                  <c:pt idx="4">
                    <c:v>7.5743408303695012E-3</c:v>
                  </c:pt>
                  <c:pt idx="5">
                    <c:v>3.8753817267619651E-3</c:v>
                  </c:pt>
                  <c:pt idx="6">
                    <c:v>4.8399998571534378E-3</c:v>
                  </c:pt>
                  <c:pt idx="7">
                    <c:v>6.2940335820269892E-3</c:v>
                  </c:pt>
                </c:numCache>
              </c:numRef>
            </c:plus>
            <c:minus>
              <c:numRef>
                <c:f>Sheet1!$R$446:$R$453</c:f>
                <c:numCache>
                  <c:formatCode>General</c:formatCode>
                  <c:ptCount val="8"/>
                  <c:pt idx="0">
                    <c:v>4.2854299193654539E-3</c:v>
                  </c:pt>
                  <c:pt idx="1">
                    <c:v>3.4887493131113409E-3</c:v>
                  </c:pt>
                  <c:pt idx="2">
                    <c:v>1.2754453251791279E-2</c:v>
                  </c:pt>
                  <c:pt idx="3">
                    <c:v>7.4685603841323457E-3</c:v>
                  </c:pt>
                  <c:pt idx="4">
                    <c:v>7.5743408303695012E-3</c:v>
                  </c:pt>
                  <c:pt idx="5">
                    <c:v>3.8753817267619651E-3</c:v>
                  </c:pt>
                  <c:pt idx="6">
                    <c:v>4.8399998571534378E-3</c:v>
                  </c:pt>
                  <c:pt idx="7">
                    <c:v>6.2940335820269892E-3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Sheet1!$S$446:$S$453</c:f>
              <c:numCache>
                <c:formatCode>0.00</c:formatCode>
                <c:ptCount val="8"/>
                <c:pt idx="0">
                  <c:v>3.0863598306747484</c:v>
                </c:pt>
                <c:pt idx="1">
                  <c:v>3.5751878449276608</c:v>
                </c:pt>
                <c:pt idx="2">
                  <c:v>3.7315887651867388</c:v>
                </c:pt>
                <c:pt idx="3">
                  <c:v>4.0549958615291413</c:v>
                </c:pt>
                <c:pt idx="4">
                  <c:v>4.6651117370750512</c:v>
                </c:pt>
                <c:pt idx="5">
                  <c:v>5.4432629874586951</c:v>
                </c:pt>
                <c:pt idx="6">
                  <c:v>6.0644579892269181</c:v>
                </c:pt>
                <c:pt idx="7">
                  <c:v>6.5611013836490564</c:v>
                </c:pt>
              </c:numCache>
            </c:numRef>
          </c:xVal>
          <c:yVal>
            <c:numRef>
              <c:f>Sheet1!$Q$446:$Q$453</c:f>
              <c:numCache>
                <c:formatCode>#,##0.000</c:formatCode>
                <c:ptCount val="8"/>
                <c:pt idx="0">
                  <c:v>3.4603572818893542E-2</c:v>
                </c:pt>
                <c:pt idx="1">
                  <c:v>3.7421148294664829E-2</c:v>
                </c:pt>
                <c:pt idx="2">
                  <c:v>1.0444581873153303E-2</c:v>
                </c:pt>
                <c:pt idx="3">
                  <c:v>4.1761095974128484E-2</c:v>
                </c:pt>
                <c:pt idx="4">
                  <c:v>4.7415836889521078E-2</c:v>
                </c:pt>
                <c:pt idx="5">
                  <c:v>6.0283331658796388E-2</c:v>
                </c:pt>
                <c:pt idx="6">
                  <c:v>6.4774242712897612E-2</c:v>
                </c:pt>
                <c:pt idx="7">
                  <c:v>4.1054835575383558E-2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C5-41B0-838C-3B5C86EC545D}"/>
            </c:ext>
          </c:extLst>
        </c:ser>
        <c:ser>
          <c:idx val="11"/>
          <c:order val="11"/>
          <c:tx>
            <c:strRef>
              <c:f>Sheet1!$A$468</c:f>
              <c:strCache>
                <c:ptCount val="1"/>
                <c:pt idx="0">
                  <c:v>sample diClp360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Sheet1!$R$471:$R$476</c:f>
                <c:numCache>
                  <c:formatCode>General</c:formatCode>
                  <c:ptCount val="6"/>
                  <c:pt idx="0">
                    <c:v>5.502989719338095E-3</c:v>
                  </c:pt>
                  <c:pt idx="1">
                    <c:v>3.8289402445786705E-3</c:v>
                  </c:pt>
                  <c:pt idx="2">
                    <c:v>5.327593356603386E-3</c:v>
                  </c:pt>
                  <c:pt idx="3">
                    <c:v>6.032800698794469E-3</c:v>
                  </c:pt>
                  <c:pt idx="4">
                    <c:v>2.9231927701725479E-3</c:v>
                  </c:pt>
                  <c:pt idx="5">
                    <c:v>3.3434405242552395E-3</c:v>
                  </c:pt>
                </c:numCache>
              </c:numRef>
            </c:plus>
            <c:minus>
              <c:numRef>
                <c:f>Sheet1!$R$471:$R$476</c:f>
                <c:numCache>
                  <c:formatCode>General</c:formatCode>
                  <c:ptCount val="6"/>
                  <c:pt idx="0">
                    <c:v>5.502989719338095E-3</c:v>
                  </c:pt>
                  <c:pt idx="1">
                    <c:v>3.8289402445786705E-3</c:v>
                  </c:pt>
                  <c:pt idx="2">
                    <c:v>5.327593356603386E-3</c:v>
                  </c:pt>
                  <c:pt idx="3">
                    <c:v>6.032800698794469E-3</c:v>
                  </c:pt>
                  <c:pt idx="4">
                    <c:v>2.9231927701725479E-3</c:v>
                  </c:pt>
                  <c:pt idx="5">
                    <c:v>3.3434405242552395E-3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Sheet1!$S$471:$S$476</c:f>
              <c:numCache>
                <c:formatCode>0.00</c:formatCode>
                <c:ptCount val="6"/>
                <c:pt idx="0">
                  <c:v>3.0755469613925306</c:v>
                </c:pt>
                <c:pt idx="1">
                  <c:v>3.6680751513945196</c:v>
                </c:pt>
                <c:pt idx="2">
                  <c:v>4.377063289113944</c:v>
                </c:pt>
                <c:pt idx="3">
                  <c:v>5.0969100130080562</c:v>
                </c:pt>
                <c:pt idx="4">
                  <c:v>5.9590413923210939</c:v>
                </c:pt>
                <c:pt idx="5">
                  <c:v>6.7391766319107296</c:v>
                </c:pt>
              </c:numCache>
            </c:numRef>
          </c:xVal>
          <c:yVal>
            <c:numRef>
              <c:f>Sheet1!$Q$471:$Q$476</c:f>
              <c:numCache>
                <c:formatCode>#,##0.000</c:formatCode>
                <c:ptCount val="6"/>
                <c:pt idx="0">
                  <c:v>2.3246496950752048E-2</c:v>
                </c:pt>
                <c:pt idx="1">
                  <c:v>6.7490491085286916E-2</c:v>
                </c:pt>
                <c:pt idx="2">
                  <c:v>5.22147130988765E-2</c:v>
                </c:pt>
                <c:pt idx="3">
                  <c:v>5.1948051948051938E-2</c:v>
                </c:pt>
                <c:pt idx="4">
                  <c:v>6.3572790845518146E-2</c:v>
                </c:pt>
                <c:pt idx="5">
                  <c:v>7.7634307351718404E-2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C5-41B0-838C-3B5C86EC545D}"/>
            </c:ext>
          </c:extLst>
        </c:ser>
        <c:ser>
          <c:idx val="12"/>
          <c:order val="12"/>
          <c:tx>
            <c:strRef>
              <c:f>Sheet1!$A$493</c:f>
              <c:strCache>
                <c:ptCount val="1"/>
                <c:pt idx="0">
                  <c:v>sample diClp361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Sheet1!$R$496:$R$501</c:f>
                <c:numCache>
                  <c:formatCode>General</c:formatCode>
                  <c:ptCount val="6"/>
                  <c:pt idx="0">
                    <c:v>4.7744615288928295E-3</c:v>
                  </c:pt>
                  <c:pt idx="1">
                    <c:v>6.0367568009907996E-3</c:v>
                  </c:pt>
                  <c:pt idx="2">
                    <c:v>4.6249216109601546E-3</c:v>
                  </c:pt>
                  <c:pt idx="3">
                    <c:v>6.7904212602840873E-3</c:v>
                  </c:pt>
                  <c:pt idx="4">
                    <c:v>2.7891433429057307E-3</c:v>
                  </c:pt>
                  <c:pt idx="5">
                    <c:v>3.3434405242552395E-3</c:v>
                  </c:pt>
                </c:numCache>
              </c:numRef>
            </c:plus>
            <c:minus>
              <c:numRef>
                <c:f>Sheet1!$R$496:$R$501</c:f>
                <c:numCache>
                  <c:formatCode>General</c:formatCode>
                  <c:ptCount val="6"/>
                  <c:pt idx="0">
                    <c:v>4.7744615288928295E-3</c:v>
                  </c:pt>
                  <c:pt idx="1">
                    <c:v>6.0367568009907996E-3</c:v>
                  </c:pt>
                  <c:pt idx="2">
                    <c:v>4.6249216109601546E-3</c:v>
                  </c:pt>
                  <c:pt idx="3">
                    <c:v>6.7904212602840873E-3</c:v>
                  </c:pt>
                  <c:pt idx="4">
                    <c:v>2.7891433429057307E-3</c:v>
                  </c:pt>
                  <c:pt idx="5">
                    <c:v>3.3434405242552395E-3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Sheet1!$S$496:$S$501</c:f>
              <c:numCache>
                <c:formatCode>0.00</c:formatCode>
                <c:ptCount val="6"/>
                <c:pt idx="0">
                  <c:v>3.12057393120585</c:v>
                </c:pt>
                <c:pt idx="1">
                  <c:v>3.6473829701146196</c:v>
                </c:pt>
                <c:pt idx="2">
                  <c:v>4.3911116137028028</c:v>
                </c:pt>
                <c:pt idx="3">
                  <c:v>5.0559514053291501</c:v>
                </c:pt>
                <c:pt idx="4">
                  <c:v>5.9530344572503564</c:v>
                </c:pt>
                <c:pt idx="5">
                  <c:v>6.7391766319107296</c:v>
                </c:pt>
              </c:numCache>
            </c:numRef>
          </c:xVal>
          <c:yVal>
            <c:numRef>
              <c:f>Sheet1!$Q$496:$Q$501</c:f>
              <c:numCache>
                <c:formatCode>#,##0.000</c:formatCode>
                <c:ptCount val="6"/>
                <c:pt idx="0">
                  <c:v>3.7521440823327611E-2</c:v>
                </c:pt>
                <c:pt idx="1">
                  <c:v>5.3827412317978357E-2</c:v>
                </c:pt>
                <c:pt idx="2">
                  <c:v>5.6026224908182286E-2</c:v>
                </c:pt>
                <c:pt idx="3">
                  <c:v>4.7778308647873864E-2</c:v>
                </c:pt>
                <c:pt idx="4">
                  <c:v>6.5690679875487393E-2</c:v>
                </c:pt>
                <c:pt idx="5">
                  <c:v>7.7634307351718404E-2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C5-41B0-838C-3B5C86EC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01200"/>
        <c:axId val="1694102032"/>
      </c:scatterChart>
      <c:valAx>
        <c:axId val="169410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log10(cell density (cell/ml))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02032"/>
        <c:crosses val="autoZero"/>
        <c:crossBetween val="midCat"/>
      </c:valAx>
      <c:valAx>
        <c:axId val="169410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Proliferation Rate, </a:t>
                </a:r>
                <a:r>
                  <a:rPr lang="el-GR" sz="1200" b="1" i="0" baseline="0"/>
                  <a:t>γ</a:t>
                </a:r>
                <a:r>
                  <a:rPr lang="en-US" sz="1200" b="1" i="0" baseline="0"/>
                  <a:t> (1/ 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308</xdr:row>
      <xdr:rowOff>38100</xdr:rowOff>
    </xdr:from>
    <xdr:ext cx="4371975" cy="2781300"/>
    <xdr:graphicFrame macro="">
      <xdr:nvGraphicFramePr>
        <xdr:cNvPr id="183162941" name="Chart 1">
          <a:extLst>
            <a:ext uri="{FF2B5EF4-FFF2-40B4-BE49-F238E27FC236}">
              <a16:creationId xmlns:a16="http://schemas.microsoft.com/office/drawing/2014/main" id="{00000000-0008-0000-0000-00003DD8E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</xdr:col>
      <xdr:colOff>904875</xdr:colOff>
      <xdr:row>325</xdr:row>
      <xdr:rowOff>171450</xdr:rowOff>
    </xdr:from>
    <xdr:to>
      <xdr:col>7</xdr:col>
      <xdr:colOff>180975</xdr:colOff>
      <xdr:row>339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C9D05-DC65-4FA6-B7C6-934735E61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1009650</xdr:colOff>
      <xdr:row>531</xdr:row>
      <xdr:rowOff>0</xdr:rowOff>
    </xdr:from>
    <xdr:to>
      <xdr:col>8</xdr:col>
      <xdr:colOff>180975</xdr:colOff>
      <xdr:row>544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58AB4-E9A2-42CE-AE0B-12B72A51D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295275</xdr:colOff>
      <xdr:row>547</xdr:row>
      <xdr:rowOff>142875</xdr:rowOff>
    </xdr:from>
    <xdr:to>
      <xdr:col>9</xdr:col>
      <xdr:colOff>666750</xdr:colOff>
      <xdr:row>561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601BE1-62F2-406A-B066-7CB532F80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564</xdr:row>
      <xdr:rowOff>0</xdr:rowOff>
    </xdr:from>
    <xdr:to>
      <xdr:col>9</xdr:col>
      <xdr:colOff>371475</xdr:colOff>
      <xdr:row>577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50DAA5-E88E-4560-B7F6-DB22BA7DB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580</xdr:row>
      <xdr:rowOff>0</xdr:rowOff>
    </xdr:from>
    <xdr:to>
      <xdr:col>9</xdr:col>
      <xdr:colOff>371475</xdr:colOff>
      <xdr:row>593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E393F7-8FD8-4B85-99EF-2D6C2FEC2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Fp10b%20excel%20version%20with%20error%20b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/>
        </row>
        <row r="5">
          <cell r="B5"/>
          <cell r="H5"/>
          <cell r="I5"/>
        </row>
        <row r="6">
          <cell r="B6"/>
          <cell r="H6"/>
          <cell r="I6"/>
        </row>
        <row r="7">
          <cell r="B7"/>
          <cell r="H7"/>
          <cell r="I7"/>
        </row>
        <row r="8">
          <cell r="B8"/>
          <cell r="H8"/>
          <cell r="I8"/>
        </row>
        <row r="9">
          <cell r="B9"/>
          <cell r="H9"/>
          <cell r="I9"/>
        </row>
        <row r="10">
          <cell r="B10"/>
          <cell r="H10"/>
          <cell r="I10"/>
        </row>
        <row r="11">
          <cell r="B11"/>
          <cell r="H11"/>
          <cell r="I11"/>
        </row>
        <row r="12">
          <cell r="B12"/>
          <cell r="H12"/>
          <cell r="I12"/>
        </row>
        <row r="28">
          <cell r="A28" t="str">
            <v>sample diClp325</v>
          </cell>
        </row>
        <row r="30">
          <cell r="B30">
            <v>-23.18</v>
          </cell>
          <cell r="H30">
            <v>2.8325089127062362</v>
          </cell>
          <cell r="I30">
            <v>0.10526046126576852</v>
          </cell>
        </row>
        <row r="31">
          <cell r="B31">
            <v>6.27</v>
          </cell>
          <cell r="H31">
            <v>2.7923916894982539</v>
          </cell>
          <cell r="I31">
            <v>7.7948701079620292E-2</v>
          </cell>
        </row>
        <row r="32">
          <cell r="B32">
            <v>27.61</v>
          </cell>
          <cell r="H32">
            <v>3.1818435879447726</v>
          </cell>
          <cell r="I32">
            <v>4.978321424991191E-2</v>
          </cell>
        </row>
        <row r="33">
          <cell r="B33">
            <v>55.11</v>
          </cell>
          <cell r="H33">
            <v>3.3617278360175931</v>
          </cell>
          <cell r="I33">
            <v>4.0470708677629613E-2</v>
          </cell>
        </row>
        <row r="34">
          <cell r="B34">
            <v>73.510000000000005</v>
          </cell>
          <cell r="H34">
            <v>3.7126497016272113</v>
          </cell>
          <cell r="I34">
            <v>2.7019659796227564E-2</v>
          </cell>
        </row>
        <row r="35">
          <cell r="B35">
            <v>96.97</v>
          </cell>
          <cell r="H35">
            <v>3.9731278535996988</v>
          </cell>
          <cell r="I35">
            <v>2.0018927214226809E-2</v>
          </cell>
        </row>
        <row r="36">
          <cell r="B36">
            <v>114.96</v>
          </cell>
          <cell r="H36">
            <v>4.1772478362556233</v>
          </cell>
          <cell r="I36">
            <v>1.5826351577521557E-2</v>
          </cell>
        </row>
        <row r="37">
          <cell r="B37">
            <v>150.27000000000001</v>
          </cell>
          <cell r="H37">
            <v>4.9542425094393252</v>
          </cell>
          <cell r="I37">
            <v>7.2333333333333333E-2</v>
          </cell>
        </row>
        <row r="38">
          <cell r="B38">
            <v>164.02</v>
          </cell>
          <cell r="H38">
            <v>5.2108533653148932</v>
          </cell>
          <cell r="I38">
            <v>5.3831074811716464E-2</v>
          </cell>
        </row>
        <row r="39">
          <cell r="B39">
            <v>197.44</v>
          </cell>
          <cell r="H39">
            <v>6.6020599913279625</v>
          </cell>
          <cell r="I39">
            <v>2.1700000000000001E-2</v>
          </cell>
        </row>
        <row r="40">
          <cell r="B40">
            <v>215.97</v>
          </cell>
          <cell r="H40">
            <v>6.7041505168397988</v>
          </cell>
          <cell r="I40">
            <v>1.9293653342188397E-2</v>
          </cell>
        </row>
        <row r="53">
          <cell r="A53" t="str">
            <v>sample diClp331</v>
          </cell>
        </row>
        <row r="55">
          <cell r="B55">
            <v>60.18</v>
          </cell>
          <cell r="H55">
            <v>2.8061799739838871</v>
          </cell>
          <cell r="I55">
            <v>7.6721085758740398E-2</v>
          </cell>
        </row>
        <row r="56">
          <cell r="B56">
            <v>93.45</v>
          </cell>
          <cell r="H56">
            <v>3.5051499783199058</v>
          </cell>
          <cell r="I56">
            <v>3.4310712612826914E-2</v>
          </cell>
        </row>
        <row r="57">
          <cell r="B57">
            <v>110.95</v>
          </cell>
          <cell r="H57">
            <v>3.9242792860618816</v>
          </cell>
          <cell r="I57">
            <v>2.1177031582983171E-2</v>
          </cell>
        </row>
        <row r="58">
          <cell r="B58">
            <v>135.86000000000001</v>
          </cell>
          <cell r="H58">
            <v>4.5118833609788744</v>
          </cell>
          <cell r="I58">
            <v>0.12036994258087472</v>
          </cell>
        </row>
        <row r="59">
          <cell r="B59">
            <v>166.58</v>
          </cell>
          <cell r="H59">
            <v>5.3010299956639813</v>
          </cell>
          <cell r="I59">
            <v>9.7045350223490881E-2</v>
          </cell>
        </row>
        <row r="60">
          <cell r="B60">
            <v>187.95</v>
          </cell>
          <cell r="H60">
            <v>5.982271233039568</v>
          </cell>
          <cell r="I60">
            <v>6.2642504207074387E-2</v>
          </cell>
        </row>
        <row r="61">
          <cell r="B61">
            <v>208.78</v>
          </cell>
          <cell r="H61">
            <v>6.7839035792727351</v>
          </cell>
          <cell r="I61">
            <v>7.0404096770750935E-2</v>
          </cell>
        </row>
        <row r="62">
          <cell r="B62">
            <v>231.3</v>
          </cell>
          <cell r="H62">
            <v>6.8169038393756605</v>
          </cell>
          <cell r="I62">
            <v>6.7779412659655036E-2</v>
          </cell>
        </row>
        <row r="63">
          <cell r="B63">
            <v>255.98</v>
          </cell>
          <cell r="H63">
            <v>7.0962145853464049</v>
          </cell>
          <cell r="I63">
            <v>4.9140823281875454E-2</v>
          </cell>
        </row>
        <row r="78">
          <cell r="A78" t="str">
            <v>sample diClp354</v>
          </cell>
        </row>
        <row r="80">
          <cell r="B80">
            <v>67.459999999999994</v>
          </cell>
          <cell r="H80">
            <v>2.8061799739838871</v>
          </cell>
          <cell r="I80">
            <v>9.7045350223490881E-2</v>
          </cell>
        </row>
        <row r="81">
          <cell r="B81">
            <v>85.2</v>
          </cell>
          <cell r="H81">
            <v>3.0170333392987803</v>
          </cell>
          <cell r="I81">
            <v>6.0184971290437358E-2</v>
          </cell>
        </row>
        <row r="82">
          <cell r="B82">
            <v>120.87</v>
          </cell>
          <cell r="H82">
            <v>3.8704039052790269</v>
          </cell>
          <cell r="I82">
            <v>2.253215731366056E-2</v>
          </cell>
        </row>
        <row r="83">
          <cell r="B83">
            <v>139.82</v>
          </cell>
          <cell r="H83">
            <v>4.4068806700491248</v>
          </cell>
          <cell r="I83">
            <v>1.7182224539488238E-2</v>
          </cell>
        </row>
        <row r="84">
          <cell r="B84">
            <v>165.95</v>
          </cell>
          <cell r="H84">
            <v>5.2787536009528289</v>
          </cell>
          <cell r="I84">
            <v>9.956642849982382E-2</v>
          </cell>
        </row>
        <row r="85">
          <cell r="B85">
            <v>192.2</v>
          </cell>
          <cell r="H85">
            <v>6.1303337684950066</v>
          </cell>
          <cell r="I85">
            <v>3.7352772716755973E-2</v>
          </cell>
        </row>
        <row r="86">
          <cell r="B86">
            <v>216.45</v>
          </cell>
          <cell r="H86">
            <v>7.0203612826477082</v>
          </cell>
          <cell r="I86">
            <v>3.7918756059089044E-2</v>
          </cell>
        </row>
        <row r="103">
          <cell r="A103" t="str">
            <v>sample diClp355</v>
          </cell>
        </row>
        <row r="105">
          <cell r="B105">
            <v>65.709999999999994</v>
          </cell>
          <cell r="H105">
            <v>2.5563025007672873</v>
          </cell>
          <cell r="I105">
            <v>0.10229478101165387</v>
          </cell>
        </row>
        <row r="106">
          <cell r="B106">
            <v>83.55</v>
          </cell>
          <cell r="H106">
            <v>2.9138138523837167</v>
          </cell>
          <cell r="I106">
            <v>6.7779412659655022E-2</v>
          </cell>
        </row>
        <row r="107">
          <cell r="B107">
            <v>107.13</v>
          </cell>
          <cell r="H107">
            <v>3.7466341989375787</v>
          </cell>
          <cell r="I107">
            <v>2.5982900359873436E-2</v>
          </cell>
        </row>
        <row r="108">
          <cell r="B108">
            <v>138</v>
          </cell>
          <cell r="H108">
            <v>4.2430380486862944</v>
          </cell>
          <cell r="I108">
            <v>0.16403658128600462</v>
          </cell>
        </row>
        <row r="109">
          <cell r="B109">
            <v>164.26</v>
          </cell>
          <cell r="H109">
            <v>5.2430380486862944</v>
          </cell>
          <cell r="I109">
            <v>5.1872921645112688E-2</v>
          </cell>
        </row>
        <row r="110">
          <cell r="B110">
            <v>190.46</v>
          </cell>
          <cell r="H110">
            <v>6.1818435879447726</v>
          </cell>
          <cell r="I110">
            <v>3.5202048385375467E-2</v>
          </cell>
        </row>
        <row r="111">
          <cell r="B111">
            <v>214.66</v>
          </cell>
          <cell r="H111">
            <v>6.8375884382355112</v>
          </cell>
          <cell r="I111">
            <v>4.6799423570292271E-2</v>
          </cell>
        </row>
        <row r="128">
          <cell r="A128" t="str">
            <v>sample diClp358</v>
          </cell>
        </row>
        <row r="130">
          <cell r="B130">
            <v>47.15</v>
          </cell>
          <cell r="H130">
            <v>2.6989700043360187</v>
          </cell>
          <cell r="I130">
            <v>8.6800000000000002E-2</v>
          </cell>
        </row>
        <row r="131">
          <cell r="B131">
            <v>81.260000000000005</v>
          </cell>
          <cell r="H131">
            <v>3.287801729930226</v>
          </cell>
          <cell r="I131">
            <v>4.4066023566799062E-2</v>
          </cell>
        </row>
        <row r="132">
          <cell r="B132">
            <v>107.13</v>
          </cell>
          <cell r="H132">
            <v>3.7466341989375787</v>
          </cell>
          <cell r="I132">
            <v>2.5982900359873436E-2</v>
          </cell>
        </row>
        <row r="133">
          <cell r="B133">
            <v>100.38</v>
          </cell>
          <cell r="H133">
            <v>3.716003343634799</v>
          </cell>
          <cell r="I133">
            <v>2.6915537405858236E-2</v>
          </cell>
        </row>
        <row r="134">
          <cell r="B134">
            <v>126.33</v>
          </cell>
          <cell r="H134">
            <v>4.2430380486862944</v>
          </cell>
          <cell r="I134">
            <v>0.11599137898999218</v>
          </cell>
        </row>
        <row r="135">
          <cell r="B135">
            <v>152.55000000000001</v>
          </cell>
          <cell r="H135">
            <v>4.8750612633917001</v>
          </cell>
          <cell r="I135">
            <v>7.9237196652414035E-2</v>
          </cell>
        </row>
        <row r="136">
          <cell r="B136">
            <v>176.76</v>
          </cell>
          <cell r="H136">
            <v>5.6812412373755867</v>
          </cell>
          <cell r="I136">
            <v>3.6166666666666673E-2</v>
          </cell>
        </row>
        <row r="137">
          <cell r="B137">
            <v>194.86</v>
          </cell>
          <cell r="H137">
            <v>6.2648178230095368</v>
          </cell>
          <cell r="I137">
            <v>4.5247627850385219E-2</v>
          </cell>
        </row>
        <row r="138">
          <cell r="B138">
            <v>218.95</v>
          </cell>
          <cell r="H138">
            <v>6.7355988996981795</v>
          </cell>
          <cell r="I138">
            <v>7.4430385951848838E-2</v>
          </cell>
        </row>
        <row r="153">
          <cell r="A153" t="str">
            <v>sample diClp360</v>
          </cell>
        </row>
        <row r="155">
          <cell r="B155">
            <v>62.17</v>
          </cell>
          <cell r="H155">
            <v>2.8573324964312685</v>
          </cell>
          <cell r="I155">
            <v>8.3523338942765868E-2</v>
          </cell>
        </row>
        <row r="156">
          <cell r="B156">
            <v>96.15</v>
          </cell>
          <cell r="H156">
            <v>3.220108088040055</v>
          </cell>
          <cell r="I156">
            <v>4.7637688835525611E-2</v>
          </cell>
        </row>
        <row r="157">
          <cell r="B157">
            <v>115.22</v>
          </cell>
          <cell r="H157">
            <v>3.8838506290062735</v>
          </cell>
          <cell r="I157">
            <v>2.5618209986781455E-2</v>
          </cell>
        </row>
        <row r="158">
          <cell r="B158">
            <v>141.22</v>
          </cell>
          <cell r="H158">
            <v>4.6020599913279625</v>
          </cell>
          <cell r="I158">
            <v>0.1085</v>
          </cell>
        </row>
        <row r="159">
          <cell r="B159">
            <v>167.4</v>
          </cell>
          <cell r="H159">
            <v>5.3222192947339195</v>
          </cell>
          <cell r="I159">
            <v>6.696765388354789E-2</v>
          </cell>
        </row>
        <row r="160">
          <cell r="B160">
            <v>191.6</v>
          </cell>
          <cell r="H160">
            <v>6.20682587603185</v>
          </cell>
          <cell r="I160">
            <v>3.4203991630776968E-2</v>
          </cell>
        </row>
        <row r="161">
          <cell r="B161">
            <v>209.8</v>
          </cell>
          <cell r="H161">
            <v>6.971275848738105</v>
          </cell>
          <cell r="I161">
            <v>4.0123314193624908E-2</v>
          </cell>
        </row>
        <row r="178">
          <cell r="A178" t="str">
            <v>sample diClp361</v>
          </cell>
        </row>
        <row r="180">
          <cell r="B180">
            <v>63.7</v>
          </cell>
          <cell r="H180">
            <v>2.6812412373755872</v>
          </cell>
          <cell r="I180">
            <v>0.10229478101165387</v>
          </cell>
        </row>
        <row r="181">
          <cell r="B181">
            <v>97.62</v>
          </cell>
          <cell r="H181">
            <v>3.3344537511509307</v>
          </cell>
          <cell r="I181">
            <v>5.9059919353772188E-2</v>
          </cell>
        </row>
        <row r="182">
          <cell r="B182">
            <v>116.7</v>
          </cell>
          <cell r="H182">
            <v>3.8273692730538253</v>
          </cell>
          <cell r="I182">
            <v>3.3483826941773938E-2</v>
          </cell>
        </row>
        <row r="183">
          <cell r="B183">
            <v>142.65</v>
          </cell>
          <cell r="H183">
            <v>4.6283889300503116</v>
          </cell>
          <cell r="I183">
            <v>0.10526046126576852</v>
          </cell>
        </row>
        <row r="184">
          <cell r="B184">
            <v>168.87</v>
          </cell>
          <cell r="H184">
            <v>5.2671717284030137</v>
          </cell>
          <cell r="I184">
            <v>7.134916049052506E-2</v>
          </cell>
        </row>
        <row r="185">
          <cell r="B185">
            <v>193.04</v>
          </cell>
          <cell r="H185">
            <v>6.20682587603185</v>
          </cell>
          <cell r="I185">
            <v>3.4203991630776968E-2</v>
          </cell>
        </row>
        <row r="186">
          <cell r="B186">
            <v>211.24</v>
          </cell>
          <cell r="H186">
            <v>6.971275848738105</v>
          </cell>
          <cell r="I186">
            <v>4.0123314193624908E-2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7"/>
  <sheetViews>
    <sheetView tabSelected="1" workbookViewId="0">
      <selection activeCell="A2" sqref="A2"/>
    </sheetView>
  </sheetViews>
  <sheetFormatPr defaultColWidth="14.42578125" defaultRowHeight="15" customHeight="1" x14ac:dyDescent="0.2"/>
  <cols>
    <col min="4" max="4" width="18.42578125" customWidth="1"/>
    <col min="5" max="5" width="16" customWidth="1"/>
    <col min="7" max="7" width="16.140625" customWidth="1"/>
    <col min="8" max="8" width="18" customWidth="1"/>
    <col min="15" max="15" width="20.42578125" customWidth="1"/>
    <col min="16" max="16" width="16.85546875" customWidth="1"/>
    <col min="17" max="17" width="19.7109375" customWidth="1"/>
  </cols>
  <sheetData>
    <row r="1" spans="1:5" ht="15" customHeight="1" x14ac:dyDescent="0.2">
      <c r="A1" s="30" t="s">
        <v>122</v>
      </c>
      <c r="B1" s="30"/>
      <c r="C1" s="30"/>
      <c r="D1" s="30"/>
      <c r="E1" s="30"/>
    </row>
    <row r="2" spans="1:5" ht="15.75" customHeight="1" x14ac:dyDescent="0.2">
      <c r="A2" s="1" t="s">
        <v>123</v>
      </c>
    </row>
    <row r="3" spans="1:5" ht="15.75" customHeight="1" x14ac:dyDescent="0.2">
      <c r="A3" s="1" t="s">
        <v>0</v>
      </c>
    </row>
    <row r="4" spans="1:5" ht="15.75" customHeight="1" x14ac:dyDescent="0.2">
      <c r="A4" s="1" t="s">
        <v>1</v>
      </c>
      <c r="B4" s="2">
        <v>40382</v>
      </c>
      <c r="C4" s="3">
        <v>0.56458333333333333</v>
      </c>
    </row>
    <row r="5" spans="1:5" ht="15.75" customHeight="1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</row>
    <row r="6" spans="1:5" ht="15.75" customHeight="1" x14ac:dyDescent="0.2">
      <c r="A6" s="1" t="s">
        <v>7</v>
      </c>
      <c r="B6" s="1">
        <v>16</v>
      </c>
      <c r="C6" s="1">
        <v>1</v>
      </c>
      <c r="D6" s="1">
        <v>20</v>
      </c>
      <c r="E6" s="1">
        <f t="shared" ref="E6:E11" si="0">B6*C6*D6</f>
        <v>320</v>
      </c>
    </row>
    <row r="7" spans="1:5" ht="15.75" customHeight="1" x14ac:dyDescent="0.2">
      <c r="A7" s="1" t="s">
        <v>8</v>
      </c>
      <c r="B7" s="1">
        <v>16</v>
      </c>
      <c r="C7" s="1">
        <v>1</v>
      </c>
      <c r="D7" s="1">
        <v>20</v>
      </c>
      <c r="E7" s="1">
        <f t="shared" si="0"/>
        <v>320</v>
      </c>
    </row>
    <row r="8" spans="1:5" ht="15.75" customHeight="1" x14ac:dyDescent="0.2">
      <c r="A8" s="1" t="s">
        <v>9</v>
      </c>
      <c r="B8" s="1">
        <v>9</v>
      </c>
      <c r="C8" s="1">
        <v>1</v>
      </c>
      <c r="D8" s="1">
        <v>20</v>
      </c>
      <c r="E8" s="1">
        <f t="shared" si="0"/>
        <v>180</v>
      </c>
    </row>
    <row r="9" spans="1:5" ht="15.75" customHeight="1" x14ac:dyDescent="0.2">
      <c r="A9" s="1" t="s">
        <v>10</v>
      </c>
      <c r="B9" s="1">
        <v>13</v>
      </c>
      <c r="C9" s="1">
        <v>1</v>
      </c>
      <c r="D9" s="1">
        <v>20</v>
      </c>
      <c r="E9" s="1">
        <f t="shared" si="0"/>
        <v>260</v>
      </c>
    </row>
    <row r="10" spans="1:5" ht="15.75" customHeight="1" x14ac:dyDescent="0.2">
      <c r="A10" s="1" t="s">
        <v>11</v>
      </c>
      <c r="B10" s="1">
        <v>8</v>
      </c>
      <c r="C10" s="1">
        <v>1</v>
      </c>
      <c r="D10" s="1">
        <v>20</v>
      </c>
      <c r="E10" s="1">
        <f t="shared" si="0"/>
        <v>160</v>
      </c>
    </row>
    <row r="11" spans="1:5" ht="15.75" customHeight="1" x14ac:dyDescent="0.2">
      <c r="A11" s="1" t="s">
        <v>12</v>
      </c>
      <c r="B11" s="1">
        <v>10</v>
      </c>
      <c r="C11" s="1">
        <v>1</v>
      </c>
      <c r="D11" s="1">
        <v>20</v>
      </c>
      <c r="E11" s="1">
        <f t="shared" si="0"/>
        <v>200</v>
      </c>
    </row>
    <row r="12" spans="1:5" ht="15.75" customHeight="1" x14ac:dyDescent="0.2"/>
    <row r="13" spans="1:5" ht="15.75" customHeight="1" x14ac:dyDescent="0.2">
      <c r="A13" s="1" t="s">
        <v>13</v>
      </c>
      <c r="B13" s="2">
        <v>40383</v>
      </c>
      <c r="C13" s="3">
        <v>0.7006944444444444</v>
      </c>
    </row>
    <row r="14" spans="1:5" ht="15.75" customHeight="1" x14ac:dyDescent="0.2">
      <c r="A14" s="1" t="s">
        <v>2</v>
      </c>
      <c r="B14" s="1" t="s">
        <v>3</v>
      </c>
      <c r="C14" s="1" t="s">
        <v>4</v>
      </c>
      <c r="D14" s="1" t="s">
        <v>5</v>
      </c>
      <c r="E14" s="1" t="s">
        <v>6</v>
      </c>
    </row>
    <row r="15" spans="1:5" ht="15.75" customHeight="1" x14ac:dyDescent="0.2">
      <c r="A15" s="1" t="s">
        <v>7</v>
      </c>
      <c r="B15" s="1">
        <v>27</v>
      </c>
      <c r="C15" s="1">
        <v>1</v>
      </c>
      <c r="D15" s="1">
        <v>20</v>
      </c>
      <c r="E15" s="1">
        <f t="shared" ref="E15:E20" si="1">B15*C15*D15</f>
        <v>540</v>
      </c>
    </row>
    <row r="16" spans="1:5" ht="15.75" customHeight="1" x14ac:dyDescent="0.2">
      <c r="A16" s="1" t="s">
        <v>8</v>
      </c>
      <c r="B16" s="1">
        <v>20</v>
      </c>
      <c r="C16" s="1">
        <v>2</v>
      </c>
      <c r="D16" s="1">
        <v>20</v>
      </c>
      <c r="E16" s="1">
        <f t="shared" si="1"/>
        <v>800</v>
      </c>
    </row>
    <row r="17" spans="1:5" ht="15.75" customHeight="1" x14ac:dyDescent="0.2">
      <c r="A17" s="1" t="s">
        <v>9</v>
      </c>
      <c r="B17" s="1">
        <v>31</v>
      </c>
      <c r="C17" s="1">
        <v>1</v>
      </c>
      <c r="D17" s="1">
        <v>20</v>
      </c>
      <c r="E17" s="1">
        <f t="shared" si="1"/>
        <v>620</v>
      </c>
    </row>
    <row r="18" spans="1:5" ht="15.75" customHeight="1" x14ac:dyDescent="0.2">
      <c r="A18" s="1" t="s">
        <v>10</v>
      </c>
      <c r="B18" s="1">
        <v>29</v>
      </c>
      <c r="C18" s="1">
        <v>1</v>
      </c>
      <c r="D18" s="1">
        <v>20</v>
      </c>
      <c r="E18" s="1">
        <f t="shared" si="1"/>
        <v>580</v>
      </c>
    </row>
    <row r="19" spans="1:5" ht="15.75" customHeight="1" x14ac:dyDescent="0.2">
      <c r="A19" s="1" t="s">
        <v>11</v>
      </c>
      <c r="B19" s="1">
        <v>26</v>
      </c>
      <c r="C19" s="1">
        <v>1</v>
      </c>
      <c r="D19" s="1">
        <v>20</v>
      </c>
      <c r="E19" s="1">
        <f t="shared" si="1"/>
        <v>520</v>
      </c>
    </row>
    <row r="20" spans="1:5" ht="15.75" customHeight="1" x14ac:dyDescent="0.2">
      <c r="A20" s="1" t="s">
        <v>12</v>
      </c>
      <c r="B20" s="1">
        <v>20</v>
      </c>
      <c r="C20" s="1">
        <v>2</v>
      </c>
      <c r="D20" s="1">
        <v>20</v>
      </c>
      <c r="E20" s="1">
        <f t="shared" si="1"/>
        <v>800</v>
      </c>
    </row>
    <row r="21" spans="1:5" ht="15.75" customHeight="1" x14ac:dyDescent="0.2"/>
    <row r="22" spans="1:5" ht="15.75" customHeight="1" x14ac:dyDescent="0.2">
      <c r="A22" s="1" t="s">
        <v>13</v>
      </c>
      <c r="B22" s="2">
        <v>40383</v>
      </c>
      <c r="C22" s="3">
        <v>0.7006944444444444</v>
      </c>
    </row>
    <row r="23" spans="1:5" ht="15.75" customHeight="1" x14ac:dyDescent="0.2">
      <c r="A23" s="1" t="s">
        <v>2</v>
      </c>
      <c r="B23" s="1" t="s">
        <v>3</v>
      </c>
      <c r="C23" s="1" t="s">
        <v>4</v>
      </c>
      <c r="D23" s="1" t="s">
        <v>5</v>
      </c>
      <c r="E23" s="1" t="s">
        <v>6</v>
      </c>
    </row>
    <row r="24" spans="1:5" ht="15.75" customHeight="1" x14ac:dyDescent="0.2">
      <c r="A24" s="1" t="s">
        <v>7</v>
      </c>
      <c r="B24" s="1">
        <v>27</v>
      </c>
      <c r="C24" s="1">
        <v>1</v>
      </c>
      <c r="D24" s="1">
        <v>20</v>
      </c>
      <c r="E24" s="1">
        <f t="shared" ref="E24:E29" si="2">B24*C24*D24</f>
        <v>540</v>
      </c>
    </row>
    <row r="25" spans="1:5" ht="15.75" customHeight="1" x14ac:dyDescent="0.2">
      <c r="A25" s="1" t="s">
        <v>8</v>
      </c>
      <c r="B25" s="1">
        <v>20</v>
      </c>
      <c r="C25" s="1">
        <v>2</v>
      </c>
      <c r="D25" s="1">
        <v>20</v>
      </c>
      <c r="E25" s="1">
        <f t="shared" si="2"/>
        <v>800</v>
      </c>
    </row>
    <row r="26" spans="1:5" ht="15.75" customHeight="1" x14ac:dyDescent="0.2">
      <c r="A26" s="1" t="s">
        <v>9</v>
      </c>
      <c r="B26" s="1">
        <v>31</v>
      </c>
      <c r="C26" s="1">
        <v>1</v>
      </c>
      <c r="D26" s="1">
        <v>20</v>
      </c>
      <c r="E26" s="1">
        <f t="shared" si="2"/>
        <v>620</v>
      </c>
    </row>
    <row r="27" spans="1:5" ht="15.75" customHeight="1" x14ac:dyDescent="0.2">
      <c r="A27" s="1" t="s">
        <v>10</v>
      </c>
      <c r="B27" s="1">
        <v>29</v>
      </c>
      <c r="C27" s="1">
        <v>1</v>
      </c>
      <c r="D27" s="1">
        <v>20</v>
      </c>
      <c r="E27" s="1">
        <f t="shared" si="2"/>
        <v>580</v>
      </c>
    </row>
    <row r="28" spans="1:5" ht="15.75" customHeight="1" x14ac:dyDescent="0.2">
      <c r="A28" s="1" t="s">
        <v>11</v>
      </c>
      <c r="B28" s="1">
        <v>26</v>
      </c>
      <c r="C28" s="1">
        <v>1</v>
      </c>
      <c r="D28" s="1">
        <v>20</v>
      </c>
      <c r="E28" s="1">
        <f t="shared" si="2"/>
        <v>520</v>
      </c>
    </row>
    <row r="29" spans="1:5" ht="15.75" customHeight="1" x14ac:dyDescent="0.2">
      <c r="A29" s="1" t="s">
        <v>12</v>
      </c>
      <c r="B29" s="1">
        <v>20</v>
      </c>
      <c r="C29" s="1">
        <v>2</v>
      </c>
      <c r="D29" s="1">
        <v>20</v>
      </c>
      <c r="E29" s="1">
        <f t="shared" si="2"/>
        <v>800</v>
      </c>
    </row>
    <row r="30" spans="1:5" ht="15.75" customHeight="1" x14ac:dyDescent="0.2"/>
    <row r="31" spans="1:5" ht="15.75" customHeight="1" x14ac:dyDescent="0.2">
      <c r="A31" s="1" t="s">
        <v>14</v>
      </c>
      <c r="B31" s="2">
        <v>40384</v>
      </c>
      <c r="C31" s="3">
        <v>0.64166666666666672</v>
      </c>
    </row>
    <row r="32" spans="1:5" ht="15.75" customHeight="1" x14ac:dyDescent="0.2">
      <c r="A32" s="1" t="s">
        <v>2</v>
      </c>
      <c r="B32" s="1" t="s">
        <v>3</v>
      </c>
      <c r="C32" s="1" t="s">
        <v>4</v>
      </c>
      <c r="D32" s="1" t="s">
        <v>5</v>
      </c>
      <c r="E32" s="1" t="s">
        <v>6</v>
      </c>
    </row>
    <row r="33" spans="1:5" ht="15.75" customHeight="1" x14ac:dyDescent="0.2">
      <c r="A33" s="1" t="s">
        <v>7</v>
      </c>
      <c r="B33" s="1">
        <v>31</v>
      </c>
      <c r="C33" s="1">
        <v>2</v>
      </c>
      <c r="D33" s="1">
        <v>20</v>
      </c>
      <c r="E33" s="1">
        <f t="shared" ref="E33:E38" si="3">B33*C33*D33</f>
        <v>1240</v>
      </c>
    </row>
    <row r="34" spans="1:5" ht="15.75" customHeight="1" x14ac:dyDescent="0.2">
      <c r="A34" s="1" t="s">
        <v>8</v>
      </c>
      <c r="B34" s="1">
        <v>23</v>
      </c>
      <c r="C34" s="1">
        <v>4</v>
      </c>
      <c r="D34" s="1">
        <v>20</v>
      </c>
      <c r="E34" s="1">
        <f t="shared" si="3"/>
        <v>1840</v>
      </c>
    </row>
    <row r="35" spans="1:5" ht="15.75" customHeight="1" x14ac:dyDescent="0.2">
      <c r="A35" s="1" t="s">
        <v>9</v>
      </c>
      <c r="B35" s="1">
        <v>33</v>
      </c>
      <c r="C35" s="1">
        <v>2</v>
      </c>
      <c r="D35" s="1">
        <v>20</v>
      </c>
      <c r="E35" s="1">
        <f t="shared" si="3"/>
        <v>1320</v>
      </c>
    </row>
    <row r="36" spans="1:5" ht="15.75" customHeight="1" x14ac:dyDescent="0.2">
      <c r="A36" s="1" t="s">
        <v>10</v>
      </c>
      <c r="B36" s="1">
        <v>41</v>
      </c>
      <c r="C36" s="1">
        <v>2</v>
      </c>
      <c r="D36" s="1">
        <v>20</v>
      </c>
      <c r="E36" s="1">
        <f t="shared" si="3"/>
        <v>1640</v>
      </c>
    </row>
    <row r="37" spans="1:5" ht="15.75" customHeight="1" x14ac:dyDescent="0.2">
      <c r="A37" s="1" t="s">
        <v>11</v>
      </c>
      <c r="B37" s="1">
        <v>30</v>
      </c>
      <c r="C37" s="1">
        <v>2</v>
      </c>
      <c r="D37" s="1">
        <v>20</v>
      </c>
      <c r="E37" s="1">
        <f t="shared" si="3"/>
        <v>1200</v>
      </c>
    </row>
    <row r="38" spans="1:5" ht="15.75" customHeight="1" x14ac:dyDescent="0.2">
      <c r="A38" s="1" t="s">
        <v>12</v>
      </c>
      <c r="B38" s="1">
        <v>31</v>
      </c>
      <c r="C38" s="1">
        <v>2</v>
      </c>
      <c r="D38" s="1">
        <v>20</v>
      </c>
      <c r="E38" s="1">
        <f t="shared" si="3"/>
        <v>1240</v>
      </c>
    </row>
    <row r="39" spans="1:5" ht="15.75" customHeight="1" x14ac:dyDescent="0.2"/>
    <row r="40" spans="1:5" ht="15.75" customHeight="1" x14ac:dyDescent="0.2">
      <c r="A40" s="1" t="s">
        <v>15</v>
      </c>
      <c r="B40" s="2">
        <v>40385</v>
      </c>
      <c r="C40" s="4">
        <v>0.49861111111111112</v>
      </c>
    </row>
    <row r="41" spans="1:5" ht="15.75" customHeight="1" x14ac:dyDescent="0.2">
      <c r="A41" s="1" t="s">
        <v>2</v>
      </c>
      <c r="B41" s="1" t="s">
        <v>3</v>
      </c>
      <c r="C41" s="1" t="s">
        <v>4</v>
      </c>
      <c r="D41" s="1" t="s">
        <v>5</v>
      </c>
      <c r="E41" s="1" t="s">
        <v>6</v>
      </c>
    </row>
    <row r="42" spans="1:5" ht="15.75" customHeight="1" x14ac:dyDescent="0.2">
      <c r="A42" s="1" t="s">
        <v>7</v>
      </c>
      <c r="B42" s="1">
        <v>37</v>
      </c>
      <c r="C42" s="1">
        <v>4</v>
      </c>
      <c r="D42" s="1">
        <v>20</v>
      </c>
      <c r="E42" s="1">
        <f t="shared" ref="E42:E47" si="4">B42*C42*D42</f>
        <v>2960</v>
      </c>
    </row>
    <row r="43" spans="1:5" ht="15.75" customHeight="1" x14ac:dyDescent="0.2">
      <c r="A43" s="1" t="s">
        <v>8</v>
      </c>
      <c r="B43" s="1">
        <v>29</v>
      </c>
      <c r="C43" s="1">
        <v>4</v>
      </c>
      <c r="D43" s="1">
        <v>20</v>
      </c>
      <c r="E43" s="1">
        <f t="shared" si="4"/>
        <v>2320</v>
      </c>
    </row>
    <row r="44" spans="1:5" ht="15.75" customHeight="1" x14ac:dyDescent="0.2">
      <c r="A44" s="1" t="s">
        <v>9</v>
      </c>
      <c r="B44" s="1">
        <v>33</v>
      </c>
      <c r="C44" s="1">
        <v>4</v>
      </c>
      <c r="D44" s="1">
        <v>20</v>
      </c>
      <c r="E44" s="1">
        <f t="shared" si="4"/>
        <v>2640</v>
      </c>
    </row>
    <row r="45" spans="1:5" ht="15.75" customHeight="1" x14ac:dyDescent="0.2">
      <c r="A45" s="1" t="s">
        <v>10</v>
      </c>
      <c r="B45" s="1">
        <v>28</v>
      </c>
      <c r="C45" s="1">
        <v>4</v>
      </c>
      <c r="D45" s="1">
        <v>20</v>
      </c>
      <c r="E45" s="1">
        <f t="shared" si="4"/>
        <v>2240</v>
      </c>
    </row>
    <row r="46" spans="1:5" ht="15.75" customHeight="1" x14ac:dyDescent="0.2">
      <c r="A46" s="1" t="s">
        <v>11</v>
      </c>
      <c r="B46" s="1">
        <v>29</v>
      </c>
      <c r="C46" s="1">
        <v>4</v>
      </c>
      <c r="D46" s="1">
        <v>20</v>
      </c>
      <c r="E46" s="1">
        <f t="shared" si="4"/>
        <v>2320</v>
      </c>
    </row>
    <row r="47" spans="1:5" ht="15.75" customHeight="1" x14ac:dyDescent="0.2">
      <c r="A47" s="1" t="s">
        <v>12</v>
      </c>
      <c r="B47" s="1">
        <v>24</v>
      </c>
      <c r="C47" s="1">
        <v>4</v>
      </c>
      <c r="D47" s="1">
        <v>20</v>
      </c>
      <c r="E47" s="1">
        <f t="shared" si="4"/>
        <v>1920</v>
      </c>
    </row>
    <row r="48" spans="1:5" ht="15.75" customHeight="1" x14ac:dyDescent="0.2"/>
    <row r="49" spans="1:5" ht="15.75" customHeight="1" x14ac:dyDescent="0.2">
      <c r="A49" s="1" t="s">
        <v>16</v>
      </c>
      <c r="B49" s="2">
        <v>40386</v>
      </c>
      <c r="C49" s="4">
        <v>0.61805555555555558</v>
      </c>
    </row>
    <row r="50" spans="1:5" ht="15.75" customHeight="1" x14ac:dyDescent="0.2">
      <c r="A50" s="1" t="s">
        <v>2</v>
      </c>
      <c r="B50" s="1" t="s">
        <v>3</v>
      </c>
      <c r="C50" s="1" t="s">
        <v>4</v>
      </c>
      <c r="D50" s="1" t="s">
        <v>5</v>
      </c>
      <c r="E50" s="1" t="s">
        <v>6</v>
      </c>
    </row>
    <row r="51" spans="1:5" ht="15.75" customHeight="1" x14ac:dyDescent="0.2">
      <c r="A51" s="1" t="s">
        <v>7</v>
      </c>
      <c r="B51" s="1">
        <v>48</v>
      </c>
      <c r="C51" s="1">
        <v>4</v>
      </c>
      <c r="D51" s="1">
        <v>20</v>
      </c>
      <c r="E51" s="1">
        <f t="shared" ref="E51:E56" si="5">B51*C51*D51</f>
        <v>3840</v>
      </c>
    </row>
    <row r="52" spans="1:5" ht="15.75" customHeight="1" x14ac:dyDescent="0.2">
      <c r="A52" s="1" t="s">
        <v>8</v>
      </c>
      <c r="B52" s="1">
        <v>67</v>
      </c>
      <c r="C52" s="1">
        <v>8</v>
      </c>
      <c r="D52" s="1">
        <v>20</v>
      </c>
      <c r="E52" s="1">
        <f t="shared" si="5"/>
        <v>10720</v>
      </c>
    </row>
    <row r="53" spans="1:5" ht="15.75" customHeight="1" x14ac:dyDescent="0.2">
      <c r="A53" s="1" t="s">
        <v>9</v>
      </c>
      <c r="B53" s="1">
        <v>47</v>
      </c>
      <c r="C53" s="1">
        <v>8</v>
      </c>
      <c r="D53" s="1">
        <v>20</v>
      </c>
      <c r="E53" s="1">
        <f t="shared" si="5"/>
        <v>7520</v>
      </c>
    </row>
    <row r="54" spans="1:5" ht="15.75" customHeight="1" x14ac:dyDescent="0.2">
      <c r="A54" s="1" t="s">
        <v>10</v>
      </c>
      <c r="B54" s="1">
        <v>43</v>
      </c>
      <c r="C54" s="1">
        <v>8</v>
      </c>
      <c r="D54" s="1">
        <v>20</v>
      </c>
      <c r="E54" s="1">
        <f t="shared" si="5"/>
        <v>6880</v>
      </c>
    </row>
    <row r="55" spans="1:5" ht="15.75" customHeight="1" x14ac:dyDescent="0.2">
      <c r="A55" s="1" t="s">
        <v>11</v>
      </c>
      <c r="B55" s="1">
        <v>26</v>
      </c>
      <c r="C55" s="1">
        <v>8</v>
      </c>
      <c r="D55" s="1">
        <v>20</v>
      </c>
      <c r="E55" s="1">
        <f t="shared" si="5"/>
        <v>4160</v>
      </c>
    </row>
    <row r="56" spans="1:5" ht="15.75" customHeight="1" x14ac:dyDescent="0.2">
      <c r="A56" s="1" t="s">
        <v>12</v>
      </c>
      <c r="B56" s="1">
        <v>32</v>
      </c>
      <c r="C56" s="1">
        <v>8</v>
      </c>
      <c r="D56" s="1">
        <v>20</v>
      </c>
      <c r="E56" s="1">
        <f t="shared" si="5"/>
        <v>5120</v>
      </c>
    </row>
    <row r="57" spans="1:5" ht="15.75" customHeight="1" x14ac:dyDescent="0.2"/>
    <row r="58" spans="1:5" ht="15.75" customHeight="1" x14ac:dyDescent="0.2">
      <c r="A58" s="1" t="s">
        <v>17</v>
      </c>
      <c r="B58" s="2">
        <v>40387</v>
      </c>
      <c r="C58" s="4">
        <v>0.58819444444444446</v>
      </c>
    </row>
    <row r="59" spans="1:5" ht="15.75" customHeight="1" x14ac:dyDescent="0.2">
      <c r="A59" s="1" t="s">
        <v>2</v>
      </c>
      <c r="B59" s="1" t="s">
        <v>3</v>
      </c>
      <c r="C59" s="1" t="s">
        <v>4</v>
      </c>
      <c r="D59" s="1" t="s">
        <v>5</v>
      </c>
      <c r="E59" s="1" t="s">
        <v>6</v>
      </c>
    </row>
    <row r="60" spans="1:5" ht="15.75" customHeight="1" x14ac:dyDescent="0.2">
      <c r="A60" s="1" t="s">
        <v>7</v>
      </c>
      <c r="B60" s="1">
        <v>33</v>
      </c>
      <c r="C60" s="1">
        <v>8</v>
      </c>
      <c r="D60" s="1">
        <v>20</v>
      </c>
      <c r="E60" s="1">
        <f t="shared" ref="E60:E65" si="6">B60*C60*D60</f>
        <v>5280</v>
      </c>
    </row>
    <row r="61" spans="1:5" ht="15.75" customHeight="1" x14ac:dyDescent="0.2">
      <c r="A61" s="1" t="s">
        <v>8</v>
      </c>
      <c r="B61" s="1">
        <v>70</v>
      </c>
      <c r="C61" s="1">
        <v>40</v>
      </c>
      <c r="D61" s="1">
        <v>20</v>
      </c>
      <c r="E61" s="1">
        <f t="shared" si="6"/>
        <v>56000</v>
      </c>
    </row>
    <row r="62" spans="1:5" ht="15.75" customHeight="1" x14ac:dyDescent="0.2">
      <c r="A62" s="1" t="s">
        <v>9</v>
      </c>
      <c r="B62" s="1">
        <v>41</v>
      </c>
      <c r="C62" s="1">
        <v>40</v>
      </c>
      <c r="D62" s="1">
        <v>20</v>
      </c>
      <c r="E62" s="1">
        <f t="shared" si="6"/>
        <v>32800</v>
      </c>
    </row>
    <row r="63" spans="1:5" ht="15.75" customHeight="1" x14ac:dyDescent="0.2">
      <c r="A63" s="1" t="s">
        <v>10</v>
      </c>
      <c r="B63" s="1">
        <v>47</v>
      </c>
      <c r="C63" s="1">
        <v>40</v>
      </c>
      <c r="D63" s="1">
        <v>20</v>
      </c>
      <c r="E63" s="1">
        <f t="shared" si="6"/>
        <v>37600</v>
      </c>
    </row>
    <row r="64" spans="1:5" ht="15.75" customHeight="1" x14ac:dyDescent="0.2">
      <c r="A64" s="1" t="s">
        <v>11</v>
      </c>
      <c r="B64" s="1">
        <v>22</v>
      </c>
      <c r="C64" s="1">
        <v>40</v>
      </c>
      <c r="D64" s="1">
        <v>20</v>
      </c>
      <c r="E64" s="1">
        <f t="shared" si="6"/>
        <v>17600</v>
      </c>
    </row>
    <row r="65" spans="1:5" ht="15.75" customHeight="1" x14ac:dyDescent="0.2">
      <c r="A65" s="1" t="s">
        <v>12</v>
      </c>
      <c r="B65" s="1">
        <v>22</v>
      </c>
      <c r="C65" s="1">
        <v>40</v>
      </c>
      <c r="D65" s="1">
        <v>20</v>
      </c>
      <c r="E65" s="1">
        <f t="shared" si="6"/>
        <v>17600</v>
      </c>
    </row>
    <row r="66" spans="1:5" ht="15.75" customHeight="1" x14ac:dyDescent="0.2"/>
    <row r="67" spans="1:5" ht="15.75" customHeight="1" x14ac:dyDescent="0.2">
      <c r="A67" s="1" t="s">
        <v>18</v>
      </c>
      <c r="B67" s="2">
        <v>40388</v>
      </c>
      <c r="C67" s="4">
        <v>0.74097222222222225</v>
      </c>
    </row>
    <row r="68" spans="1:5" ht="15.75" customHeight="1" x14ac:dyDescent="0.2">
      <c r="A68" s="1" t="s">
        <v>2</v>
      </c>
      <c r="B68" s="1" t="s">
        <v>3</v>
      </c>
      <c r="C68" s="1" t="s">
        <v>4</v>
      </c>
      <c r="D68" s="1" t="s">
        <v>5</v>
      </c>
      <c r="E68" s="1" t="s">
        <v>6</v>
      </c>
    </row>
    <row r="69" spans="1:5" ht="15.75" customHeight="1" x14ac:dyDescent="0.2">
      <c r="A69" s="1" t="s">
        <v>7</v>
      </c>
      <c r="B69" s="1">
        <v>45</v>
      </c>
      <c r="C69" s="1">
        <v>20</v>
      </c>
      <c r="D69" s="5">
        <v>20</v>
      </c>
      <c r="E69" s="1">
        <f t="shared" ref="E69:E74" si="7">B69*C69*D69</f>
        <v>18000</v>
      </c>
    </row>
    <row r="70" spans="1:5" ht="15.75" customHeight="1" x14ac:dyDescent="0.2">
      <c r="A70" s="1" t="s">
        <v>8</v>
      </c>
      <c r="B70" s="1">
        <v>95</v>
      </c>
      <c r="C70" s="1">
        <v>1</v>
      </c>
      <c r="D70" s="6">
        <v>10000</v>
      </c>
      <c r="E70" s="6">
        <f t="shared" si="7"/>
        <v>950000</v>
      </c>
    </row>
    <row r="71" spans="1:5" ht="15.75" customHeight="1" x14ac:dyDescent="0.2">
      <c r="A71" s="1" t="s">
        <v>9</v>
      </c>
      <c r="B71" s="1">
        <v>41</v>
      </c>
      <c r="C71" s="1">
        <v>1</v>
      </c>
      <c r="D71" s="6">
        <v>10000</v>
      </c>
      <c r="E71" s="6">
        <f t="shared" si="7"/>
        <v>410000</v>
      </c>
    </row>
    <row r="72" spans="1:5" ht="15.75" customHeight="1" x14ac:dyDescent="0.2">
      <c r="A72" s="1" t="s">
        <v>10</v>
      </c>
      <c r="B72" s="1">
        <v>44</v>
      </c>
      <c r="C72" s="1">
        <v>1</v>
      </c>
      <c r="D72" s="6">
        <v>10000</v>
      </c>
      <c r="E72" s="6">
        <f t="shared" si="7"/>
        <v>440000</v>
      </c>
    </row>
    <row r="73" spans="1:5" ht="15.75" customHeight="1" x14ac:dyDescent="0.2">
      <c r="A73" s="1" t="s">
        <v>11</v>
      </c>
      <c r="B73" s="1">
        <v>38</v>
      </c>
      <c r="C73" s="1">
        <f t="shared" ref="C73:C74" si="8">1/4</f>
        <v>0.25</v>
      </c>
      <c r="D73" s="6">
        <v>10000</v>
      </c>
      <c r="E73" s="6">
        <f t="shared" si="7"/>
        <v>95000</v>
      </c>
    </row>
    <row r="74" spans="1:5" ht="15.75" customHeight="1" x14ac:dyDescent="0.2">
      <c r="A74" s="1" t="s">
        <v>12</v>
      </c>
      <c r="B74" s="1">
        <v>47</v>
      </c>
      <c r="C74" s="1">
        <f t="shared" si="8"/>
        <v>0.25</v>
      </c>
      <c r="D74" s="6">
        <v>10000</v>
      </c>
      <c r="E74" s="6">
        <f t="shared" si="7"/>
        <v>117500</v>
      </c>
    </row>
    <row r="75" spans="1:5" ht="15.75" customHeight="1" x14ac:dyDescent="0.2"/>
    <row r="76" spans="1:5" ht="15.75" customHeight="1" x14ac:dyDescent="0.2">
      <c r="A76" s="1" t="s">
        <v>19</v>
      </c>
      <c r="B76" s="2">
        <v>40389</v>
      </c>
      <c r="C76" s="4">
        <v>0.74097222222222225</v>
      </c>
    </row>
    <row r="77" spans="1:5" ht="15.75" customHeight="1" x14ac:dyDescent="0.2">
      <c r="A77" s="1" t="s">
        <v>2</v>
      </c>
      <c r="B77" s="1" t="s">
        <v>3</v>
      </c>
      <c r="C77" s="1" t="s">
        <v>4</v>
      </c>
      <c r="D77" s="1" t="s">
        <v>5</v>
      </c>
      <c r="E77" s="1" t="s">
        <v>6</v>
      </c>
    </row>
    <row r="78" spans="1:5" ht="15.75" customHeight="1" x14ac:dyDescent="0.2">
      <c r="A78" s="1" t="s">
        <v>7</v>
      </c>
      <c r="B78" s="1">
        <v>65</v>
      </c>
      <c r="C78" s="1">
        <v>40</v>
      </c>
      <c r="D78" s="5">
        <v>20</v>
      </c>
      <c r="E78" s="1">
        <f t="shared" ref="E78:E83" si="9">B78*C78*D78</f>
        <v>52000</v>
      </c>
    </row>
    <row r="79" spans="1:5" ht="15.75" customHeight="1" x14ac:dyDescent="0.2">
      <c r="A79" s="1" t="s">
        <v>8</v>
      </c>
      <c r="B79" s="1">
        <v>79</v>
      </c>
      <c r="C79" s="1">
        <f>16/4</f>
        <v>4</v>
      </c>
      <c r="D79" s="6">
        <v>10000</v>
      </c>
      <c r="E79" s="6">
        <f t="shared" si="9"/>
        <v>3160000</v>
      </c>
    </row>
    <row r="80" spans="1:5" ht="15.75" customHeight="1" x14ac:dyDescent="0.2">
      <c r="A80" s="1" t="s">
        <v>9</v>
      </c>
      <c r="B80" s="1">
        <v>122</v>
      </c>
      <c r="C80" s="1">
        <v>1</v>
      </c>
      <c r="D80" s="6">
        <v>10000</v>
      </c>
      <c r="E80" s="6">
        <f t="shared" si="9"/>
        <v>1220000</v>
      </c>
    </row>
    <row r="81" spans="1:5" ht="15.75" customHeight="1" x14ac:dyDescent="0.2">
      <c r="A81" s="1" t="s">
        <v>10</v>
      </c>
      <c r="B81" s="1">
        <v>74</v>
      </c>
      <c r="C81" s="1">
        <f>16/8</f>
        <v>2</v>
      </c>
      <c r="D81" s="6">
        <v>10000</v>
      </c>
      <c r="E81" s="6">
        <f t="shared" si="9"/>
        <v>1480000</v>
      </c>
    </row>
    <row r="82" spans="1:5" ht="15.75" customHeight="1" x14ac:dyDescent="0.2">
      <c r="A82" s="1" t="s">
        <v>11</v>
      </c>
      <c r="B82" s="1">
        <v>82</v>
      </c>
      <c r="C82" s="1">
        <f t="shared" ref="C82:C83" si="10">1/2</f>
        <v>0.5</v>
      </c>
      <c r="D82" s="6">
        <v>10000</v>
      </c>
      <c r="E82" s="6">
        <f t="shared" si="9"/>
        <v>410000</v>
      </c>
    </row>
    <row r="83" spans="1:5" ht="15.75" customHeight="1" x14ac:dyDescent="0.2">
      <c r="A83" s="1" t="s">
        <v>12</v>
      </c>
      <c r="B83" s="1">
        <v>81</v>
      </c>
      <c r="C83" s="1">
        <f t="shared" si="10"/>
        <v>0.5</v>
      </c>
      <c r="D83" s="6">
        <v>10000</v>
      </c>
      <c r="E83" s="6">
        <f t="shared" si="9"/>
        <v>405000</v>
      </c>
    </row>
    <row r="84" spans="1:5" ht="15.75" customHeight="1" x14ac:dyDescent="0.2"/>
    <row r="85" spans="1:5" ht="15.75" customHeight="1" x14ac:dyDescent="0.2">
      <c r="A85" s="1" t="s">
        <v>20</v>
      </c>
      <c r="B85" s="2">
        <v>40390</v>
      </c>
      <c r="C85" s="4">
        <v>0.61111111111111116</v>
      </c>
    </row>
    <row r="86" spans="1:5" ht="15.75" customHeight="1" x14ac:dyDescent="0.2">
      <c r="A86" s="1" t="s">
        <v>2</v>
      </c>
      <c r="B86" s="1" t="s">
        <v>3</v>
      </c>
      <c r="C86" s="1" t="s">
        <v>4</v>
      </c>
      <c r="D86" s="1" t="s">
        <v>5</v>
      </c>
      <c r="E86" s="1" t="s">
        <v>6</v>
      </c>
    </row>
    <row r="87" spans="1:5" ht="15.75" customHeight="1" x14ac:dyDescent="0.2">
      <c r="A87" s="1" t="s">
        <v>7</v>
      </c>
      <c r="B87" s="1">
        <v>69</v>
      </c>
      <c r="C87" s="1">
        <f>1/2</f>
        <v>0.5</v>
      </c>
      <c r="D87" s="5">
        <v>10000</v>
      </c>
      <c r="E87" s="1">
        <f t="shared" ref="E87:E92" si="11">B87*C87*D87</f>
        <v>345000</v>
      </c>
    </row>
    <row r="88" spans="1:5" ht="15.75" customHeight="1" x14ac:dyDescent="0.2">
      <c r="A88" s="1" t="s">
        <v>8</v>
      </c>
      <c r="B88" s="1">
        <v>71</v>
      </c>
      <c r="C88" s="1">
        <v>16</v>
      </c>
      <c r="D88" s="6">
        <v>10000</v>
      </c>
      <c r="E88" s="6">
        <f t="shared" si="11"/>
        <v>11360000</v>
      </c>
    </row>
    <row r="89" spans="1:5" ht="15.75" customHeight="1" x14ac:dyDescent="0.2">
      <c r="A89" s="1" t="s">
        <v>9</v>
      </c>
      <c r="B89" s="1">
        <v>52</v>
      </c>
      <c r="C89" s="1">
        <v>16</v>
      </c>
      <c r="D89" s="6">
        <v>10000</v>
      </c>
      <c r="E89" s="6">
        <f t="shared" si="11"/>
        <v>8320000</v>
      </c>
    </row>
    <row r="90" spans="1:5" ht="15.75" customHeight="1" x14ac:dyDescent="0.2">
      <c r="A90" s="1" t="s">
        <v>10</v>
      </c>
      <c r="B90" s="1">
        <v>37</v>
      </c>
      <c r="C90" s="1">
        <v>16</v>
      </c>
      <c r="D90" s="6">
        <v>10000</v>
      </c>
      <c r="E90" s="6">
        <f t="shared" si="11"/>
        <v>5920000</v>
      </c>
    </row>
    <row r="91" spans="1:5" ht="15.75" customHeight="1" x14ac:dyDescent="0.2">
      <c r="A91" s="1" t="s">
        <v>11</v>
      </c>
      <c r="B91" s="1">
        <v>104</v>
      </c>
      <c r="C91" s="1">
        <f>16/4</f>
        <v>4</v>
      </c>
      <c r="D91" s="6">
        <v>10000</v>
      </c>
      <c r="E91" s="6">
        <f t="shared" si="11"/>
        <v>4160000</v>
      </c>
    </row>
    <row r="92" spans="1:5" ht="15.75" customHeight="1" x14ac:dyDescent="0.2">
      <c r="A92" s="1" t="s">
        <v>12</v>
      </c>
      <c r="B92" s="1">
        <v>67</v>
      </c>
      <c r="C92" s="1">
        <f>16/3</f>
        <v>5.333333333333333</v>
      </c>
      <c r="D92" s="6">
        <v>10000</v>
      </c>
      <c r="E92" s="6">
        <f t="shared" si="11"/>
        <v>3573333.333333333</v>
      </c>
    </row>
    <row r="93" spans="1:5" ht="15.75" customHeight="1" x14ac:dyDescent="0.2"/>
    <row r="94" spans="1:5" ht="15.75" customHeight="1" x14ac:dyDescent="0.2">
      <c r="A94" s="1" t="s">
        <v>21</v>
      </c>
      <c r="B94" s="2">
        <v>40391</v>
      </c>
      <c r="C94" s="4">
        <v>0.65208333333333335</v>
      </c>
    </row>
    <row r="95" spans="1:5" ht="15.75" customHeight="1" x14ac:dyDescent="0.2">
      <c r="A95" s="1" t="s">
        <v>2</v>
      </c>
      <c r="B95" s="1" t="s">
        <v>3</v>
      </c>
      <c r="C95" s="1" t="s">
        <v>4</v>
      </c>
      <c r="D95" s="1" t="s">
        <v>5</v>
      </c>
      <c r="E95" s="1" t="s">
        <v>6</v>
      </c>
    </row>
    <row r="96" spans="1:5" ht="15.75" customHeight="1" x14ac:dyDescent="0.2">
      <c r="A96" s="1" t="s">
        <v>7</v>
      </c>
      <c r="B96" s="1">
        <v>53</v>
      </c>
      <c r="C96" s="1">
        <f>16/4</f>
        <v>4</v>
      </c>
      <c r="D96" s="6">
        <v>10000</v>
      </c>
      <c r="E96" s="6">
        <f t="shared" ref="E96:E101" si="12">B96*C96*D96</f>
        <v>2120000</v>
      </c>
    </row>
    <row r="97" spans="1:13" ht="15.75" customHeight="1" x14ac:dyDescent="0.2">
      <c r="A97" s="1" t="s">
        <v>8</v>
      </c>
      <c r="B97" s="1">
        <v>50</v>
      </c>
      <c r="C97" s="1">
        <v>16</v>
      </c>
      <c r="D97" s="6">
        <v>10000</v>
      </c>
      <c r="E97" s="6">
        <f t="shared" si="12"/>
        <v>8000000</v>
      </c>
    </row>
    <row r="98" spans="1:13" ht="15.75" customHeight="1" x14ac:dyDescent="0.2">
      <c r="A98" s="1" t="s">
        <v>9</v>
      </c>
      <c r="B98" s="1">
        <v>62</v>
      </c>
      <c r="C98" s="1">
        <v>16</v>
      </c>
      <c r="D98" s="6">
        <v>10000</v>
      </c>
      <c r="E98" s="6">
        <f t="shared" si="12"/>
        <v>9920000</v>
      </c>
    </row>
    <row r="99" spans="1:13" ht="15.75" customHeight="1" x14ac:dyDescent="0.2">
      <c r="A99" s="1" t="s">
        <v>10</v>
      </c>
      <c r="B99" s="1">
        <v>69</v>
      </c>
      <c r="C99" s="1">
        <v>16</v>
      </c>
      <c r="D99" s="6">
        <v>10000</v>
      </c>
      <c r="E99" s="6">
        <f t="shared" si="12"/>
        <v>11040000</v>
      </c>
    </row>
    <row r="100" spans="1:13" ht="15.75" customHeight="1" x14ac:dyDescent="0.2">
      <c r="A100" s="1" t="s">
        <v>11</v>
      </c>
      <c r="B100" s="1">
        <v>76</v>
      </c>
      <c r="C100" s="1">
        <v>16</v>
      </c>
      <c r="D100" s="6">
        <v>10000</v>
      </c>
      <c r="E100" s="6">
        <f t="shared" si="12"/>
        <v>12160000</v>
      </c>
    </row>
    <row r="101" spans="1:13" ht="15.75" customHeight="1" x14ac:dyDescent="0.2">
      <c r="A101" s="1" t="s">
        <v>12</v>
      </c>
      <c r="B101" s="1">
        <v>60</v>
      </c>
      <c r="C101" s="1">
        <v>16</v>
      </c>
      <c r="D101" s="6">
        <v>10000</v>
      </c>
      <c r="E101" s="6">
        <f t="shared" si="12"/>
        <v>9600000</v>
      </c>
    </row>
    <row r="102" spans="1:13" ht="15.75" customHeight="1" x14ac:dyDescent="0.2"/>
    <row r="103" spans="1:13" ht="15.75" customHeight="1" x14ac:dyDescent="0.2">
      <c r="A103" s="1" t="s">
        <v>22</v>
      </c>
      <c r="B103" s="2">
        <v>40392</v>
      </c>
      <c r="C103" s="4">
        <v>0.53541666666666665</v>
      </c>
    </row>
    <row r="104" spans="1:13" ht="15.75" customHeight="1" x14ac:dyDescent="0.2">
      <c r="A104" s="1" t="s">
        <v>2</v>
      </c>
      <c r="B104" s="1" t="s">
        <v>3</v>
      </c>
      <c r="C104" s="1" t="s">
        <v>4</v>
      </c>
      <c r="D104" s="1" t="s">
        <v>5</v>
      </c>
      <c r="E104" s="1" t="s">
        <v>6</v>
      </c>
    </row>
    <row r="105" spans="1:13" ht="15.75" customHeight="1" x14ac:dyDescent="0.2">
      <c r="A105" s="1" t="s">
        <v>7</v>
      </c>
      <c r="B105" s="1">
        <v>25</v>
      </c>
      <c r="C105" s="1">
        <v>16</v>
      </c>
      <c r="D105" s="6">
        <v>10000</v>
      </c>
      <c r="E105" s="6">
        <f>B105*C105*D105</f>
        <v>4000000</v>
      </c>
    </row>
    <row r="106" spans="1:13" ht="15.75" customHeight="1" x14ac:dyDescent="0.2">
      <c r="D106" s="6"/>
    </row>
    <row r="107" spans="1:13" ht="15.75" customHeight="1" x14ac:dyDescent="0.2">
      <c r="A107" s="1"/>
      <c r="D107" s="6"/>
      <c r="E107" s="1"/>
      <c r="I107" s="1"/>
    </row>
    <row r="108" spans="1:13" ht="15.75" customHeight="1" x14ac:dyDescent="0.2">
      <c r="A108" s="1"/>
      <c r="B108" s="7"/>
      <c r="C108" s="1"/>
      <c r="D108" s="6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x14ac:dyDescent="0.25">
      <c r="A109" s="1"/>
      <c r="B109" s="8"/>
      <c r="C109" s="1"/>
      <c r="D109" s="6"/>
      <c r="E109" s="6"/>
      <c r="F109" s="6"/>
      <c r="G109" s="9"/>
      <c r="H109" s="6"/>
      <c r="I109" s="10"/>
      <c r="J109" s="6"/>
      <c r="K109" s="6"/>
      <c r="L109" s="6"/>
      <c r="M109" s="10"/>
    </row>
    <row r="110" spans="1:13" ht="15.75" customHeight="1" x14ac:dyDescent="0.2">
      <c r="A110" s="1"/>
      <c r="B110" s="10"/>
      <c r="C110" s="1"/>
      <c r="D110" s="6"/>
      <c r="E110" s="6"/>
      <c r="F110" s="6"/>
      <c r="G110" s="9"/>
      <c r="H110" s="6"/>
      <c r="I110" s="10"/>
      <c r="J110" s="6"/>
      <c r="K110" s="6"/>
      <c r="L110" s="6"/>
      <c r="M110" s="10"/>
    </row>
    <row r="111" spans="1:13" ht="15.75" customHeight="1" x14ac:dyDescent="0.25">
      <c r="A111" s="1"/>
      <c r="B111" s="8"/>
      <c r="C111" s="1"/>
      <c r="D111" s="6"/>
      <c r="E111" s="6"/>
      <c r="F111" s="6"/>
      <c r="G111" s="9"/>
      <c r="H111" s="6"/>
      <c r="I111" s="10"/>
      <c r="J111" s="6"/>
      <c r="K111" s="6"/>
      <c r="L111" s="6"/>
      <c r="M111" s="10"/>
    </row>
    <row r="112" spans="1:13" ht="15.75" customHeight="1" x14ac:dyDescent="0.25">
      <c r="A112" s="1"/>
      <c r="B112" s="8"/>
      <c r="C112" s="1"/>
      <c r="D112" s="6"/>
      <c r="E112" s="6"/>
      <c r="F112" s="6"/>
      <c r="G112" s="9"/>
      <c r="H112" s="6"/>
      <c r="I112" s="10"/>
      <c r="J112" s="6"/>
      <c r="K112" s="6"/>
      <c r="L112" s="6"/>
      <c r="M112" s="10"/>
    </row>
    <row r="113" spans="1:13" ht="15.75" customHeight="1" x14ac:dyDescent="0.25">
      <c r="A113" s="1"/>
      <c r="B113" s="8"/>
      <c r="C113" s="1"/>
      <c r="D113" s="6"/>
      <c r="E113" s="6"/>
      <c r="F113" s="6"/>
      <c r="G113" s="9"/>
      <c r="H113" s="6"/>
      <c r="I113" s="10"/>
      <c r="J113" s="6"/>
      <c r="K113" s="6"/>
      <c r="L113" s="6"/>
      <c r="M113" s="10"/>
    </row>
    <row r="114" spans="1:13" ht="15.75" customHeight="1" x14ac:dyDescent="0.25">
      <c r="A114" s="1"/>
      <c r="B114" s="8"/>
      <c r="C114" s="1"/>
      <c r="D114" s="6"/>
      <c r="E114" s="6"/>
      <c r="F114" s="6"/>
      <c r="G114" s="9"/>
      <c r="H114" s="6"/>
      <c r="I114" s="10"/>
      <c r="J114" s="6"/>
      <c r="K114" s="6"/>
      <c r="L114" s="6"/>
      <c r="M114" s="10"/>
    </row>
    <row r="115" spans="1:13" ht="15.75" customHeight="1" x14ac:dyDescent="0.25">
      <c r="A115" s="1"/>
      <c r="B115" s="8"/>
      <c r="C115" s="1"/>
      <c r="D115" s="6"/>
      <c r="E115" s="6"/>
      <c r="F115" s="6"/>
      <c r="G115" s="9"/>
      <c r="H115" s="6"/>
      <c r="I115" s="10"/>
      <c r="J115" s="6"/>
      <c r="K115" s="6"/>
      <c r="L115" s="6"/>
      <c r="M115" s="10"/>
    </row>
    <row r="116" spans="1:13" ht="15.75" customHeight="1" x14ac:dyDescent="0.25">
      <c r="A116" s="1"/>
      <c r="B116" s="8"/>
      <c r="C116" s="1"/>
      <c r="D116" s="6"/>
      <c r="E116" s="6"/>
      <c r="F116" s="6"/>
      <c r="G116" s="9"/>
      <c r="H116" s="6"/>
      <c r="I116" s="10"/>
      <c r="J116" s="6"/>
      <c r="K116" s="6"/>
      <c r="L116" s="6"/>
      <c r="M116" s="10"/>
    </row>
    <row r="117" spans="1:13" ht="15.75" customHeight="1" x14ac:dyDescent="0.25">
      <c r="A117" s="1"/>
      <c r="B117" s="8"/>
      <c r="C117" s="1"/>
      <c r="D117" s="6"/>
      <c r="E117" s="6"/>
      <c r="F117" s="6"/>
      <c r="G117" s="9"/>
      <c r="H117" s="6"/>
      <c r="I117" s="10"/>
      <c r="J117" s="6"/>
      <c r="K117" s="6"/>
      <c r="L117" s="6"/>
      <c r="M117" s="10"/>
    </row>
    <row r="118" spans="1:13" ht="15.75" customHeight="1" x14ac:dyDescent="0.25">
      <c r="A118" s="1"/>
      <c r="B118" s="8"/>
      <c r="C118" s="1"/>
      <c r="D118" s="6"/>
      <c r="E118" s="6"/>
      <c r="F118" s="6"/>
      <c r="G118" s="9"/>
      <c r="H118" s="6"/>
      <c r="I118" s="10"/>
      <c r="J118" s="6"/>
      <c r="K118" s="6"/>
      <c r="L118" s="6"/>
      <c r="M118" s="10"/>
    </row>
    <row r="119" spans="1:13" ht="15.75" customHeight="1" x14ac:dyDescent="0.2">
      <c r="A119" s="1"/>
      <c r="B119" s="10"/>
      <c r="C119" s="1"/>
      <c r="D119" s="6"/>
      <c r="E119" s="6"/>
      <c r="F119" s="6"/>
      <c r="G119" s="9"/>
      <c r="H119" s="6"/>
      <c r="I119" s="10"/>
      <c r="J119" s="6"/>
      <c r="K119" s="6"/>
      <c r="L119" s="6"/>
      <c r="M119" s="10"/>
    </row>
    <row r="120" spans="1:13" ht="15.75" customHeight="1" x14ac:dyDescent="0.2">
      <c r="A120" s="1"/>
      <c r="B120" s="10"/>
      <c r="C120" s="1"/>
      <c r="D120" s="6"/>
      <c r="E120" s="6"/>
      <c r="F120" s="6"/>
      <c r="G120" s="9"/>
      <c r="H120" s="6"/>
      <c r="I120" s="10"/>
      <c r="J120" s="6"/>
      <c r="K120" s="6"/>
      <c r="L120" s="6"/>
      <c r="M120" s="10"/>
    </row>
    <row r="121" spans="1:13" ht="15.75" customHeight="1" x14ac:dyDescent="0.25">
      <c r="B121" s="8"/>
      <c r="G121" s="1"/>
      <c r="H121" s="1"/>
    </row>
    <row r="122" spans="1:13" ht="15.75" customHeight="1" x14ac:dyDescent="0.2"/>
    <row r="123" spans="1:13" ht="15.75" customHeight="1" x14ac:dyDescent="0.2">
      <c r="E123" s="1"/>
    </row>
    <row r="124" spans="1:13" ht="15.75" customHeight="1" x14ac:dyDescent="0.2">
      <c r="E124" s="1"/>
      <c r="F124" s="1"/>
      <c r="G124" s="6"/>
    </row>
    <row r="125" spans="1:13" ht="15.75" customHeight="1" x14ac:dyDescent="0.2">
      <c r="E125" s="1"/>
      <c r="F125" s="1"/>
      <c r="G125" s="6"/>
    </row>
    <row r="126" spans="1:13" ht="15.75" customHeight="1" x14ac:dyDescent="0.2">
      <c r="F126" s="1"/>
      <c r="G126" s="6"/>
    </row>
    <row r="127" spans="1:13" ht="15.75" customHeight="1" x14ac:dyDescent="0.2"/>
    <row r="128" spans="1:13" ht="15.75" customHeight="1" x14ac:dyDescent="0.2">
      <c r="E128" s="1"/>
      <c r="F128" s="1"/>
      <c r="G128" s="6"/>
    </row>
    <row r="129" spans="1:19" ht="15.75" customHeight="1" x14ac:dyDescent="0.2">
      <c r="E129" s="1"/>
      <c r="F129" s="1"/>
      <c r="G129" s="6"/>
    </row>
    <row r="130" spans="1:19" ht="15.75" customHeight="1" x14ac:dyDescent="0.2">
      <c r="F130" s="1"/>
      <c r="G130" s="6"/>
    </row>
    <row r="131" spans="1:19" ht="15.75" customHeight="1" x14ac:dyDescent="0.2"/>
    <row r="132" spans="1:19" ht="15.75" customHeight="1" x14ac:dyDescent="0.2"/>
    <row r="133" spans="1:19" ht="15.75" customHeight="1" x14ac:dyDescent="0.2"/>
    <row r="134" spans="1:19" ht="15.75" customHeight="1" x14ac:dyDescent="0.2"/>
    <row r="135" spans="1:19" ht="15.75" customHeight="1" x14ac:dyDescent="0.2">
      <c r="A135" s="1"/>
    </row>
    <row r="136" spans="1:19" ht="15.75" customHeight="1" x14ac:dyDescent="0.2"/>
    <row r="137" spans="1:19" ht="15.75" customHeight="1" x14ac:dyDescent="0.2"/>
    <row r="138" spans="1:19" ht="15.75" customHeight="1" x14ac:dyDescent="0.2">
      <c r="A138" s="1" t="s">
        <v>23</v>
      </c>
      <c r="B138" s="1"/>
    </row>
    <row r="139" spans="1:19" ht="36.75" customHeight="1" x14ac:dyDescent="0.2">
      <c r="A139" s="1" t="s">
        <v>24</v>
      </c>
      <c r="B139" s="11" t="s">
        <v>25</v>
      </c>
      <c r="C139" s="1" t="s">
        <v>26</v>
      </c>
      <c r="D139" s="1" t="s">
        <v>27</v>
      </c>
      <c r="E139" s="7" t="s">
        <v>28</v>
      </c>
      <c r="F139" s="1" t="s">
        <v>29</v>
      </c>
      <c r="G139" s="1" t="s">
        <v>30</v>
      </c>
      <c r="H139" s="1" t="s">
        <v>31</v>
      </c>
      <c r="I139" s="1" t="s">
        <v>32</v>
      </c>
      <c r="J139" s="1" t="s">
        <v>33</v>
      </c>
      <c r="K139" s="1" t="s">
        <v>34</v>
      </c>
      <c r="L139" s="1" t="s">
        <v>35</v>
      </c>
      <c r="M139" s="1" t="s">
        <v>36</v>
      </c>
      <c r="N139" s="1" t="s">
        <v>37</v>
      </c>
      <c r="O139" s="1" t="s">
        <v>38</v>
      </c>
      <c r="P139" s="12" t="s">
        <v>39</v>
      </c>
      <c r="Q139" s="13" t="s">
        <v>40</v>
      </c>
      <c r="R139" s="12" t="s">
        <v>41</v>
      </c>
      <c r="S139" s="27" t="s">
        <v>79</v>
      </c>
    </row>
    <row r="140" spans="1:19" ht="15.75" customHeight="1" x14ac:dyDescent="0.2">
      <c r="A140" s="1">
        <v>0</v>
      </c>
      <c r="B140" s="7">
        <v>0</v>
      </c>
      <c r="C140" s="1"/>
      <c r="D140" s="1"/>
      <c r="E140" s="7"/>
      <c r="F140" s="1">
        <v>100</v>
      </c>
      <c r="G140" s="1">
        <v>0</v>
      </c>
      <c r="H140" s="1"/>
      <c r="I140" s="1"/>
      <c r="J140" s="1"/>
      <c r="K140" s="1"/>
      <c r="L140" s="1"/>
      <c r="M140" s="1"/>
      <c r="N140" s="1"/>
    </row>
    <row r="141" spans="1:19" ht="15.75" customHeight="1" x14ac:dyDescent="0.25">
      <c r="A141" s="1">
        <v>1</v>
      </c>
      <c r="B141" s="8">
        <v>19.166666670000001</v>
      </c>
      <c r="C141" s="1">
        <f t="shared" ref="C141:C152" ca="1" si="13">OFFSET($B$6,(A141-1)*9,0)</f>
        <v>16</v>
      </c>
      <c r="D141" s="10">
        <f t="shared" ref="D141:D152" ca="1" si="14">SQRT(C141)</f>
        <v>4</v>
      </c>
      <c r="E141" s="1">
        <f t="shared" ref="E141:E152" ca="1" si="15">OFFSET($C$6,(A141-1)*9,0)*OFFSET($D$6,(A141-1)*9,0)</f>
        <v>20</v>
      </c>
      <c r="F141" s="6">
        <f t="shared" ref="F141:F152" ca="1" si="16">C141*E141</f>
        <v>320</v>
      </c>
      <c r="G141" s="6">
        <f t="shared" ref="G141:G152" ca="1" si="17">D141*E141</f>
        <v>80</v>
      </c>
      <c r="H141" s="14">
        <f t="shared" ref="H141:H152" ca="1" si="18">LOG10(F141)</f>
        <v>2.5051499783199058</v>
      </c>
      <c r="I141" s="6">
        <f t="shared" ref="I141:I152" ca="1" si="19">0.434 * G141/F141</f>
        <v>0.1085</v>
      </c>
      <c r="J141" s="10">
        <f t="shared" ref="J141:J152" ca="1" si="20">(1/I141)^2</f>
        <v>84.945528679734139</v>
      </c>
      <c r="K141" s="6">
        <f t="shared" ref="K141:K152" ca="1" si="21">(B141/I141)^2</f>
        <v>31205.683810562041</v>
      </c>
      <c r="L141" s="6">
        <f t="shared" ref="L141:L152" ca="1" si="22">B141/(I141^2)</f>
        <v>1628.1226333113893</v>
      </c>
      <c r="M141" s="6">
        <f t="shared" ref="M141:M152" ca="1" si="23">B141*H141*J141</f>
        <v>4078.6913795421751</v>
      </c>
      <c r="N141" s="10">
        <f t="shared" ref="N141:N152" ca="1" si="24">H141*J141</f>
        <v>212.80128933040891</v>
      </c>
      <c r="O141" s="15">
        <f t="shared" ref="O141:O152" ca="1" si="25">(F141-F140)/(B141-B140)</f>
        <v>11.478260867568997</v>
      </c>
      <c r="P141" s="16">
        <f t="shared" ref="P141:P152" ca="1" si="26">0.5 *( F141+F140)</f>
        <v>210</v>
      </c>
      <c r="Q141" s="17">
        <f t="shared" ref="Q141:Q152" ca="1" si="27">O141/P141</f>
        <v>5.4658385083661887E-2</v>
      </c>
      <c r="R141" s="17">
        <f t="shared" ref="R141:R152" ca="1" si="28">SQRT((16/(B141-B140)^2)*(1/(F141+F140)^4)*((F140^2 * G141^2)+(F141^2*G140^2 )))</f>
        <v>9.4646554257423188E-3</v>
      </c>
      <c r="S141" s="28">
        <f ca="1">LOG10(P141)</f>
        <v>2.3222192947339191</v>
      </c>
    </row>
    <row r="142" spans="1:19" ht="15.75" customHeight="1" x14ac:dyDescent="0.2">
      <c r="A142" s="1">
        <f t="shared" ref="A142:A150" si="29">A141+1</f>
        <v>2</v>
      </c>
      <c r="B142" s="10">
        <v>46.85</v>
      </c>
      <c r="C142" s="1">
        <f t="shared" ca="1" si="13"/>
        <v>27</v>
      </c>
      <c r="D142" s="10">
        <f t="shared" ca="1" si="14"/>
        <v>5.196152422706632</v>
      </c>
      <c r="E142" s="1">
        <f t="shared" ca="1" si="15"/>
        <v>20</v>
      </c>
      <c r="F142" s="6">
        <f t="shared" ca="1" si="16"/>
        <v>540</v>
      </c>
      <c r="G142" s="6">
        <f t="shared" ca="1" si="17"/>
        <v>103.92304845413264</v>
      </c>
      <c r="H142" s="14">
        <f t="shared" ca="1" si="18"/>
        <v>2.7323937598229686</v>
      </c>
      <c r="I142" s="6">
        <f t="shared" ca="1" si="19"/>
        <v>8.3523338942765868E-2</v>
      </c>
      <c r="J142" s="10">
        <f t="shared" ca="1" si="20"/>
        <v>143.3455796470513</v>
      </c>
      <c r="K142" s="6">
        <f t="shared" ca="1" si="21"/>
        <v>314632.43804285495</v>
      </c>
      <c r="L142" s="6">
        <f t="shared" ca="1" si="22"/>
        <v>6715.7404064643533</v>
      </c>
      <c r="M142" s="6">
        <f t="shared" ca="1" si="23"/>
        <v>18350.047179214165</v>
      </c>
      <c r="N142" s="10">
        <f t="shared" ca="1" si="24"/>
        <v>391.67656732580929</v>
      </c>
      <c r="O142" s="15">
        <f t="shared" ca="1" si="25"/>
        <v>7.9470198685065645</v>
      </c>
      <c r="P142" s="16">
        <f t="shared" ca="1" si="26"/>
        <v>430</v>
      </c>
      <c r="Q142" s="17">
        <f t="shared" ca="1" si="27"/>
        <v>1.8481441554666429E-2</v>
      </c>
      <c r="R142" s="17">
        <f t="shared" ca="1" si="28"/>
        <v>1.065076492386116E-2</v>
      </c>
      <c r="S142" s="28">
        <f t="shared" ref="S142:S152" ca="1" si="30">LOG10(P142)</f>
        <v>2.6334684555795866</v>
      </c>
    </row>
    <row r="143" spans="1:19" ht="15.75" customHeight="1" x14ac:dyDescent="0.25">
      <c r="A143" s="1">
        <f t="shared" si="29"/>
        <v>3</v>
      </c>
      <c r="B143" s="8">
        <v>69.516666670000006</v>
      </c>
      <c r="C143" s="1">
        <f t="shared" ca="1" si="13"/>
        <v>27</v>
      </c>
      <c r="D143" s="10">
        <f t="shared" ca="1" si="14"/>
        <v>5.196152422706632</v>
      </c>
      <c r="E143" s="1">
        <f t="shared" ca="1" si="15"/>
        <v>20</v>
      </c>
      <c r="F143" s="6">
        <f t="shared" ca="1" si="16"/>
        <v>540</v>
      </c>
      <c r="G143" s="6">
        <f t="shared" ca="1" si="17"/>
        <v>103.92304845413264</v>
      </c>
      <c r="H143" s="14">
        <f t="shared" ca="1" si="18"/>
        <v>2.7323937598229686</v>
      </c>
      <c r="I143" s="6">
        <f t="shared" ca="1" si="19"/>
        <v>8.3523338942765868E-2</v>
      </c>
      <c r="J143" s="10">
        <f t="shared" ca="1" si="20"/>
        <v>143.3455796470513</v>
      </c>
      <c r="K143" s="6">
        <f t="shared" ca="1" si="21"/>
        <v>692727.10990100121</v>
      </c>
      <c r="L143" s="6">
        <f t="shared" ca="1" si="22"/>
        <v>9964.9068789420016</v>
      </c>
      <c r="M143" s="6">
        <f t="shared" ca="1" si="23"/>
        <v>27228.0493732381</v>
      </c>
      <c r="N143" s="10">
        <f t="shared" ca="1" si="24"/>
        <v>391.67656732580929</v>
      </c>
      <c r="O143" s="15">
        <f t="shared" ca="1" si="25"/>
        <v>0</v>
      </c>
      <c r="P143" s="16">
        <f t="shared" ca="1" si="26"/>
        <v>540</v>
      </c>
      <c r="Q143" s="17">
        <f t="shared" ca="1" si="27"/>
        <v>0</v>
      </c>
      <c r="R143" s="17">
        <f t="shared" ca="1" si="28"/>
        <v>1.2007302658936072E-2</v>
      </c>
      <c r="S143" s="28">
        <f t="shared" ca="1" si="30"/>
        <v>2.7323937598229686</v>
      </c>
    </row>
    <row r="144" spans="1:19" ht="15.75" customHeight="1" x14ac:dyDescent="0.25">
      <c r="A144" s="1">
        <f t="shared" si="29"/>
        <v>4</v>
      </c>
      <c r="B144" s="8">
        <v>90.116666670000001</v>
      </c>
      <c r="C144" s="1">
        <f t="shared" ca="1" si="13"/>
        <v>31</v>
      </c>
      <c r="D144" s="10">
        <f t="shared" ca="1" si="14"/>
        <v>5.5677643628300215</v>
      </c>
      <c r="E144" s="1">
        <f t="shared" ca="1" si="15"/>
        <v>40</v>
      </c>
      <c r="F144" s="6">
        <f t="shared" ca="1" si="16"/>
        <v>1240</v>
      </c>
      <c r="G144" s="6">
        <f t="shared" ca="1" si="17"/>
        <v>222.71057451320087</v>
      </c>
      <c r="H144" s="14">
        <f t="shared" ca="1" si="18"/>
        <v>3.0934216851622351</v>
      </c>
      <c r="I144" s="6">
        <f t="shared" ca="1" si="19"/>
        <v>7.7948701079620292E-2</v>
      </c>
      <c r="J144" s="10">
        <f t="shared" ca="1" si="20"/>
        <v>164.58196181698494</v>
      </c>
      <c r="K144" s="6">
        <f t="shared" ca="1" si="21"/>
        <v>1336572.3521579807</v>
      </c>
      <c r="L144" s="6">
        <f t="shared" ca="1" si="22"/>
        <v>14831.577792955899</v>
      </c>
      <c r="M144" s="6">
        <f t="shared" ca="1" si="23"/>
        <v>45880.324369900423</v>
      </c>
      <c r="N144" s="10">
        <f t="shared" ca="1" si="24"/>
        <v>509.12140967120422</v>
      </c>
      <c r="O144" s="15">
        <f t="shared" ca="1" si="25"/>
        <v>33.980582524271853</v>
      </c>
      <c r="P144" s="16">
        <f t="shared" ca="1" si="26"/>
        <v>890</v>
      </c>
      <c r="Q144" s="17">
        <f t="shared" ca="1" si="27"/>
        <v>3.8180429802552644E-2</v>
      </c>
      <c r="R144" s="17">
        <f t="shared" ca="1" si="28"/>
        <v>1.0802380709689863E-2</v>
      </c>
      <c r="S144" s="28">
        <f t="shared" ca="1" si="30"/>
        <v>2.9493900066449128</v>
      </c>
    </row>
    <row r="145" spans="1:19" ht="15.75" customHeight="1" x14ac:dyDescent="0.25">
      <c r="A145" s="1">
        <f t="shared" si="29"/>
        <v>5</v>
      </c>
      <c r="B145" s="8">
        <v>116.9666667</v>
      </c>
      <c r="C145" s="1">
        <f t="shared" ca="1" si="13"/>
        <v>37</v>
      </c>
      <c r="D145" s="10">
        <f t="shared" ca="1" si="14"/>
        <v>6.0827625302982193</v>
      </c>
      <c r="E145" s="1">
        <f t="shared" ca="1" si="15"/>
        <v>80</v>
      </c>
      <c r="F145" s="6">
        <f t="shared" ca="1" si="16"/>
        <v>2960</v>
      </c>
      <c r="G145" s="6">
        <f t="shared" ca="1" si="17"/>
        <v>486.62100242385753</v>
      </c>
      <c r="H145" s="14">
        <f t="shared" ca="1" si="18"/>
        <v>3.4712917110589387</v>
      </c>
      <c r="I145" s="6">
        <f t="shared" ca="1" si="19"/>
        <v>7.134916049052506E-2</v>
      </c>
      <c r="J145" s="10">
        <f t="shared" ca="1" si="20"/>
        <v>196.43653507188517</v>
      </c>
      <c r="K145" s="6">
        <f t="shared" ca="1" si="21"/>
        <v>2687487.7434200607</v>
      </c>
      <c r="L145" s="6">
        <f t="shared" ca="1" si="22"/>
        <v>22976.526725456053</v>
      </c>
      <c r="M145" s="6">
        <f t="shared" ca="1" si="23"/>
        <v>79758.226770999783</v>
      </c>
      <c r="N145" s="10">
        <f t="shared" ca="1" si="24"/>
        <v>681.88851594417349</v>
      </c>
      <c r="O145" s="15">
        <f t="shared" ca="1" si="25"/>
        <v>64.059590244998589</v>
      </c>
      <c r="P145" s="16">
        <f t="shared" ca="1" si="26"/>
        <v>2100</v>
      </c>
      <c r="Q145" s="17">
        <f t="shared" ca="1" si="27"/>
        <v>3.0504566783332663E-2</v>
      </c>
      <c r="R145" s="17">
        <f t="shared" ca="1" si="28"/>
        <v>7.5475024667393809E-3</v>
      </c>
      <c r="S145" s="28">
        <f t="shared" ca="1" si="30"/>
        <v>3.3222192947339191</v>
      </c>
    </row>
    <row r="146" spans="1:19" ht="15.75" customHeight="1" x14ac:dyDescent="0.25">
      <c r="A146" s="1">
        <f t="shared" si="29"/>
        <v>6</v>
      </c>
      <c r="B146" s="8">
        <v>140.25</v>
      </c>
      <c r="C146" s="1">
        <f t="shared" ca="1" si="13"/>
        <v>48</v>
      </c>
      <c r="D146" s="10">
        <f t="shared" ca="1" si="14"/>
        <v>6.9282032302755088</v>
      </c>
      <c r="E146" s="1">
        <f t="shared" ca="1" si="15"/>
        <v>80</v>
      </c>
      <c r="F146" s="6">
        <f t="shared" ca="1" si="16"/>
        <v>3840</v>
      </c>
      <c r="G146" s="6">
        <f t="shared" ca="1" si="17"/>
        <v>554.25625842204067</v>
      </c>
      <c r="H146" s="14">
        <f t="shared" ca="1" si="18"/>
        <v>3.5843312243675309</v>
      </c>
      <c r="I146" s="6">
        <f t="shared" ca="1" si="19"/>
        <v>6.2642504207074387E-2</v>
      </c>
      <c r="J146" s="10">
        <f t="shared" ca="1" si="20"/>
        <v>254.83658603920244</v>
      </c>
      <c r="K146" s="6">
        <f t="shared" ca="1" si="21"/>
        <v>5012651.5746777393</v>
      </c>
      <c r="L146" s="6">
        <f t="shared" ca="1" si="22"/>
        <v>35740.831191998142</v>
      </c>
      <c r="M146" s="6">
        <f t="shared" ca="1" si="23"/>
        <v>128106.97722632794</v>
      </c>
      <c r="N146" s="10">
        <f t="shared" ca="1" si="24"/>
        <v>913.41873245153613</v>
      </c>
      <c r="O146" s="15">
        <f t="shared" ca="1" si="25"/>
        <v>37.795275644660386</v>
      </c>
      <c r="P146" s="16">
        <f t="shared" ca="1" si="26"/>
        <v>3400</v>
      </c>
      <c r="Q146" s="17">
        <f t="shared" ca="1" si="27"/>
        <v>1.1116257542547173E-2</v>
      </c>
      <c r="R146" s="17">
        <f t="shared" ca="1" si="28"/>
        <v>9.2386375320447894E-3</v>
      </c>
      <c r="S146" s="28">
        <f t="shared" ca="1" si="30"/>
        <v>3.5314789170422549</v>
      </c>
    </row>
    <row r="147" spans="1:19" ht="15.75" customHeight="1" x14ac:dyDescent="0.25">
      <c r="A147" s="1">
        <f t="shared" si="29"/>
        <v>7</v>
      </c>
      <c r="B147" s="8">
        <v>167.9</v>
      </c>
      <c r="C147" s="1">
        <f t="shared" ca="1" si="13"/>
        <v>33</v>
      </c>
      <c r="D147" s="10">
        <f t="shared" ca="1" si="14"/>
        <v>5.7445626465380286</v>
      </c>
      <c r="E147" s="1">
        <f t="shared" ca="1" si="15"/>
        <v>160</v>
      </c>
      <c r="F147" s="6">
        <f t="shared" ca="1" si="16"/>
        <v>5280</v>
      </c>
      <c r="G147" s="6">
        <f t="shared" ca="1" si="17"/>
        <v>919.13002344608458</v>
      </c>
      <c r="H147" s="14">
        <f t="shared" ca="1" si="18"/>
        <v>3.7226339225338121</v>
      </c>
      <c r="I147" s="6">
        <f t="shared" ca="1" si="19"/>
        <v>7.554970268477286E-2</v>
      </c>
      <c r="J147" s="10">
        <f t="shared" ca="1" si="20"/>
        <v>175.20015290195161</v>
      </c>
      <c r="K147" s="6">
        <f t="shared" ca="1" si="21"/>
        <v>4938964.1423687059</v>
      </c>
      <c r="L147" s="6">
        <f t="shared" ca="1" si="22"/>
        <v>29416.105672237682</v>
      </c>
      <c r="M147" s="6">
        <f t="shared" ca="1" si="23"/>
        <v>109505.39284431125</v>
      </c>
      <c r="N147" s="10">
        <f t="shared" ca="1" si="24"/>
        <v>652.20603242591574</v>
      </c>
      <c r="O147" s="15">
        <f t="shared" ca="1" si="25"/>
        <v>52.079566003616627</v>
      </c>
      <c r="P147" s="16">
        <f t="shared" ca="1" si="26"/>
        <v>4560</v>
      </c>
      <c r="Q147" s="17">
        <f t="shared" ca="1" si="27"/>
        <v>1.1420957456933471E-2</v>
      </c>
      <c r="R147" s="17">
        <f t="shared" ca="1" si="28"/>
        <v>7.9745327644757721E-3</v>
      </c>
      <c r="S147" s="28">
        <f t="shared" ca="1" si="30"/>
        <v>3.6589648426644348</v>
      </c>
    </row>
    <row r="148" spans="1:19" ht="15.75" customHeight="1" x14ac:dyDescent="0.25">
      <c r="A148" s="1">
        <f t="shared" si="29"/>
        <v>8</v>
      </c>
      <c r="B148" s="8">
        <v>187.7666667</v>
      </c>
      <c r="C148" s="1">
        <f t="shared" ca="1" si="13"/>
        <v>45</v>
      </c>
      <c r="D148" s="10">
        <f t="shared" ca="1" si="14"/>
        <v>6.7082039324993694</v>
      </c>
      <c r="E148" s="1">
        <f t="shared" ca="1" si="15"/>
        <v>400</v>
      </c>
      <c r="F148" s="6">
        <f t="shared" ca="1" si="16"/>
        <v>18000</v>
      </c>
      <c r="G148" s="6">
        <f t="shared" ca="1" si="17"/>
        <v>2683.2815729997478</v>
      </c>
      <c r="H148" s="14">
        <f t="shared" ca="1" si="18"/>
        <v>4.2552725051033065</v>
      </c>
      <c r="I148" s="6">
        <f t="shared" ca="1" si="19"/>
        <v>6.4696900148993916E-2</v>
      </c>
      <c r="J148" s="10">
        <f t="shared" ca="1" si="20"/>
        <v>238.90929941175222</v>
      </c>
      <c r="K148" s="6">
        <f t="shared" ca="1" si="21"/>
        <v>8423062.9794819392</v>
      </c>
      <c r="L148" s="6">
        <f t="shared" ca="1" si="22"/>
        <v>44859.202794176985</v>
      </c>
      <c r="M148" s="6">
        <f t="shared" ca="1" si="23"/>
        <v>190888.13225091476</v>
      </c>
      <c r="N148" s="10">
        <f t="shared" ca="1" si="24"/>
        <v>1016.6241730003228</v>
      </c>
      <c r="O148" s="15">
        <f t="shared" ca="1" si="25"/>
        <v>640.26845530156311</v>
      </c>
      <c r="P148" s="16">
        <f t="shared" ca="1" si="26"/>
        <v>11640</v>
      </c>
      <c r="Q148" s="17">
        <f t="shared" ca="1" si="27"/>
        <v>5.500588103965319E-2</v>
      </c>
      <c r="R148" s="17">
        <f t="shared" ca="1" si="28"/>
        <v>8.0920682266078653E-3</v>
      </c>
      <c r="S148" s="28">
        <f t="shared" ca="1" si="30"/>
        <v>4.0659529803138694</v>
      </c>
    </row>
    <row r="149" spans="1:19" ht="15.75" customHeight="1" x14ac:dyDescent="0.25">
      <c r="A149" s="1">
        <f t="shared" si="29"/>
        <v>9</v>
      </c>
      <c r="B149" s="8">
        <v>212.78333330000001</v>
      </c>
      <c r="C149" s="1">
        <f t="shared" ca="1" si="13"/>
        <v>65</v>
      </c>
      <c r="D149" s="10">
        <f t="shared" ca="1" si="14"/>
        <v>8.0622577482985491</v>
      </c>
      <c r="E149" s="1">
        <f t="shared" ca="1" si="15"/>
        <v>800</v>
      </c>
      <c r="F149" s="6">
        <f t="shared" ca="1" si="16"/>
        <v>52000</v>
      </c>
      <c r="G149" s="6">
        <f t="shared" ca="1" si="17"/>
        <v>6449.8061986388393</v>
      </c>
      <c r="H149" s="14">
        <f t="shared" ca="1" si="18"/>
        <v>4.7160033436347994</v>
      </c>
      <c r="I149" s="6">
        <f t="shared" ca="1" si="19"/>
        <v>5.3831074811716464E-2</v>
      </c>
      <c r="J149" s="10">
        <f t="shared" ca="1" si="20"/>
        <v>345.09121026141997</v>
      </c>
      <c r="K149" s="6">
        <f t="shared" ca="1" si="21"/>
        <v>15624607.394863071</v>
      </c>
      <c r="L149" s="6">
        <f t="shared" ca="1" si="22"/>
        <v>73429.658011956097</v>
      </c>
      <c r="M149" s="6">
        <f t="shared" ca="1" si="23"/>
        <v>346294.51270634489</v>
      </c>
      <c r="N149" s="10">
        <f t="shared" ca="1" si="24"/>
        <v>1627.4513014518361</v>
      </c>
      <c r="O149" s="15">
        <f t="shared" ca="1" si="25"/>
        <v>1359.0939409969187</v>
      </c>
      <c r="P149" s="16">
        <f t="shared" ca="1" si="26"/>
        <v>35000</v>
      </c>
      <c r="Q149" s="17">
        <f t="shared" ca="1" si="27"/>
        <v>3.883125545705482E-2</v>
      </c>
      <c r="R149" s="17">
        <f t="shared" ca="1" si="28"/>
        <v>5.9230271955337064E-3</v>
      </c>
      <c r="S149" s="28">
        <f t="shared" ca="1" si="30"/>
        <v>4.5440680443502757</v>
      </c>
    </row>
    <row r="150" spans="1:19" ht="15.75" customHeight="1" x14ac:dyDescent="0.25">
      <c r="A150" s="1">
        <f t="shared" si="29"/>
        <v>10</v>
      </c>
      <c r="B150" s="8">
        <v>237.95</v>
      </c>
      <c r="C150" s="1">
        <f t="shared" ca="1" si="13"/>
        <v>69</v>
      </c>
      <c r="D150" s="10">
        <f t="shared" ca="1" si="14"/>
        <v>8.3066238629180749</v>
      </c>
      <c r="E150" s="1">
        <f t="shared" ca="1" si="15"/>
        <v>5000</v>
      </c>
      <c r="F150" s="6">
        <f t="shared" ca="1" si="16"/>
        <v>345000</v>
      </c>
      <c r="G150" s="6">
        <f t="shared" ca="1" si="17"/>
        <v>41533.119314590374</v>
      </c>
      <c r="H150" s="14">
        <f t="shared" ca="1" si="18"/>
        <v>5.5378190950732744</v>
      </c>
      <c r="I150" s="6">
        <f t="shared" ca="1" si="19"/>
        <v>5.2247460239223838E-2</v>
      </c>
      <c r="J150" s="10">
        <f t="shared" ca="1" si="20"/>
        <v>366.32759243135337</v>
      </c>
      <c r="K150" s="6">
        <f t="shared" ca="1" si="21"/>
        <v>20741542.464800693</v>
      </c>
      <c r="L150" s="6">
        <f t="shared" ca="1" si="22"/>
        <v>87167.65061904052</v>
      </c>
      <c r="M150" s="6">
        <f t="shared" ca="1" si="23"/>
        <v>482718.68007079838</v>
      </c>
      <c r="N150" s="10">
        <f t="shared" ca="1" si="24"/>
        <v>2028.6559364185687</v>
      </c>
      <c r="O150" s="15">
        <f t="shared" ca="1" si="25"/>
        <v>11642.384090539897</v>
      </c>
      <c r="P150" s="16">
        <f t="shared" ca="1" si="26"/>
        <v>198500</v>
      </c>
      <c r="Q150" s="17">
        <f t="shared" ca="1" si="27"/>
        <v>5.8651809020352129E-2</v>
      </c>
      <c r="R150" s="17">
        <f t="shared" ca="1" si="28"/>
        <v>3.1271369020634994E-3</v>
      </c>
      <c r="S150" s="28">
        <f t="shared" ca="1" si="30"/>
        <v>5.2977605110991339</v>
      </c>
    </row>
    <row r="151" spans="1:19" ht="15.75" customHeight="1" x14ac:dyDescent="0.2">
      <c r="A151" s="1">
        <v>11</v>
      </c>
      <c r="B151" s="10">
        <f>B150 +23</f>
        <v>260.95</v>
      </c>
      <c r="C151" s="1">
        <f t="shared" ca="1" si="13"/>
        <v>53</v>
      </c>
      <c r="D151" s="10">
        <f t="shared" ca="1" si="14"/>
        <v>7.2801098892805181</v>
      </c>
      <c r="E151" s="6">
        <f t="shared" ca="1" si="15"/>
        <v>40000</v>
      </c>
      <c r="F151" s="6">
        <f t="shared" ca="1" si="16"/>
        <v>2120000</v>
      </c>
      <c r="G151" s="6">
        <f t="shared" ca="1" si="17"/>
        <v>291204.39557122072</v>
      </c>
      <c r="H151" s="14">
        <f t="shared" ca="1" si="18"/>
        <v>6.3263358609287517</v>
      </c>
      <c r="I151" s="6">
        <f t="shared" ca="1" si="19"/>
        <v>5.9614484753731038E-2</v>
      </c>
      <c r="J151" s="10">
        <f t="shared" ca="1" si="20"/>
        <v>281.38206375161923</v>
      </c>
      <c r="K151" s="6">
        <f t="shared" ca="1" si="21"/>
        <v>19160684.196415294</v>
      </c>
      <c r="L151" s="6">
        <f t="shared" ca="1" si="22"/>
        <v>73426.649535985038</v>
      </c>
      <c r="M151" s="6">
        <f t="shared" ca="1" si="23"/>
        <v>464521.6461073496</v>
      </c>
      <c r="N151" s="10">
        <f t="shared" ca="1" si="24"/>
        <v>1780.1174405340089</v>
      </c>
      <c r="O151" s="15">
        <f t="shared" ca="1" si="25"/>
        <v>77173.913043478256</v>
      </c>
      <c r="P151" s="16">
        <f t="shared" ca="1" si="26"/>
        <v>1232500</v>
      </c>
      <c r="Q151" s="17">
        <f t="shared" ca="1" si="27"/>
        <v>6.2615750948055382E-2</v>
      </c>
      <c r="R151" s="17">
        <f t="shared" ca="1" si="28"/>
        <v>3.8235845603388926E-3</v>
      </c>
      <c r="S151" s="28">
        <f t="shared" ca="1" si="30"/>
        <v>6.0907869279492672</v>
      </c>
    </row>
    <row r="152" spans="1:19" ht="15.75" customHeight="1" x14ac:dyDescent="0.2">
      <c r="A152" s="1">
        <v>12</v>
      </c>
      <c r="B152" s="10">
        <f>B150 +48 - 1.8</f>
        <v>284.14999999999998</v>
      </c>
      <c r="C152" s="1">
        <f t="shared" ca="1" si="13"/>
        <v>25</v>
      </c>
      <c r="D152" s="10">
        <f t="shared" ca="1" si="14"/>
        <v>5</v>
      </c>
      <c r="E152" s="6">
        <f t="shared" ca="1" si="15"/>
        <v>160000</v>
      </c>
      <c r="F152" s="6">
        <f t="shared" ca="1" si="16"/>
        <v>4000000</v>
      </c>
      <c r="G152" s="6">
        <f t="shared" ca="1" si="17"/>
        <v>800000</v>
      </c>
      <c r="H152" s="14">
        <f t="shared" ca="1" si="18"/>
        <v>6.6020599913279625</v>
      </c>
      <c r="I152" s="6">
        <f t="shared" ca="1" si="19"/>
        <v>8.6800000000000002E-2</v>
      </c>
      <c r="J152" s="10">
        <f t="shared" ca="1" si="20"/>
        <v>132.72738856208454</v>
      </c>
      <c r="K152" s="6">
        <f t="shared" ca="1" si="21"/>
        <v>10716571.611735223</v>
      </c>
      <c r="L152" s="6">
        <f t="shared" ca="1" si="22"/>
        <v>37714.487459916323</v>
      </c>
      <c r="M152" s="6">
        <f t="shared" ca="1" si="23"/>
        <v>248993.30875255368</v>
      </c>
      <c r="N152" s="10">
        <f t="shared" ca="1" si="24"/>
        <v>876.274181779179</v>
      </c>
      <c r="O152" s="15">
        <f t="shared" ca="1" si="25"/>
        <v>81034.482758620725</v>
      </c>
      <c r="P152" s="16">
        <f t="shared" ca="1" si="26"/>
        <v>3060000</v>
      </c>
      <c r="Q152" s="17">
        <f t="shared" ca="1" si="27"/>
        <v>2.6481857110660367E-2</v>
      </c>
      <c r="R152" s="17">
        <f t="shared" ca="1" si="28"/>
        <v>9.4711862402927938E-3</v>
      </c>
      <c r="S152" s="28">
        <f t="shared" ca="1" si="30"/>
        <v>6.4857214264815797</v>
      </c>
    </row>
    <row r="153" spans="1:19" ht="15.75" customHeight="1" x14ac:dyDescent="0.2"/>
    <row r="154" spans="1:19" ht="15.75" customHeight="1" x14ac:dyDescent="0.2"/>
    <row r="155" spans="1:19" ht="15.75" customHeight="1" x14ac:dyDescent="0.2">
      <c r="B155" s="1" t="s">
        <v>42</v>
      </c>
      <c r="F155" s="18" t="s">
        <v>43</v>
      </c>
      <c r="G155" s="18"/>
      <c r="H155" s="18"/>
      <c r="I155" s="1"/>
    </row>
    <row r="156" spans="1:19" ht="15.75" customHeight="1" x14ac:dyDescent="0.2">
      <c r="B156" s="1" t="s">
        <v>44</v>
      </c>
      <c r="F156" s="1" t="s">
        <v>45</v>
      </c>
      <c r="G156" s="1" t="s">
        <v>46</v>
      </c>
      <c r="H156" s="19">
        <f ca="1">(SUM(J141:J146)) * (SUM(K141:K146)) - (SUM(L141:L146))^2</f>
        <v>1511414946.8456516</v>
      </c>
      <c r="I156" s="1"/>
    </row>
    <row r="157" spans="1:19" ht="15.75" customHeight="1" x14ac:dyDescent="0.2">
      <c r="B157" s="1" t="s">
        <v>47</v>
      </c>
      <c r="F157" s="1" t="s">
        <v>48</v>
      </c>
      <c r="G157" s="1" t="s">
        <v>49</v>
      </c>
      <c r="H157" s="19">
        <f ca="1">(1/H156)*(SUM(J141:J146)*SUM(M141:M146) - SUM(L141:L146)* SUM(N141:N146))</f>
        <v>9.7887364548247466E-3</v>
      </c>
      <c r="I157" s="1"/>
    </row>
    <row r="158" spans="1:19" ht="15.75" customHeight="1" x14ac:dyDescent="0.2">
      <c r="B158" s="1" t="s">
        <v>50</v>
      </c>
      <c r="F158" s="1"/>
      <c r="G158" s="1" t="s">
        <v>51</v>
      </c>
      <c r="H158" s="19">
        <f ca="1">SQRT((1/H156)*(SUM(J141:J146)))</f>
        <v>8.0830429451711971E-4</v>
      </c>
      <c r="I158" s="1"/>
    </row>
    <row r="159" spans="1:19" ht="15.75" customHeight="1" x14ac:dyDescent="0.2">
      <c r="F159" s="1"/>
      <c r="G159" s="1"/>
      <c r="H159" s="1"/>
      <c r="I159" s="1"/>
    </row>
    <row r="160" spans="1:19" ht="15.75" customHeight="1" x14ac:dyDescent="0.2">
      <c r="F160" s="1" t="s">
        <v>52</v>
      </c>
      <c r="G160" s="1" t="s">
        <v>46</v>
      </c>
      <c r="H160" s="19">
        <f ca="1">(SUM(J149:J152)) * (SUM(K149:K152)) - (SUM(L149:L152))^2</f>
        <v>717041955.25860596</v>
      </c>
      <c r="I160" s="1"/>
    </row>
    <row r="161" spans="1:19" ht="15.75" customHeight="1" x14ac:dyDescent="0.2">
      <c r="F161" s="1" t="s">
        <v>48</v>
      </c>
      <c r="G161" s="1" t="s">
        <v>49</v>
      </c>
      <c r="H161" s="19">
        <f ca="1">(1/H160)*(SUM(J149:J152)*SUM(M149:M152) - SUM(L149:L152)* SUM(N149:N152))</f>
        <v>2.9022550030476966E-2</v>
      </c>
      <c r="I161" s="1"/>
    </row>
    <row r="162" spans="1:19" ht="15.75" customHeight="1" x14ac:dyDescent="0.2">
      <c r="F162" s="1"/>
      <c r="G162" s="1" t="s">
        <v>51</v>
      </c>
      <c r="H162" s="19">
        <f ca="1">SQRT((1/H160)*(SUM(J149:J152)))</f>
        <v>1.2528697315570497E-3</v>
      </c>
      <c r="I162" s="1"/>
    </row>
    <row r="163" spans="1:19" ht="15.75" customHeight="1" x14ac:dyDescent="0.2"/>
    <row r="164" spans="1:19" ht="15.75" customHeight="1" x14ac:dyDescent="0.2">
      <c r="F164" s="1" t="s">
        <v>53</v>
      </c>
    </row>
    <row r="165" spans="1:19" ht="8.25" customHeight="1" x14ac:dyDescent="0.2"/>
    <row r="166" spans="1:19" ht="27.75" customHeight="1" x14ac:dyDescent="0.2">
      <c r="A166" s="1" t="s">
        <v>54</v>
      </c>
      <c r="B166" s="1"/>
    </row>
    <row r="167" spans="1:19" ht="51" customHeight="1" x14ac:dyDescent="0.2">
      <c r="A167" s="1" t="s">
        <v>24</v>
      </c>
      <c r="B167" s="7" t="s">
        <v>25</v>
      </c>
      <c r="C167" s="1" t="s">
        <v>26</v>
      </c>
      <c r="D167" s="1" t="s">
        <v>27</v>
      </c>
      <c r="E167" s="7" t="s">
        <v>28</v>
      </c>
      <c r="F167" s="1" t="s">
        <v>55</v>
      </c>
      <c r="G167" s="1" t="s">
        <v>30</v>
      </c>
      <c r="H167" s="1" t="s">
        <v>31</v>
      </c>
      <c r="I167" s="1" t="s">
        <v>32</v>
      </c>
      <c r="J167" s="1" t="s">
        <v>33</v>
      </c>
      <c r="K167" s="1" t="s">
        <v>34</v>
      </c>
      <c r="L167" s="1" t="s">
        <v>35</v>
      </c>
      <c r="M167" s="1" t="s">
        <v>36</v>
      </c>
      <c r="N167" s="1" t="s">
        <v>37</v>
      </c>
      <c r="O167" s="1" t="s">
        <v>38</v>
      </c>
      <c r="P167" s="12" t="s">
        <v>39</v>
      </c>
      <c r="Q167" s="13" t="s">
        <v>40</v>
      </c>
      <c r="R167" s="12" t="s">
        <v>41</v>
      </c>
      <c r="S167" s="27" t="s">
        <v>79</v>
      </c>
    </row>
    <row r="168" spans="1:19" ht="15.75" customHeight="1" x14ac:dyDescent="0.2">
      <c r="A168" s="1">
        <v>0</v>
      </c>
      <c r="B168" s="7">
        <v>0</v>
      </c>
      <c r="C168" s="1"/>
      <c r="D168" s="1"/>
      <c r="E168" s="7"/>
      <c r="F168" s="1">
        <v>100</v>
      </c>
      <c r="G168" s="1">
        <v>0</v>
      </c>
      <c r="H168" s="14"/>
      <c r="I168" s="6"/>
      <c r="J168" s="10"/>
      <c r="K168" s="6"/>
      <c r="L168" s="6"/>
      <c r="M168" s="6"/>
      <c r="N168" s="10"/>
    </row>
    <row r="169" spans="1:19" ht="15.75" customHeight="1" x14ac:dyDescent="0.25">
      <c r="A169" s="1">
        <v>1</v>
      </c>
      <c r="B169" s="8">
        <v>19.166666670000001</v>
      </c>
      <c r="C169" s="1">
        <f t="shared" ref="C169:C177" ca="1" si="31">OFFSET($B$7,(A169-1)*9,0)</f>
        <v>16</v>
      </c>
      <c r="D169" s="10">
        <f t="shared" ref="D169:D177" ca="1" si="32">SQRT(C169)</f>
        <v>4</v>
      </c>
      <c r="E169" s="1">
        <f t="shared" ref="E169:E177" ca="1" si="33">OFFSET($C$7,(A169-1)*9,0)*OFFSET($D$7,(A169-1)*9,0)</f>
        <v>20</v>
      </c>
      <c r="F169" s="6">
        <f t="shared" ref="F169:F177" ca="1" si="34">C169*E169</f>
        <v>320</v>
      </c>
      <c r="G169" s="6">
        <f t="shared" ref="G169:G177" ca="1" si="35">D169*E169</f>
        <v>80</v>
      </c>
      <c r="H169" s="14">
        <f t="shared" ref="H169:H177" ca="1" si="36">LOG10(F169)</f>
        <v>2.5051499783199058</v>
      </c>
      <c r="I169" s="6">
        <f t="shared" ref="I169:I177" ca="1" si="37">0.434 * G169/F169</f>
        <v>0.1085</v>
      </c>
      <c r="J169" s="10">
        <f t="shared" ref="J169:J177" ca="1" si="38">(1/I169)^2</f>
        <v>84.945528679734139</v>
      </c>
      <c r="K169" s="6">
        <f t="shared" ref="K169:K177" ca="1" si="39">(B169/I169)^2</f>
        <v>31205.683810562041</v>
      </c>
      <c r="L169" s="6">
        <f t="shared" ref="L169:L177" ca="1" si="40">B169/(I169^2)</f>
        <v>1628.1226333113893</v>
      </c>
      <c r="M169" s="6">
        <f t="shared" ref="M169:M177" ca="1" si="41">B169*H169*J169</f>
        <v>4078.6913795421751</v>
      </c>
      <c r="N169" s="10">
        <f t="shared" ref="N169:N177" ca="1" si="42">H169*J169</f>
        <v>212.80128933040891</v>
      </c>
      <c r="O169" s="15">
        <f t="shared" ref="O169:O177" ca="1" si="43">(F169-F168)/(B169-B168)</f>
        <v>11.478260867568997</v>
      </c>
      <c r="P169" s="16">
        <f t="shared" ref="P169:P177" ca="1" si="44">0.5 *( F169+F168)</f>
        <v>210</v>
      </c>
      <c r="Q169" s="17">
        <f t="shared" ref="Q169:Q177" ca="1" si="45">O169/P169</f>
        <v>5.4658385083661887E-2</v>
      </c>
      <c r="R169" s="17">
        <f t="shared" ref="R169:R177" ca="1" si="46">SQRT((16/(B169-B168)^2)*(1/(F169+F168)^4)*((F168^2 * G169^2)+(F169^2*G168^2 )))</f>
        <v>9.4646554257423188E-3</v>
      </c>
      <c r="S169" s="28">
        <f ca="1">LOG10(P169)</f>
        <v>2.3222192947339191</v>
      </c>
    </row>
    <row r="170" spans="1:19" ht="15.75" customHeight="1" x14ac:dyDescent="0.2">
      <c r="A170" s="1">
        <f t="shared" ref="A170:A177" si="47">A169+1</f>
        <v>2</v>
      </c>
      <c r="B170" s="10">
        <v>46.85</v>
      </c>
      <c r="C170" s="1">
        <f t="shared" ca="1" si="31"/>
        <v>20</v>
      </c>
      <c r="D170" s="10">
        <f t="shared" ca="1" si="32"/>
        <v>4.4721359549995796</v>
      </c>
      <c r="E170" s="1">
        <f t="shared" ca="1" si="33"/>
        <v>40</v>
      </c>
      <c r="F170" s="6">
        <f t="shared" ca="1" si="34"/>
        <v>800</v>
      </c>
      <c r="G170" s="6">
        <f t="shared" ca="1" si="35"/>
        <v>178.88543819998318</v>
      </c>
      <c r="H170" s="14">
        <f t="shared" ca="1" si="36"/>
        <v>2.9030899869919438</v>
      </c>
      <c r="I170" s="6">
        <f t="shared" ca="1" si="37"/>
        <v>9.7045350223490881E-2</v>
      </c>
      <c r="J170" s="10">
        <f t="shared" ca="1" si="38"/>
        <v>106.18191084966764</v>
      </c>
      <c r="K170" s="6">
        <f t="shared" ca="1" si="39"/>
        <v>233061.06521692962</v>
      </c>
      <c r="L170" s="6">
        <f t="shared" ca="1" si="40"/>
        <v>4974.6225233069281</v>
      </c>
      <c r="M170" s="6">
        <f t="shared" ca="1" si="41"/>
        <v>14441.776836476944</v>
      </c>
      <c r="N170" s="10">
        <f t="shared" ca="1" si="42"/>
        <v>308.25564218734138</v>
      </c>
      <c r="O170" s="15">
        <f t="shared" ca="1" si="43"/>
        <v>17.338952440377959</v>
      </c>
      <c r="P170" s="16">
        <f t="shared" ca="1" si="44"/>
        <v>560</v>
      </c>
      <c r="Q170" s="17">
        <f t="shared" ca="1" si="45"/>
        <v>3.0962415072103497E-2</v>
      </c>
      <c r="R170" s="17">
        <f t="shared" ca="1" si="46"/>
        <v>9.8905806926839254E-3</v>
      </c>
      <c r="S170" s="28">
        <f t="shared" ref="S170:S177" ca="1" si="48">LOG10(P170)</f>
        <v>2.7481880270062002</v>
      </c>
    </row>
    <row r="171" spans="1:19" ht="15.75" customHeight="1" x14ac:dyDescent="0.25">
      <c r="A171" s="1">
        <f t="shared" si="47"/>
        <v>3</v>
      </c>
      <c r="B171" s="8">
        <v>69.516666670000006</v>
      </c>
      <c r="C171" s="1">
        <f t="shared" ca="1" si="31"/>
        <v>20</v>
      </c>
      <c r="D171" s="10">
        <f t="shared" ca="1" si="32"/>
        <v>4.4721359549995796</v>
      </c>
      <c r="E171" s="1">
        <f t="shared" ca="1" si="33"/>
        <v>40</v>
      </c>
      <c r="F171" s="6">
        <f t="shared" ca="1" si="34"/>
        <v>800</v>
      </c>
      <c r="G171" s="6">
        <f t="shared" ca="1" si="35"/>
        <v>178.88543819998318</v>
      </c>
      <c r="H171" s="14">
        <f t="shared" ca="1" si="36"/>
        <v>2.9030899869919438</v>
      </c>
      <c r="I171" s="6">
        <f t="shared" ca="1" si="37"/>
        <v>9.7045350223490881E-2</v>
      </c>
      <c r="J171" s="10">
        <f t="shared" ca="1" si="38"/>
        <v>106.18191084966764</v>
      </c>
      <c r="K171" s="6">
        <f t="shared" ca="1" si="39"/>
        <v>513131.19251926016</v>
      </c>
      <c r="L171" s="6">
        <f t="shared" ca="1" si="40"/>
        <v>7381.4125029200013</v>
      </c>
      <c r="M171" s="6">
        <f t="shared" ca="1" si="41"/>
        <v>21428.904727084202</v>
      </c>
      <c r="N171" s="10">
        <f t="shared" ca="1" si="42"/>
        <v>308.25564218734138</v>
      </c>
      <c r="O171" s="15">
        <f t="shared" ca="1" si="43"/>
        <v>0</v>
      </c>
      <c r="P171" s="16">
        <f t="shared" ca="1" si="44"/>
        <v>800</v>
      </c>
      <c r="Q171" s="17">
        <f t="shared" ca="1" si="45"/>
        <v>0</v>
      </c>
      <c r="R171" s="17">
        <f t="shared" ca="1" si="46"/>
        <v>1.3951224969279433E-2</v>
      </c>
      <c r="S171" s="28">
        <f t="shared" ca="1" si="48"/>
        <v>2.9030899869919438</v>
      </c>
    </row>
    <row r="172" spans="1:19" ht="15.75" customHeight="1" x14ac:dyDescent="0.25">
      <c r="A172" s="1">
        <f t="shared" si="47"/>
        <v>4</v>
      </c>
      <c r="B172" s="8">
        <v>90.116666670000001</v>
      </c>
      <c r="C172" s="1">
        <f t="shared" ca="1" si="31"/>
        <v>23</v>
      </c>
      <c r="D172" s="10">
        <f t="shared" ca="1" si="32"/>
        <v>4.7958315233127191</v>
      </c>
      <c r="E172" s="1">
        <f t="shared" ca="1" si="33"/>
        <v>80</v>
      </c>
      <c r="F172" s="6">
        <f t="shared" ca="1" si="34"/>
        <v>1840</v>
      </c>
      <c r="G172" s="6">
        <f t="shared" ca="1" si="35"/>
        <v>383.66652186501756</v>
      </c>
      <c r="H172" s="14">
        <f t="shared" ca="1" si="36"/>
        <v>3.2648178230095364</v>
      </c>
      <c r="I172" s="6">
        <f t="shared" ca="1" si="37"/>
        <v>9.0495255700770452E-2</v>
      </c>
      <c r="J172" s="10">
        <f t="shared" ca="1" si="38"/>
        <v>122.10919747711776</v>
      </c>
      <c r="K172" s="6">
        <f t="shared" ca="1" si="39"/>
        <v>991650.45482688863</v>
      </c>
      <c r="L172" s="6">
        <f t="shared" ca="1" si="40"/>
        <v>11004.073846386627</v>
      </c>
      <c r="M172" s="6">
        <f t="shared" ca="1" si="41"/>
        <v>35926.29641939616</v>
      </c>
      <c r="N172" s="10">
        <f t="shared" ca="1" si="42"/>
        <v>398.66428427668518</v>
      </c>
      <c r="O172" s="15">
        <f t="shared" ca="1" si="43"/>
        <v>50.485436893203897</v>
      </c>
      <c r="P172" s="16">
        <f t="shared" ca="1" si="44"/>
        <v>1320</v>
      </c>
      <c r="Q172" s="17">
        <f t="shared" ca="1" si="45"/>
        <v>3.8246543100912044E-2</v>
      </c>
      <c r="R172" s="17">
        <f t="shared" ca="1" si="46"/>
        <v>1.2538570875033954E-2</v>
      </c>
      <c r="S172" s="28">
        <f t="shared" ca="1" si="48"/>
        <v>3.12057393120585</v>
      </c>
    </row>
    <row r="173" spans="1:19" ht="15.75" customHeight="1" x14ac:dyDescent="0.25">
      <c r="A173" s="1">
        <f t="shared" si="47"/>
        <v>5</v>
      </c>
      <c r="B173" s="8">
        <v>116.9666667</v>
      </c>
      <c r="C173" s="1">
        <f t="shared" ca="1" si="31"/>
        <v>29</v>
      </c>
      <c r="D173" s="10">
        <f t="shared" ca="1" si="32"/>
        <v>5.3851648071345037</v>
      </c>
      <c r="E173" s="1">
        <f t="shared" ca="1" si="33"/>
        <v>80</v>
      </c>
      <c r="F173" s="6">
        <f t="shared" ca="1" si="34"/>
        <v>2320</v>
      </c>
      <c r="G173" s="6">
        <f t="shared" ca="1" si="35"/>
        <v>430.81318457076031</v>
      </c>
      <c r="H173" s="14">
        <f t="shared" ca="1" si="36"/>
        <v>3.3654879848908998</v>
      </c>
      <c r="I173" s="6">
        <f t="shared" ca="1" si="37"/>
        <v>8.0591776768840509E-2</v>
      </c>
      <c r="J173" s="10">
        <f t="shared" ca="1" si="38"/>
        <v>153.96377073201808</v>
      </c>
      <c r="K173" s="6">
        <f t="shared" ca="1" si="39"/>
        <v>2106409.3124103178</v>
      </c>
      <c r="L173" s="6">
        <f t="shared" ca="1" si="40"/>
        <v>18008.629055087174</v>
      </c>
      <c r="M173" s="6">
        <f t="shared" ca="1" si="41"/>
        <v>60607.824709253036</v>
      </c>
      <c r="N173" s="10">
        <f t="shared" ca="1" si="42"/>
        <v>518.16322050710403</v>
      </c>
      <c r="O173" s="15">
        <f t="shared" ca="1" si="43"/>
        <v>17.87709495209263</v>
      </c>
      <c r="P173" s="16">
        <f t="shared" ca="1" si="44"/>
        <v>2080</v>
      </c>
      <c r="Q173" s="17">
        <f t="shared" ca="1" si="45"/>
        <v>8.5947571885060716E-3</v>
      </c>
      <c r="R173" s="17">
        <f t="shared" ca="1" si="46"/>
        <v>1.0260619962535703E-2</v>
      </c>
      <c r="S173" s="28">
        <f t="shared" ca="1" si="48"/>
        <v>3.3180633349627615</v>
      </c>
    </row>
    <row r="174" spans="1:19" ht="15.75" customHeight="1" x14ac:dyDescent="0.25">
      <c r="A174" s="1">
        <f t="shared" si="47"/>
        <v>6</v>
      </c>
      <c r="B174" s="8">
        <v>140.25</v>
      </c>
      <c r="C174" s="1">
        <f t="shared" ca="1" si="31"/>
        <v>67</v>
      </c>
      <c r="D174" s="10">
        <f t="shared" ca="1" si="32"/>
        <v>8.1853527718724504</v>
      </c>
      <c r="E174" s="1">
        <f t="shared" ca="1" si="33"/>
        <v>160</v>
      </c>
      <c r="F174" s="6">
        <f t="shared" ca="1" si="34"/>
        <v>10720</v>
      </c>
      <c r="G174" s="6">
        <f t="shared" ca="1" si="35"/>
        <v>1309.6564434995921</v>
      </c>
      <c r="H174" s="14">
        <f t="shared" ca="1" si="36"/>
        <v>4.030194785356751</v>
      </c>
      <c r="I174" s="6">
        <f t="shared" ca="1" si="37"/>
        <v>5.3021538850636464E-2</v>
      </c>
      <c r="J174" s="10">
        <f t="shared" ca="1" si="38"/>
        <v>355.70940134638664</v>
      </c>
      <c r="K174" s="6">
        <f t="shared" ca="1" si="39"/>
        <v>6996826.1563210106</v>
      </c>
      <c r="L174" s="6">
        <f t="shared" ca="1" si="40"/>
        <v>49888.243538830735</v>
      </c>
      <c r="M174" s="6">
        <f t="shared" ca="1" si="41"/>
        <v>201059.33896080323</v>
      </c>
      <c r="N174" s="10">
        <f t="shared" ca="1" si="42"/>
        <v>1433.5781744085791</v>
      </c>
      <c r="O174" s="15">
        <f t="shared" ca="1" si="43"/>
        <v>360.77308569903096</v>
      </c>
      <c r="P174" s="16">
        <f t="shared" ca="1" si="44"/>
        <v>6520</v>
      </c>
      <c r="Q174" s="17">
        <f t="shared" ca="1" si="45"/>
        <v>5.5333295352612111E-2</v>
      </c>
      <c r="R174" s="17">
        <f t="shared" ca="1" si="46"/>
        <v>5.5852374309180424E-3</v>
      </c>
      <c r="S174" s="28">
        <f t="shared" ca="1" si="48"/>
        <v>3.8142475957319202</v>
      </c>
    </row>
    <row r="175" spans="1:19" ht="15.75" customHeight="1" x14ac:dyDescent="0.25">
      <c r="A175" s="1">
        <f t="shared" si="47"/>
        <v>7</v>
      </c>
      <c r="B175" s="8">
        <v>167.9</v>
      </c>
      <c r="C175" s="1">
        <f t="shared" ca="1" si="31"/>
        <v>70</v>
      </c>
      <c r="D175" s="10">
        <f t="shared" ca="1" si="32"/>
        <v>8.3666002653407556</v>
      </c>
      <c r="E175" s="1">
        <f t="shared" ca="1" si="33"/>
        <v>800</v>
      </c>
      <c r="F175" s="6">
        <f t="shared" ca="1" si="34"/>
        <v>56000</v>
      </c>
      <c r="G175" s="6">
        <f t="shared" ca="1" si="35"/>
        <v>6693.2802122726043</v>
      </c>
      <c r="H175" s="14">
        <f t="shared" ca="1" si="36"/>
        <v>4.7481880270062007</v>
      </c>
      <c r="I175" s="6">
        <f t="shared" ca="1" si="37"/>
        <v>5.1872921645112681E-2</v>
      </c>
      <c r="J175" s="10">
        <f t="shared" ca="1" si="38"/>
        <v>371.63668797383679</v>
      </c>
      <c r="K175" s="6">
        <f t="shared" ca="1" si="39"/>
        <v>10476590.60502453</v>
      </c>
      <c r="L175" s="6">
        <f t="shared" ca="1" si="40"/>
        <v>62397.799910807204</v>
      </c>
      <c r="M175" s="6">
        <f t="shared" ca="1" si="41"/>
        <v>296276.48644802335</v>
      </c>
      <c r="N175" s="10">
        <f t="shared" ca="1" si="42"/>
        <v>1764.6008722336112</v>
      </c>
      <c r="O175" s="15">
        <f t="shared" ca="1" si="43"/>
        <v>1637.6130198915005</v>
      </c>
      <c r="P175" s="16">
        <f t="shared" ca="1" si="44"/>
        <v>33360</v>
      </c>
      <c r="Q175" s="17">
        <f t="shared" ca="1" si="45"/>
        <v>4.9089119301303968E-2</v>
      </c>
      <c r="R175" s="17">
        <f t="shared" ca="1" si="46"/>
        <v>3.3343367185818952E-3</v>
      </c>
      <c r="S175" s="28">
        <f t="shared" ca="1" si="48"/>
        <v>4.5232260419657013</v>
      </c>
    </row>
    <row r="176" spans="1:19" ht="15.75" customHeight="1" x14ac:dyDescent="0.25">
      <c r="A176" s="1">
        <f t="shared" si="47"/>
        <v>8</v>
      </c>
      <c r="B176" s="8">
        <v>187.7666667</v>
      </c>
      <c r="C176" s="1">
        <f t="shared" ca="1" si="31"/>
        <v>95</v>
      </c>
      <c r="D176" s="10">
        <f t="shared" ca="1" si="32"/>
        <v>9.7467943448089631</v>
      </c>
      <c r="E176" s="6">
        <f t="shared" ca="1" si="33"/>
        <v>10000</v>
      </c>
      <c r="F176" s="6">
        <f t="shared" ca="1" si="34"/>
        <v>950000</v>
      </c>
      <c r="G176" s="6">
        <f t="shared" ca="1" si="35"/>
        <v>97467.943448089631</v>
      </c>
      <c r="H176" s="14">
        <f t="shared" ca="1" si="36"/>
        <v>5.9777236052888476</v>
      </c>
      <c r="I176" s="6">
        <f t="shared" ca="1" si="37"/>
        <v>4.4527460480495683E-2</v>
      </c>
      <c r="J176" s="10">
        <f t="shared" ca="1" si="38"/>
        <v>504.36407653592141</v>
      </c>
      <c r="K176" s="6">
        <f t="shared" ca="1" si="39"/>
        <v>17782021.845572986</v>
      </c>
      <c r="L176" s="6">
        <f t="shared" ca="1" si="40"/>
        <v>94702.761454373656</v>
      </c>
      <c r="M176" s="6">
        <f t="shared" ca="1" si="41"/>
        <v>566106.93263184815</v>
      </c>
      <c r="N176" s="10">
        <f t="shared" ca="1" si="42"/>
        <v>3014.9490459684885</v>
      </c>
      <c r="O176" s="15">
        <f t="shared" ca="1" si="43"/>
        <v>44999.999924496653</v>
      </c>
      <c r="P176" s="16">
        <f t="shared" ca="1" si="44"/>
        <v>503000</v>
      </c>
      <c r="Q176" s="17">
        <f t="shared" ca="1" si="45"/>
        <v>8.9463220525838272E-2</v>
      </c>
      <c r="R176" s="17">
        <f t="shared" ca="1" si="46"/>
        <v>1.6671773672130303E-3</v>
      </c>
      <c r="S176" s="28">
        <f t="shared" ca="1" si="48"/>
        <v>5.7015679850559273</v>
      </c>
    </row>
    <row r="177" spans="1:19" ht="15.75" customHeight="1" x14ac:dyDescent="0.25">
      <c r="A177" s="1">
        <f t="shared" si="47"/>
        <v>9</v>
      </c>
      <c r="B177" s="8">
        <v>212.78333330000001</v>
      </c>
      <c r="C177" s="1">
        <f t="shared" ca="1" si="31"/>
        <v>79</v>
      </c>
      <c r="D177" s="10">
        <f t="shared" ca="1" si="32"/>
        <v>8.8881944173155887</v>
      </c>
      <c r="E177" s="6">
        <f t="shared" ca="1" si="33"/>
        <v>40000</v>
      </c>
      <c r="F177" s="6">
        <f t="shared" ca="1" si="34"/>
        <v>3160000</v>
      </c>
      <c r="G177" s="6">
        <f t="shared" ca="1" si="35"/>
        <v>355527.77669262356</v>
      </c>
      <c r="H177" s="14">
        <f t="shared" ca="1" si="36"/>
        <v>6.4996870826184034</v>
      </c>
      <c r="I177" s="6">
        <f t="shared" ca="1" si="37"/>
        <v>4.8828814900189442E-2</v>
      </c>
      <c r="J177" s="10">
        <f t="shared" ca="1" si="38"/>
        <v>419.4185478561871</v>
      </c>
      <c r="K177" s="6">
        <f t="shared" ca="1" si="39"/>
        <v>18989907.449141264</v>
      </c>
      <c r="L177" s="6">
        <f t="shared" ca="1" si="40"/>
        <v>89245.276660685078</v>
      </c>
      <c r="M177" s="6">
        <f t="shared" ca="1" si="41"/>
        <v>580066.37189616042</v>
      </c>
      <c r="N177" s="10">
        <f t="shared" ca="1" si="42"/>
        <v>2726.0893177114281</v>
      </c>
      <c r="O177" s="15">
        <f t="shared" ca="1" si="43"/>
        <v>88341.106164799727</v>
      </c>
      <c r="P177" s="16">
        <f t="shared" ca="1" si="44"/>
        <v>2055000</v>
      </c>
      <c r="Q177" s="17">
        <f t="shared" ca="1" si="45"/>
        <v>4.2988372829586244E-2</v>
      </c>
      <c r="R177" s="17">
        <f t="shared" ca="1" si="46"/>
        <v>4.3267008670085459E-3</v>
      </c>
      <c r="S177" s="28">
        <f t="shared" ca="1" si="48"/>
        <v>6.312811826212088</v>
      </c>
    </row>
    <row r="178" spans="1:19" ht="15.75" customHeight="1" x14ac:dyDescent="0.25">
      <c r="B178" s="8">
        <v>238</v>
      </c>
      <c r="C178">
        <v>71</v>
      </c>
      <c r="D178">
        <v>8.426149773176359</v>
      </c>
      <c r="E178">
        <v>160000</v>
      </c>
      <c r="F178">
        <v>11360000</v>
      </c>
      <c r="G178">
        <v>1348183.9637082175</v>
      </c>
      <c r="H178" s="1">
        <v>7.0553783313750005</v>
      </c>
      <c r="I178" s="1">
        <v>5.1506323965613235E-2</v>
      </c>
      <c r="J178" s="10"/>
      <c r="K178" s="6"/>
      <c r="L178" s="6"/>
      <c r="M178" s="6"/>
      <c r="N178" s="10"/>
      <c r="O178" s="15">
        <f t="shared" ref="O178" ca="1" si="49">(F178-F177)/(B178-B177)</f>
        <v>325181.75766664685</v>
      </c>
      <c r="P178" s="16">
        <f t="shared" ref="P178" ca="1" si="50">0.5 *( F178+F177)</f>
        <v>7260000</v>
      </c>
      <c r="Q178" s="17">
        <f t="shared" ref="Q178" ca="1" si="51">O178/P178</f>
        <v>4.4790875711659343E-2</v>
      </c>
      <c r="R178" s="17">
        <f t="shared" ref="R178" ca="1" si="52">SQRT((16/(B178-B177)^2)*(1/(F178+F177)^4)*((F177^2 * G178^2)+(F178^2*G177^2 )))</f>
        <v>4.4167966415490775E-3</v>
      </c>
      <c r="S178" s="28">
        <f t="shared" ref="S178" ca="1" si="53">LOG10(P178)</f>
        <v>6.8609366207000937</v>
      </c>
    </row>
    <row r="179" spans="1:19" ht="15.75" customHeight="1" x14ac:dyDescent="0.2">
      <c r="D179" s="10"/>
      <c r="F179" s="6"/>
      <c r="G179" s="6"/>
      <c r="H179" s="14"/>
      <c r="J179" s="10"/>
      <c r="K179" s="6"/>
      <c r="L179" s="6"/>
      <c r="M179" s="6"/>
      <c r="N179" s="10"/>
      <c r="O179" s="15"/>
      <c r="Q179" s="20"/>
      <c r="R179" s="20"/>
      <c r="S179" s="28"/>
    </row>
    <row r="180" spans="1:19" ht="15.75" customHeight="1" x14ac:dyDescent="0.2">
      <c r="D180" s="10"/>
      <c r="F180" s="6"/>
      <c r="G180" s="6"/>
      <c r="H180" s="14"/>
      <c r="J180" s="10"/>
      <c r="K180" s="6"/>
      <c r="L180" s="6"/>
      <c r="M180" s="6"/>
      <c r="N180" s="10"/>
      <c r="O180" s="15"/>
      <c r="Q180" s="20"/>
      <c r="R180" s="20"/>
      <c r="S180" s="28"/>
    </row>
    <row r="181" spans="1:19" ht="15.75" customHeight="1" x14ac:dyDescent="0.2"/>
    <row r="182" spans="1:19" ht="15.75" customHeight="1" x14ac:dyDescent="0.2"/>
    <row r="183" spans="1:19" ht="15.75" customHeight="1" x14ac:dyDescent="0.2">
      <c r="B183" s="1" t="s">
        <v>42</v>
      </c>
      <c r="F183" s="18" t="s">
        <v>56</v>
      </c>
      <c r="G183" s="18"/>
      <c r="H183" s="18"/>
      <c r="I183" s="1"/>
    </row>
    <row r="184" spans="1:19" ht="15.75" customHeight="1" x14ac:dyDescent="0.2">
      <c r="B184" s="1" t="s">
        <v>44</v>
      </c>
      <c r="F184" s="1" t="s">
        <v>45</v>
      </c>
      <c r="G184" s="1" t="s">
        <v>46</v>
      </c>
      <c r="H184" s="19">
        <f ca="1">(SUM(J169:J173)) * (SUM(K169:K173)) - (SUM(L169:L173))^2</f>
        <v>373388908.5499599</v>
      </c>
      <c r="I184" s="1"/>
    </row>
    <row r="185" spans="1:19" ht="15.75" customHeight="1" x14ac:dyDescent="0.2">
      <c r="B185" s="1" t="s">
        <v>47</v>
      </c>
      <c r="F185" s="1" t="s">
        <v>48</v>
      </c>
      <c r="G185" s="1" t="s">
        <v>49</v>
      </c>
      <c r="H185" s="19">
        <f ca="1">(1/H184)*(SUM(J169:J173)*SUM(M169:M173) - SUM(L169:L173)* SUM(N169:N173))</f>
        <v>8.5130563129047748E-3</v>
      </c>
      <c r="I185" s="1"/>
    </row>
    <row r="186" spans="1:19" ht="15.75" customHeight="1" x14ac:dyDescent="0.2">
      <c r="B186" s="1" t="s">
        <v>50</v>
      </c>
      <c r="F186" s="1"/>
      <c r="G186" s="1" t="s">
        <v>51</v>
      </c>
      <c r="H186" s="19">
        <f ca="1">SQRT((1/H184)*(SUM(J169:J173)))</f>
        <v>1.2392001052806353E-3</v>
      </c>
      <c r="I186" s="1"/>
    </row>
    <row r="187" spans="1:19" ht="15.75" customHeight="1" x14ac:dyDescent="0.2">
      <c r="F187" s="1"/>
      <c r="G187" s="1"/>
      <c r="H187" s="1"/>
      <c r="I187" s="1"/>
    </row>
    <row r="188" spans="1:19" ht="15.75" customHeight="1" x14ac:dyDescent="0.2">
      <c r="F188" s="1" t="s">
        <v>52</v>
      </c>
      <c r="G188" s="1" t="s">
        <v>46</v>
      </c>
      <c r="H188" s="19">
        <f ca="1">(SUM(J175:J177)) * (SUM(K175:K177)) - (SUM(L175:L177))^2</f>
        <v>520373246.16212463</v>
      </c>
      <c r="I188" s="1"/>
    </row>
    <row r="189" spans="1:19" ht="15.75" customHeight="1" x14ac:dyDescent="0.2">
      <c r="F189" s="1" t="s">
        <v>48</v>
      </c>
      <c r="G189" s="1" t="s">
        <v>49</v>
      </c>
      <c r="H189" s="19">
        <f ca="1">(1/H188)*(SUM(J175:J177)*SUM(M175:M177) - SUM(L175:L177)* SUM(N175:N177))</f>
        <v>3.7654374051985913E-2</v>
      </c>
      <c r="I189" s="1"/>
    </row>
    <row r="190" spans="1:19" ht="15.75" customHeight="1" x14ac:dyDescent="0.2">
      <c r="F190" s="1"/>
      <c r="G190" s="1" t="s">
        <v>51</v>
      </c>
      <c r="H190" s="19">
        <f ca="1">SQRT((1/H188)*(SUM(J175:J177)))</f>
        <v>1.5777845664493597E-3</v>
      </c>
      <c r="I190" s="1"/>
    </row>
    <row r="191" spans="1:19" ht="14.25" customHeight="1" x14ac:dyDescent="0.2"/>
    <row r="192" spans="1:19" ht="28.5" customHeight="1" x14ac:dyDescent="0.2">
      <c r="A192" s="1" t="s">
        <v>57</v>
      </c>
      <c r="F192" s="1"/>
    </row>
    <row r="193" spans="1:19" ht="30.75" customHeight="1" x14ac:dyDescent="0.2">
      <c r="A193" s="1" t="s">
        <v>24</v>
      </c>
      <c r="B193" s="7" t="s">
        <v>25</v>
      </c>
      <c r="C193" s="1" t="s">
        <v>26</v>
      </c>
      <c r="D193" s="1" t="s">
        <v>27</v>
      </c>
      <c r="E193" s="7" t="s">
        <v>28</v>
      </c>
      <c r="F193" s="1" t="s">
        <v>55</v>
      </c>
      <c r="G193" s="1" t="s">
        <v>30</v>
      </c>
      <c r="H193" s="1" t="s">
        <v>31</v>
      </c>
      <c r="I193" s="1" t="s">
        <v>32</v>
      </c>
      <c r="J193" s="1" t="s">
        <v>33</v>
      </c>
      <c r="K193" s="1" t="s">
        <v>34</v>
      </c>
      <c r="L193" s="1" t="s">
        <v>35</v>
      </c>
      <c r="M193" s="1" t="s">
        <v>36</v>
      </c>
      <c r="N193" s="1" t="s">
        <v>37</v>
      </c>
      <c r="O193" s="1" t="s">
        <v>38</v>
      </c>
      <c r="P193" s="12" t="s">
        <v>39</v>
      </c>
      <c r="Q193" s="13" t="s">
        <v>40</v>
      </c>
      <c r="R193" s="12" t="s">
        <v>41</v>
      </c>
      <c r="S193" s="27" t="s">
        <v>79</v>
      </c>
    </row>
    <row r="194" spans="1:19" ht="15.75" customHeight="1" x14ac:dyDescent="0.25">
      <c r="A194" s="1"/>
      <c r="B194" s="8">
        <v>0</v>
      </c>
      <c r="F194" s="12">
        <v>100</v>
      </c>
      <c r="G194" s="12">
        <v>0</v>
      </c>
      <c r="H194" s="1"/>
      <c r="I194" s="1"/>
      <c r="J194" s="10"/>
      <c r="K194" s="6"/>
      <c r="L194" s="6"/>
      <c r="M194" s="6"/>
      <c r="N194" s="10"/>
    </row>
    <row r="195" spans="1:19" ht="15.75" customHeight="1" x14ac:dyDescent="0.25">
      <c r="A195" s="1">
        <v>1</v>
      </c>
      <c r="B195" s="8">
        <v>19.166666670000001</v>
      </c>
      <c r="C195" s="1">
        <f t="shared" ref="C195:C204" ca="1" si="54">OFFSET($B$8,(A195-1)*9,0)</f>
        <v>9</v>
      </c>
      <c r="D195" s="10">
        <f t="shared" ref="D195:D204" ca="1" si="55">SQRT(C195)</f>
        <v>3</v>
      </c>
      <c r="E195" s="1">
        <f t="shared" ref="E195:E204" ca="1" si="56">OFFSET($C$8,(A195-1)*9,0)*OFFSET($D$8,(A195-1)*9,0)</f>
        <v>20</v>
      </c>
      <c r="F195" s="6">
        <f t="shared" ref="F195:F204" ca="1" si="57">C195*E195</f>
        <v>180</v>
      </c>
      <c r="G195" s="6">
        <f t="shared" ref="G195:G204" ca="1" si="58">D195*E195</f>
        <v>60</v>
      </c>
      <c r="H195" s="14">
        <f t="shared" ref="H195:H204" ca="1" si="59">LOG10(F195)</f>
        <v>2.255272505103306</v>
      </c>
      <c r="I195" s="6">
        <f t="shared" ref="I195:I204" ca="1" si="60">0.434 * G195/F195</f>
        <v>0.14466666666666667</v>
      </c>
      <c r="J195" s="10">
        <f t="shared" ref="J195:J204" ca="1" si="61">(1/I195)^2</f>
        <v>47.781859882350439</v>
      </c>
      <c r="K195" s="6">
        <f t="shared" ref="K195:K204" ca="1" si="62">(B195/I195)^2</f>
        <v>17553.19714344115</v>
      </c>
      <c r="L195" s="6">
        <f t="shared" ref="L195:L204" ca="1" si="63">B195/(I195^2)</f>
        <v>915.81898123765643</v>
      </c>
      <c r="M195" s="6">
        <f t="shared" ref="M195:M204" ca="1" si="64">B195*H195*J195</f>
        <v>2065.4213680370071</v>
      </c>
      <c r="N195" s="10">
        <f t="shared" ref="N195:N204" ca="1" si="65">H195*J195</f>
        <v>107.76111483536363</v>
      </c>
      <c r="O195" s="15">
        <f t="shared" ref="O195:O204" ca="1" si="66">(F195-F194)/(B195-B194)</f>
        <v>4.1739130427523623</v>
      </c>
      <c r="P195" s="16">
        <f t="shared" ref="P195:P204" ca="1" si="67">0.5 *( F195+F194)</f>
        <v>140</v>
      </c>
      <c r="Q195" s="17">
        <f t="shared" ref="Q195:Q204" ca="1" si="68">O195/P195</f>
        <v>2.9813664591088303E-2</v>
      </c>
      <c r="R195" s="17">
        <f t="shared" ref="R195:R204" ca="1" si="69">SQRT((16/(B195-B194)^2)*(1/(F195+F194)^4)*((F194^2 * G195^2)+(F195^2*G194^2 )))</f>
        <v>1.5971606030940163E-2</v>
      </c>
      <c r="S195" s="28">
        <f ca="1">LOG10(P195)</f>
        <v>2.1461280356782382</v>
      </c>
    </row>
    <row r="196" spans="1:19" ht="15.75" customHeight="1" x14ac:dyDescent="0.2">
      <c r="A196" s="1">
        <f t="shared" ref="A196:A204" si="70">A195+1</f>
        <v>2</v>
      </c>
      <c r="B196" s="10">
        <v>46.85</v>
      </c>
      <c r="C196" s="1">
        <f t="shared" ca="1" si="54"/>
        <v>31</v>
      </c>
      <c r="D196" s="10">
        <f t="shared" ca="1" si="55"/>
        <v>5.5677643628300215</v>
      </c>
      <c r="E196" s="1">
        <f t="shared" ca="1" si="56"/>
        <v>20</v>
      </c>
      <c r="F196" s="6">
        <f t="shared" ca="1" si="57"/>
        <v>620</v>
      </c>
      <c r="G196" s="6">
        <f t="shared" ca="1" si="58"/>
        <v>111.35528725660043</v>
      </c>
      <c r="H196" s="14">
        <f t="shared" ca="1" si="59"/>
        <v>2.7923916894982539</v>
      </c>
      <c r="I196" s="6">
        <f t="shared" ca="1" si="60"/>
        <v>7.7948701079620292E-2</v>
      </c>
      <c r="J196" s="10">
        <f t="shared" ca="1" si="61"/>
        <v>164.58196181698494</v>
      </c>
      <c r="K196" s="6">
        <f t="shared" ca="1" si="62"/>
        <v>361244.65108624118</v>
      </c>
      <c r="L196" s="6">
        <f t="shared" ca="1" si="63"/>
        <v>7710.6649111257448</v>
      </c>
      <c r="M196" s="6">
        <f t="shared" ca="1" si="64"/>
        <v>21531.196618333321</v>
      </c>
      <c r="N196" s="10">
        <f t="shared" ca="1" si="65"/>
        <v>459.57730241906768</v>
      </c>
      <c r="O196" s="15">
        <f t="shared" ca="1" si="66"/>
        <v>15.894039737013129</v>
      </c>
      <c r="P196" s="16">
        <f t="shared" ca="1" si="67"/>
        <v>400</v>
      </c>
      <c r="Q196" s="17">
        <f t="shared" ca="1" si="68"/>
        <v>3.9735099342532824E-2</v>
      </c>
      <c r="R196" s="17">
        <f t="shared" ca="1" si="69"/>
        <v>9.5401175059609458E-3</v>
      </c>
      <c r="S196" s="28">
        <f t="shared" ref="S196:S204" ca="1" si="71">LOG10(P196)</f>
        <v>2.6020599913279625</v>
      </c>
    </row>
    <row r="197" spans="1:19" ht="15.75" customHeight="1" x14ac:dyDescent="0.25">
      <c r="A197" s="1">
        <f t="shared" si="70"/>
        <v>3</v>
      </c>
      <c r="B197" s="8">
        <v>69.516666670000006</v>
      </c>
      <c r="C197" s="1">
        <f t="shared" ca="1" si="54"/>
        <v>31</v>
      </c>
      <c r="D197" s="10">
        <f t="shared" ca="1" si="55"/>
        <v>5.5677643628300215</v>
      </c>
      <c r="E197" s="1">
        <f t="shared" ca="1" si="56"/>
        <v>20</v>
      </c>
      <c r="F197" s="6">
        <f t="shared" ca="1" si="57"/>
        <v>620</v>
      </c>
      <c r="G197" s="6">
        <f t="shared" ca="1" si="58"/>
        <v>111.35528725660043</v>
      </c>
      <c r="H197" s="14">
        <f t="shared" ca="1" si="59"/>
        <v>2.7923916894982539</v>
      </c>
      <c r="I197" s="6">
        <f t="shared" ca="1" si="60"/>
        <v>7.7948701079620292E-2</v>
      </c>
      <c r="J197" s="10">
        <f t="shared" ca="1" si="61"/>
        <v>164.58196181698494</v>
      </c>
      <c r="K197" s="6">
        <f t="shared" ca="1" si="62"/>
        <v>795353.34840485372</v>
      </c>
      <c r="L197" s="6">
        <f t="shared" ca="1" si="63"/>
        <v>11441.189379526011</v>
      </c>
      <c r="M197" s="6">
        <f t="shared" ca="1" si="64"/>
        <v>31948.282141364118</v>
      </c>
      <c r="N197" s="10">
        <f t="shared" ca="1" si="65"/>
        <v>459.57730241906768</v>
      </c>
      <c r="O197" s="15">
        <f t="shared" ca="1" si="66"/>
        <v>0</v>
      </c>
      <c r="P197" s="16">
        <f t="shared" ca="1" si="67"/>
        <v>620</v>
      </c>
      <c r="Q197" s="17">
        <f t="shared" ca="1" si="68"/>
        <v>0</v>
      </c>
      <c r="R197" s="17">
        <f t="shared" ca="1" si="69"/>
        <v>1.1205893557192408E-2</v>
      </c>
      <c r="S197" s="28">
        <f t="shared" ca="1" si="71"/>
        <v>2.7923916894982539</v>
      </c>
    </row>
    <row r="198" spans="1:19" ht="15.75" customHeight="1" x14ac:dyDescent="0.25">
      <c r="A198" s="1">
        <f t="shared" si="70"/>
        <v>4</v>
      </c>
      <c r="B198" s="8">
        <v>90.116666670000001</v>
      </c>
      <c r="C198" s="1">
        <f t="shared" ca="1" si="54"/>
        <v>33</v>
      </c>
      <c r="D198" s="10">
        <f t="shared" ca="1" si="55"/>
        <v>5.7445626465380286</v>
      </c>
      <c r="E198" s="1">
        <f t="shared" ca="1" si="56"/>
        <v>40</v>
      </c>
      <c r="F198" s="6">
        <f t="shared" ca="1" si="57"/>
        <v>1320</v>
      </c>
      <c r="G198" s="6">
        <f t="shared" ca="1" si="58"/>
        <v>229.78250586152114</v>
      </c>
      <c r="H198" s="14">
        <f t="shared" ca="1" si="59"/>
        <v>3.12057393120585</v>
      </c>
      <c r="I198" s="6">
        <f t="shared" ca="1" si="60"/>
        <v>7.554970268477286E-2</v>
      </c>
      <c r="J198" s="10">
        <f t="shared" ca="1" si="61"/>
        <v>175.20015290195161</v>
      </c>
      <c r="K198" s="6">
        <f t="shared" ca="1" si="62"/>
        <v>1422802.8264907536</v>
      </c>
      <c r="L198" s="6">
        <f t="shared" ca="1" si="63"/>
        <v>15788.453779598209</v>
      </c>
      <c r="M198" s="6">
        <f t="shared" ca="1" si="64"/>
        <v>49269.037278662639</v>
      </c>
      <c r="N198" s="10">
        <f t="shared" ca="1" si="65"/>
        <v>546.72502988910912</v>
      </c>
      <c r="O198" s="15">
        <f t="shared" ca="1" si="66"/>
        <v>33.980582524271853</v>
      </c>
      <c r="P198" s="16">
        <f t="shared" ca="1" si="67"/>
        <v>970</v>
      </c>
      <c r="Q198" s="17">
        <f t="shared" ca="1" si="68"/>
        <v>3.5031528375537996E-2</v>
      </c>
      <c r="R198" s="17">
        <f t="shared" ca="1" si="69"/>
        <v>1.0561050077750869E-2</v>
      </c>
      <c r="S198" s="28">
        <f t="shared" ca="1" si="71"/>
        <v>2.9867717342662448</v>
      </c>
    </row>
    <row r="199" spans="1:19" ht="15.75" customHeight="1" x14ac:dyDescent="0.25">
      <c r="A199" s="1">
        <f t="shared" si="70"/>
        <v>5</v>
      </c>
      <c r="B199" s="8">
        <v>116.9666667</v>
      </c>
      <c r="C199" s="1">
        <f t="shared" ca="1" si="54"/>
        <v>33</v>
      </c>
      <c r="D199" s="10">
        <f t="shared" ca="1" si="55"/>
        <v>5.7445626465380286</v>
      </c>
      <c r="E199" s="1">
        <f t="shared" ca="1" si="56"/>
        <v>80</v>
      </c>
      <c r="F199" s="6">
        <f t="shared" ca="1" si="57"/>
        <v>2640</v>
      </c>
      <c r="G199" s="6">
        <f t="shared" ca="1" si="58"/>
        <v>459.56501172304229</v>
      </c>
      <c r="H199" s="14">
        <f t="shared" ca="1" si="59"/>
        <v>3.4216039268698313</v>
      </c>
      <c r="I199" s="6">
        <f t="shared" ca="1" si="60"/>
        <v>7.554970268477286E-2</v>
      </c>
      <c r="J199" s="10">
        <f t="shared" ca="1" si="61"/>
        <v>175.20015290195161</v>
      </c>
      <c r="K199" s="6">
        <f t="shared" ca="1" si="62"/>
        <v>2396948.5279151895</v>
      </c>
      <c r="L199" s="6">
        <f t="shared" ca="1" si="63"/>
        <v>20492.577890271616</v>
      </c>
      <c r="M199" s="6">
        <f t="shared" ca="1" si="64"/>
        <v>70117.484981039233</v>
      </c>
      <c r="N199" s="10">
        <f t="shared" ca="1" si="65"/>
        <v>599.46553115751249</v>
      </c>
      <c r="O199" s="15">
        <f t="shared" ca="1" si="66"/>
        <v>49.162011118254732</v>
      </c>
      <c r="P199" s="16">
        <f t="shared" ca="1" si="67"/>
        <v>1980</v>
      </c>
      <c r="Q199" s="17">
        <f t="shared" ca="1" si="68"/>
        <v>2.4829298544573098E-2</v>
      </c>
      <c r="R199" s="17">
        <f t="shared" ca="1" si="69"/>
        <v>8.1500676741932763E-3</v>
      </c>
      <c r="S199" s="28">
        <f t="shared" ca="1" si="71"/>
        <v>3.2966651902615309</v>
      </c>
    </row>
    <row r="200" spans="1:19" ht="15.75" customHeight="1" x14ac:dyDescent="0.25">
      <c r="A200" s="1">
        <f t="shared" si="70"/>
        <v>6</v>
      </c>
      <c r="B200" s="8">
        <v>140.25</v>
      </c>
      <c r="C200" s="1">
        <f t="shared" ca="1" si="54"/>
        <v>47</v>
      </c>
      <c r="D200" s="10">
        <f t="shared" ca="1" si="55"/>
        <v>6.8556546004010439</v>
      </c>
      <c r="E200" s="1">
        <f t="shared" ca="1" si="56"/>
        <v>160</v>
      </c>
      <c r="F200" s="6">
        <f t="shared" ca="1" si="57"/>
        <v>7520</v>
      </c>
      <c r="G200" s="6">
        <f t="shared" ca="1" si="58"/>
        <v>1096.9047360641671</v>
      </c>
      <c r="H200" s="14">
        <f t="shared" ca="1" si="59"/>
        <v>3.8762178405916421</v>
      </c>
      <c r="I200" s="6">
        <f t="shared" ca="1" si="60"/>
        <v>6.3305406310086229E-2</v>
      </c>
      <c r="J200" s="10">
        <f t="shared" ca="1" si="61"/>
        <v>249.52749049671903</v>
      </c>
      <c r="K200" s="6">
        <f t="shared" ca="1" si="62"/>
        <v>4908221.3335386198</v>
      </c>
      <c r="L200" s="6">
        <f t="shared" ca="1" si="63"/>
        <v>34996.230542164849</v>
      </c>
      <c r="M200" s="6">
        <f t="shared" ca="1" si="64"/>
        <v>135653.01318099748</v>
      </c>
      <c r="N200" s="10">
        <f t="shared" ca="1" si="65"/>
        <v>967.22291038144374</v>
      </c>
      <c r="O200" s="15">
        <f t="shared" ca="1" si="66"/>
        <v>209.59198312038941</v>
      </c>
      <c r="P200" s="16">
        <f t="shared" ca="1" si="67"/>
        <v>5080</v>
      </c>
      <c r="Q200" s="17">
        <f t="shared" ca="1" si="68"/>
        <v>4.1258264393777444E-2</v>
      </c>
      <c r="R200" s="17">
        <f t="shared" ca="1" si="69"/>
        <v>7.503921503789427E-3</v>
      </c>
      <c r="S200" s="28">
        <f t="shared" ca="1" si="71"/>
        <v>3.7058637122839193</v>
      </c>
    </row>
    <row r="201" spans="1:19" ht="15.75" customHeight="1" x14ac:dyDescent="0.25">
      <c r="A201" s="1">
        <f t="shared" si="70"/>
        <v>7</v>
      </c>
      <c r="B201" s="8">
        <v>167.9</v>
      </c>
      <c r="C201" s="1">
        <f t="shared" ca="1" si="54"/>
        <v>41</v>
      </c>
      <c r="D201" s="10">
        <f t="shared" ca="1" si="55"/>
        <v>6.4031242374328485</v>
      </c>
      <c r="E201" s="1">
        <f t="shared" ca="1" si="56"/>
        <v>800</v>
      </c>
      <c r="F201" s="6">
        <f t="shared" ca="1" si="57"/>
        <v>32800</v>
      </c>
      <c r="G201" s="6">
        <f t="shared" ca="1" si="58"/>
        <v>5122.4993899462788</v>
      </c>
      <c r="H201" s="14">
        <f t="shared" ca="1" si="59"/>
        <v>4.5158738437116792</v>
      </c>
      <c r="I201" s="6">
        <f t="shared" ca="1" si="60"/>
        <v>6.7779412659655022E-2</v>
      </c>
      <c r="J201" s="10">
        <f t="shared" ca="1" si="61"/>
        <v>217.67291724181874</v>
      </c>
      <c r="K201" s="6">
        <f t="shared" ca="1" si="62"/>
        <v>6136288.7829429405</v>
      </c>
      <c r="L201" s="6">
        <f t="shared" ca="1" si="63"/>
        <v>36547.28280490137</v>
      </c>
      <c r="M201" s="6">
        <f t="shared" ca="1" si="64"/>
        <v>165042.91847738769</v>
      </c>
      <c r="N201" s="10">
        <f t="shared" ca="1" si="65"/>
        <v>982.98343345674618</v>
      </c>
      <c r="O201" s="15">
        <f t="shared" ca="1" si="66"/>
        <v>914.28571428571411</v>
      </c>
      <c r="P201" s="16">
        <f t="shared" ca="1" si="67"/>
        <v>20160</v>
      </c>
      <c r="Q201" s="17">
        <f t="shared" ca="1" si="68"/>
        <v>4.5351473922902487E-2</v>
      </c>
      <c r="R201" s="17">
        <f t="shared" ca="1" si="69"/>
        <v>4.6904657801475277E-3</v>
      </c>
      <c r="S201" s="28">
        <f t="shared" ca="1" si="71"/>
        <v>4.3044905277734875</v>
      </c>
    </row>
    <row r="202" spans="1:19" ht="15.75" customHeight="1" x14ac:dyDescent="0.25">
      <c r="A202" s="1">
        <f t="shared" si="70"/>
        <v>8</v>
      </c>
      <c r="B202" s="8">
        <v>187.7666667</v>
      </c>
      <c r="C202" s="1">
        <f t="shared" ca="1" si="54"/>
        <v>41</v>
      </c>
      <c r="D202" s="10">
        <f t="shared" ca="1" si="55"/>
        <v>6.4031242374328485</v>
      </c>
      <c r="E202" s="6">
        <f t="shared" ca="1" si="56"/>
        <v>10000</v>
      </c>
      <c r="F202" s="6">
        <f t="shared" ca="1" si="57"/>
        <v>410000</v>
      </c>
      <c r="G202" s="6">
        <f t="shared" ca="1" si="58"/>
        <v>64031.242374328489</v>
      </c>
      <c r="H202" s="14">
        <f t="shared" ca="1" si="59"/>
        <v>5.6127838567197355</v>
      </c>
      <c r="I202" s="6">
        <f t="shared" ca="1" si="60"/>
        <v>6.7779412659655036E-2</v>
      </c>
      <c r="J202" s="10">
        <f t="shared" ca="1" si="61"/>
        <v>217.67291724181868</v>
      </c>
      <c r="K202" s="6">
        <f t="shared" ca="1" si="62"/>
        <v>7674346.2701946544</v>
      </c>
      <c r="L202" s="6">
        <f t="shared" ca="1" si="63"/>
        <v>40871.71810136125</v>
      </c>
      <c r="M202" s="6">
        <f t="shared" ca="1" si="64"/>
        <v>229404.11955572022</v>
      </c>
      <c r="N202" s="10">
        <f t="shared" ca="1" si="65"/>
        <v>1221.751035939971</v>
      </c>
      <c r="O202" s="15">
        <f t="shared" ca="1" si="66"/>
        <v>18986.577149351386</v>
      </c>
      <c r="P202" s="16">
        <f t="shared" ca="1" si="67"/>
        <v>221400</v>
      </c>
      <c r="Q202" s="17">
        <f t="shared" ca="1" si="68"/>
        <v>8.5756897693547357E-2</v>
      </c>
      <c r="R202" s="17">
        <f t="shared" ca="1" si="69"/>
        <v>3.0500048578882199E-3</v>
      </c>
      <c r="S202" s="28">
        <f t="shared" ca="1" si="71"/>
        <v>5.3451776165427036</v>
      </c>
    </row>
    <row r="203" spans="1:19" ht="15.75" customHeight="1" x14ac:dyDescent="0.25">
      <c r="A203" s="1">
        <f t="shared" si="70"/>
        <v>9</v>
      </c>
      <c r="B203" s="8">
        <v>212.78333330000001</v>
      </c>
      <c r="C203" s="1">
        <f t="shared" ca="1" si="54"/>
        <v>122</v>
      </c>
      <c r="D203" s="10">
        <f t="shared" ca="1" si="55"/>
        <v>11.045361017187261</v>
      </c>
      <c r="E203" s="6">
        <f t="shared" ca="1" si="56"/>
        <v>10000</v>
      </c>
      <c r="F203" s="6">
        <f t="shared" ca="1" si="57"/>
        <v>1220000</v>
      </c>
      <c r="G203" s="6">
        <f t="shared" ca="1" si="58"/>
        <v>110453.61017187261</v>
      </c>
      <c r="H203" s="14">
        <f t="shared" ca="1" si="59"/>
        <v>6.0863598306747484</v>
      </c>
      <c r="I203" s="6">
        <f t="shared" ca="1" si="60"/>
        <v>3.9292513782453048E-2</v>
      </c>
      <c r="J203" s="10">
        <f t="shared" ca="1" si="61"/>
        <v>647.70965618297248</v>
      </c>
      <c r="K203" s="6">
        <f t="shared" ca="1" si="62"/>
        <v>29326186.187281441</v>
      </c>
      <c r="L203" s="6">
        <f t="shared" ca="1" si="63"/>
        <v>137821.81965320985</v>
      </c>
      <c r="M203" s="6">
        <f t="shared" ca="1" si="64"/>
        <v>838833.18692779599</v>
      </c>
      <c r="N203" s="10">
        <f t="shared" ca="1" si="65"/>
        <v>3942.1940333321959</v>
      </c>
      <c r="O203" s="15">
        <f t="shared" ca="1" si="66"/>
        <v>32378.414476691301</v>
      </c>
      <c r="P203" s="16">
        <f t="shared" ca="1" si="67"/>
        <v>815000</v>
      </c>
      <c r="Q203" s="17">
        <f t="shared" ca="1" si="68"/>
        <v>3.9728115922320617E-2</v>
      </c>
      <c r="R203" s="17">
        <f t="shared" ca="1" si="69"/>
        <v>5.4340169370438469E-3</v>
      </c>
      <c r="S203" s="28">
        <f t="shared" ca="1" si="71"/>
        <v>5.9111576087399769</v>
      </c>
    </row>
    <row r="204" spans="1:19" ht="15.75" customHeight="1" x14ac:dyDescent="0.25">
      <c r="A204" s="1">
        <f t="shared" si="70"/>
        <v>10</v>
      </c>
      <c r="B204" s="8">
        <v>237.95</v>
      </c>
      <c r="C204" s="1">
        <f t="shared" ca="1" si="54"/>
        <v>52</v>
      </c>
      <c r="D204" s="10">
        <f t="shared" ca="1" si="55"/>
        <v>7.2111025509279782</v>
      </c>
      <c r="E204" s="6">
        <f t="shared" ca="1" si="56"/>
        <v>160000</v>
      </c>
      <c r="F204" s="6">
        <f t="shared" ca="1" si="57"/>
        <v>8320000</v>
      </c>
      <c r="G204" s="6">
        <f t="shared" ca="1" si="58"/>
        <v>1153776.4081484766</v>
      </c>
      <c r="H204" s="14">
        <f t="shared" ca="1" si="59"/>
        <v>6.9201233262907236</v>
      </c>
      <c r="I204" s="6">
        <f t="shared" ca="1" si="60"/>
        <v>6.0184971290437358E-2</v>
      </c>
      <c r="J204" s="10">
        <f t="shared" ca="1" si="61"/>
        <v>276.07296820913592</v>
      </c>
      <c r="K204" s="6">
        <f t="shared" ca="1" si="62"/>
        <v>15631307.364777336</v>
      </c>
      <c r="L204" s="6">
        <f t="shared" ca="1" si="63"/>
        <v>65691.562785363887</v>
      </c>
      <c r="M204" s="6">
        <f t="shared" ca="1" si="64"/>
        <v>454593.71597148827</v>
      </c>
      <c r="N204" s="10">
        <f t="shared" ca="1" si="65"/>
        <v>1910.4589870623588</v>
      </c>
      <c r="O204" s="15">
        <f t="shared" ca="1" si="66"/>
        <v>282119.20492434566</v>
      </c>
      <c r="P204" s="16">
        <f t="shared" ca="1" si="67"/>
        <v>4770000</v>
      </c>
      <c r="Q204" s="17">
        <f t="shared" ca="1" si="68"/>
        <v>5.9144487405523201E-2</v>
      </c>
      <c r="R204" s="17">
        <f t="shared" ca="1" si="69"/>
        <v>2.9357139625260397E-3</v>
      </c>
      <c r="S204" s="28">
        <f t="shared" ca="1" si="71"/>
        <v>6.6785183790401144</v>
      </c>
    </row>
    <row r="205" spans="1:19" ht="15.75" customHeight="1" x14ac:dyDescent="0.2">
      <c r="B205">
        <v>261</v>
      </c>
      <c r="C205">
        <v>62</v>
      </c>
      <c r="D205">
        <v>7.8740078740118111</v>
      </c>
      <c r="E205">
        <v>160000</v>
      </c>
      <c r="F205">
        <v>9920000</v>
      </c>
      <c r="G205">
        <v>1259841.2598418898</v>
      </c>
      <c r="H205">
        <v>6.9965116721541785</v>
      </c>
      <c r="I205">
        <v>5.5118055118082682E-2</v>
      </c>
      <c r="J205" s="10"/>
      <c r="K205" s="6"/>
      <c r="L205" s="6"/>
      <c r="M205" s="6"/>
      <c r="N205" s="10"/>
      <c r="O205" s="6"/>
      <c r="P205" s="6"/>
      <c r="Q205" s="6"/>
      <c r="R205" s="10"/>
    </row>
    <row r="206" spans="1:19" ht="15.75" customHeight="1" x14ac:dyDescent="0.2">
      <c r="D206" s="10"/>
      <c r="F206" s="6"/>
      <c r="G206" s="6"/>
      <c r="H206" s="14"/>
      <c r="J206" s="10"/>
      <c r="K206" s="6"/>
      <c r="L206" s="6"/>
      <c r="M206" s="6"/>
      <c r="N206" s="10"/>
      <c r="O206" s="6"/>
      <c r="P206" s="6"/>
      <c r="Q206" s="6"/>
      <c r="R206" s="10"/>
    </row>
    <row r="207" spans="1:19" ht="15.75" customHeight="1" x14ac:dyDescent="0.2"/>
    <row r="208" spans="1:19" ht="15.75" customHeight="1" x14ac:dyDescent="0.2"/>
    <row r="209" spans="1:19" ht="15.75" customHeight="1" x14ac:dyDescent="0.2">
      <c r="B209" s="1" t="s">
        <v>42</v>
      </c>
      <c r="F209" s="18" t="s">
        <v>58</v>
      </c>
      <c r="G209" s="18"/>
      <c r="H209" s="18"/>
      <c r="I209" s="1"/>
    </row>
    <row r="210" spans="1:19" ht="15.75" customHeight="1" x14ac:dyDescent="0.2">
      <c r="B210" s="1" t="s">
        <v>44</v>
      </c>
      <c r="F210" s="1" t="s">
        <v>45</v>
      </c>
      <c r="G210" s="1" t="s">
        <v>46</v>
      </c>
      <c r="H210" s="19">
        <f ca="1">(SUM(J195:J199)) * (SUM(K195:K199)) - (SUM(L195:L199))^2</f>
        <v>457118942.33213949</v>
      </c>
      <c r="I210" s="1"/>
    </row>
    <row r="211" spans="1:19" ht="15.75" customHeight="1" x14ac:dyDescent="0.2">
      <c r="B211" s="1" t="s">
        <v>47</v>
      </c>
      <c r="F211" s="1" t="s">
        <v>48</v>
      </c>
      <c r="G211" s="1" t="s">
        <v>49</v>
      </c>
      <c r="H211" s="19">
        <f ca="1">(1/H210)*(SUM(J195:J199)*SUM(M195:M199) - SUM(L195:L199)* SUM(N195:N199))</f>
        <v>1.0465462946989702E-2</v>
      </c>
      <c r="I211" s="1"/>
    </row>
    <row r="212" spans="1:19" ht="15.75" customHeight="1" x14ac:dyDescent="0.2">
      <c r="B212" s="1" t="s">
        <v>50</v>
      </c>
      <c r="F212" s="1"/>
      <c r="G212" s="1" t="s">
        <v>51</v>
      </c>
      <c r="H212" s="19">
        <f ca="1">SQRT((1/H210)*(SUM(J195:J199)))</f>
        <v>1.2614090571248812E-3</v>
      </c>
      <c r="I212" s="1"/>
    </row>
    <row r="213" spans="1:19" ht="15.75" customHeight="1" x14ac:dyDescent="0.2">
      <c r="F213" s="1"/>
      <c r="G213" s="1"/>
      <c r="H213" s="1"/>
      <c r="I213" s="1"/>
    </row>
    <row r="214" spans="1:19" ht="15.75" customHeight="1" x14ac:dyDescent="0.2">
      <c r="F214" s="1" t="s">
        <v>52</v>
      </c>
      <c r="G214" s="1" t="s">
        <v>46</v>
      </c>
      <c r="H214" s="19">
        <f ca="1">(SUM(J202:J204)) * (SUM(K202:K204)) - (SUM(L202:L204))^2</f>
        <v>352827865.58624268</v>
      </c>
      <c r="I214" s="1"/>
    </row>
    <row r="215" spans="1:19" ht="15.75" customHeight="1" x14ac:dyDescent="0.2">
      <c r="F215" s="1" t="s">
        <v>48</v>
      </c>
      <c r="G215" s="1" t="s">
        <v>49</v>
      </c>
      <c r="H215" s="19">
        <f ca="1">(1/H214)*(SUM(J202:J204)*SUM(M202:M204) - SUM(L202:L204)* SUM(N202:N204))</f>
        <v>2.6542583223484614E-2</v>
      </c>
      <c r="I215" s="1"/>
    </row>
    <row r="216" spans="1:19" ht="15.75" customHeight="1" x14ac:dyDescent="0.2">
      <c r="F216" s="1"/>
      <c r="G216" s="1" t="s">
        <v>51</v>
      </c>
      <c r="H216" s="19">
        <f ca="1">SQRT((1/H214)*(SUM(J202:J204)))</f>
        <v>1.7986557968485241E-3</v>
      </c>
      <c r="I216" s="1"/>
    </row>
    <row r="217" spans="1:19" ht="15.75" customHeight="1" x14ac:dyDescent="0.2"/>
    <row r="218" spans="1:19" ht="15.75" customHeight="1" x14ac:dyDescent="0.2">
      <c r="A218" s="1" t="s">
        <v>59</v>
      </c>
      <c r="B218" s="1"/>
    </row>
    <row r="219" spans="1:19" ht="15.75" customHeight="1" x14ac:dyDescent="0.2">
      <c r="A219" s="1" t="s">
        <v>24</v>
      </c>
      <c r="B219" s="7" t="s">
        <v>25</v>
      </c>
      <c r="C219" s="1" t="s">
        <v>26</v>
      </c>
      <c r="D219" s="1" t="s">
        <v>27</v>
      </c>
      <c r="E219" s="7" t="s">
        <v>28</v>
      </c>
      <c r="F219" s="1" t="s">
        <v>55</v>
      </c>
      <c r="G219" s="1" t="s">
        <v>30</v>
      </c>
      <c r="H219" s="1" t="s">
        <v>31</v>
      </c>
      <c r="I219" s="1" t="s">
        <v>32</v>
      </c>
      <c r="J219" s="1" t="s">
        <v>33</v>
      </c>
      <c r="K219" s="1" t="s">
        <v>34</v>
      </c>
      <c r="L219" s="1" t="s">
        <v>35</v>
      </c>
      <c r="M219" s="1" t="s">
        <v>36</v>
      </c>
      <c r="N219" s="1" t="s">
        <v>37</v>
      </c>
      <c r="O219" s="1" t="s">
        <v>38</v>
      </c>
      <c r="P219" s="12" t="s">
        <v>39</v>
      </c>
      <c r="Q219" s="13" t="s">
        <v>40</v>
      </c>
      <c r="R219" s="12" t="s">
        <v>41</v>
      </c>
      <c r="S219" s="27" t="s">
        <v>79</v>
      </c>
    </row>
    <row r="220" spans="1:19" ht="15.75" customHeight="1" x14ac:dyDescent="0.25">
      <c r="A220" s="1"/>
      <c r="B220" s="8">
        <v>0</v>
      </c>
      <c r="F220" s="21">
        <v>100</v>
      </c>
      <c r="G220" s="21">
        <v>0</v>
      </c>
      <c r="H220" s="14"/>
      <c r="I220" s="6"/>
      <c r="J220" s="10"/>
      <c r="K220" s="6"/>
      <c r="L220" s="6"/>
      <c r="M220" s="6"/>
      <c r="N220" s="10"/>
    </row>
    <row r="221" spans="1:19" ht="15.75" customHeight="1" x14ac:dyDescent="0.2">
      <c r="A221" s="1">
        <v>1</v>
      </c>
      <c r="B221" s="22">
        <v>19.166666670000001</v>
      </c>
      <c r="C221" s="1">
        <f t="shared" ref="C221:C230" ca="1" si="72">OFFSET($B$9,(A221-1)*9,0)</f>
        <v>13</v>
      </c>
      <c r="D221" s="10">
        <f t="shared" ref="D221:D230" ca="1" si="73">SQRT(C221)</f>
        <v>3.6055512754639891</v>
      </c>
      <c r="E221" s="1">
        <f t="shared" ref="E221:E230" ca="1" si="74">OFFSET($C$9,(A221-1)*9,0)*OFFSET($D$9,(A221-1)*9,0)</f>
        <v>20</v>
      </c>
      <c r="F221" s="6">
        <f t="shared" ref="F221:F230" ca="1" si="75">C221*E221</f>
        <v>260</v>
      </c>
      <c r="G221" s="6">
        <f t="shared" ref="G221:G230" ca="1" si="76">D221*E221</f>
        <v>72.111025509279784</v>
      </c>
      <c r="H221" s="14">
        <f t="shared" ref="H221:H230" ca="1" si="77">LOG10(F221)</f>
        <v>2.4149733479708178</v>
      </c>
      <c r="I221" s="6">
        <f t="shared" ref="I221:I230" ca="1" si="78">0.434 * G221/F221</f>
        <v>0.12036994258087472</v>
      </c>
      <c r="J221" s="10">
        <f t="shared" ref="J221:J230" ca="1" si="79">(1/I221)^2</f>
        <v>69.018242052283981</v>
      </c>
      <c r="K221" s="6">
        <f t="shared" ref="K221:K230" ca="1" si="80">(B221/I221)^2</f>
        <v>25354.618096081653</v>
      </c>
      <c r="L221" s="6">
        <f t="shared" ref="L221:L230" ca="1" si="81">B221/(I221^2)</f>
        <v>1322.8496395655038</v>
      </c>
      <c r="M221" s="6">
        <f t="shared" ref="M221:M230" ca="1" si="82">B221*H221*J221</f>
        <v>3194.6466229234943</v>
      </c>
      <c r="N221" s="10">
        <f t="shared" ref="N221:N230" ca="1" si="83">H221*J221</f>
        <v>166.67721508006454</v>
      </c>
      <c r="O221" s="15">
        <f t="shared" ref="O221:O230" ca="1" si="84">(F221-F220)/(B221-B220)</f>
        <v>8.3478260855047246</v>
      </c>
      <c r="P221" s="16">
        <f t="shared" ref="P221:P230" ca="1" si="85">0.5 *( F221+F220)</f>
        <v>180</v>
      </c>
      <c r="Q221" s="17">
        <f t="shared" ref="Q221:Q230" ca="1" si="86">O221/P221</f>
        <v>4.6376811586137358E-2</v>
      </c>
      <c r="R221" s="17">
        <f t="shared" ref="R221:R230" ca="1" si="87">SQRT((16/(B221-B220)^2)*(1/(F221+F220)^4)*((F220^2 * G221^2)+(F221^2*G220^2 )))</f>
        <v>1.1612081400441019E-2</v>
      </c>
      <c r="S221" s="28">
        <f ca="1">LOG10(P221)</f>
        <v>2.255272505103306</v>
      </c>
    </row>
    <row r="222" spans="1:19" ht="15.75" customHeight="1" x14ac:dyDescent="0.2">
      <c r="A222" s="1">
        <f t="shared" ref="A222:A230" si="88">A221+1</f>
        <v>2</v>
      </c>
      <c r="B222" s="10">
        <v>46.85</v>
      </c>
      <c r="C222" s="1">
        <f t="shared" ca="1" si="72"/>
        <v>29</v>
      </c>
      <c r="D222" s="10">
        <f t="shared" ca="1" si="73"/>
        <v>5.3851648071345037</v>
      </c>
      <c r="E222" s="1">
        <f t="shared" ca="1" si="74"/>
        <v>20</v>
      </c>
      <c r="F222" s="6">
        <f t="shared" ca="1" si="75"/>
        <v>580</v>
      </c>
      <c r="G222" s="6">
        <f t="shared" ca="1" si="76"/>
        <v>107.70329614269008</v>
      </c>
      <c r="H222" s="14">
        <f t="shared" ca="1" si="77"/>
        <v>2.7634279935629373</v>
      </c>
      <c r="I222" s="6">
        <f t="shared" ca="1" si="78"/>
        <v>8.0591776768840509E-2</v>
      </c>
      <c r="J222" s="10">
        <f t="shared" ca="1" si="79"/>
        <v>153.96377073201808</v>
      </c>
      <c r="K222" s="6">
        <f t="shared" ca="1" si="80"/>
        <v>337938.54456454795</v>
      </c>
      <c r="L222" s="6">
        <f t="shared" ca="1" si="81"/>
        <v>7213.2026587950477</v>
      </c>
      <c r="M222" s="6">
        <f t="shared" ca="1" si="82"/>
        <v>19933.166150556841</v>
      </c>
      <c r="N222" s="10">
        <f t="shared" ca="1" si="83"/>
        <v>425.46779403536482</v>
      </c>
      <c r="O222" s="15">
        <f t="shared" ca="1" si="84"/>
        <v>11.559301626918639</v>
      </c>
      <c r="P222" s="16">
        <f t="shared" ca="1" si="85"/>
        <v>420</v>
      </c>
      <c r="Q222" s="17">
        <f t="shared" ca="1" si="86"/>
        <v>2.7522146730758666E-2</v>
      </c>
      <c r="R222" s="17">
        <f t="shared" ca="1" si="87"/>
        <v>1.0307144124567241E-2</v>
      </c>
      <c r="S222" s="28">
        <f t="shared" ref="S222:S230" ca="1" si="89">LOG10(P222)</f>
        <v>2.6232492903979003</v>
      </c>
    </row>
    <row r="223" spans="1:19" ht="15.75" customHeight="1" x14ac:dyDescent="0.25">
      <c r="A223" s="1">
        <f t="shared" si="88"/>
        <v>3</v>
      </c>
      <c r="B223" s="8">
        <v>69.516666670000006</v>
      </c>
      <c r="C223" s="1">
        <f t="shared" ca="1" si="72"/>
        <v>29</v>
      </c>
      <c r="D223" s="10">
        <f t="shared" ca="1" si="73"/>
        <v>5.3851648071345037</v>
      </c>
      <c r="E223" s="1">
        <f t="shared" ca="1" si="74"/>
        <v>20</v>
      </c>
      <c r="F223" s="6">
        <f t="shared" ca="1" si="75"/>
        <v>580</v>
      </c>
      <c r="G223" s="6">
        <f t="shared" ca="1" si="76"/>
        <v>107.70329614269008</v>
      </c>
      <c r="H223" s="14">
        <f t="shared" ca="1" si="77"/>
        <v>2.7634279935629373</v>
      </c>
      <c r="I223" s="6">
        <f t="shared" ca="1" si="78"/>
        <v>8.0591776768840509E-2</v>
      </c>
      <c r="J223" s="10">
        <f t="shared" ca="1" si="79"/>
        <v>153.96377073201808</v>
      </c>
      <c r="K223" s="6">
        <f t="shared" ca="1" si="80"/>
        <v>744040.22915292752</v>
      </c>
      <c r="L223" s="6">
        <f t="shared" ca="1" si="81"/>
        <v>10703.048129234005</v>
      </c>
      <c r="M223" s="6">
        <f t="shared" ca="1" si="82"/>
        <v>29577.102816776674</v>
      </c>
      <c r="N223" s="10">
        <f t="shared" ca="1" si="83"/>
        <v>425.46779403536482</v>
      </c>
      <c r="O223" s="15">
        <f t="shared" ca="1" si="84"/>
        <v>0</v>
      </c>
      <c r="P223" s="16">
        <f t="shared" ca="1" si="85"/>
        <v>580</v>
      </c>
      <c r="Q223" s="17">
        <f t="shared" ca="1" si="86"/>
        <v>0</v>
      </c>
      <c r="R223" s="17">
        <f t="shared" ca="1" si="87"/>
        <v>1.1585861721212891E-2</v>
      </c>
      <c r="S223" s="28">
        <f t="shared" ca="1" si="89"/>
        <v>2.7634279935629373</v>
      </c>
    </row>
    <row r="224" spans="1:19" ht="15.75" customHeight="1" x14ac:dyDescent="0.25">
      <c r="A224" s="1">
        <f t="shared" si="88"/>
        <v>4</v>
      </c>
      <c r="B224" s="8">
        <v>90.116666670000001</v>
      </c>
      <c r="C224" s="1">
        <f t="shared" ca="1" si="72"/>
        <v>41</v>
      </c>
      <c r="D224" s="10">
        <f t="shared" ca="1" si="73"/>
        <v>6.4031242374328485</v>
      </c>
      <c r="E224" s="1">
        <f t="shared" ca="1" si="74"/>
        <v>40</v>
      </c>
      <c r="F224" s="6">
        <f t="shared" ca="1" si="75"/>
        <v>1640</v>
      </c>
      <c r="G224" s="6">
        <f t="shared" ca="1" si="76"/>
        <v>256.12496949731394</v>
      </c>
      <c r="H224" s="14">
        <f t="shared" ca="1" si="77"/>
        <v>3.214843848047698</v>
      </c>
      <c r="I224" s="6">
        <f t="shared" ca="1" si="78"/>
        <v>6.7779412659655022E-2</v>
      </c>
      <c r="J224" s="10">
        <f t="shared" ca="1" si="79"/>
        <v>217.67291724181874</v>
      </c>
      <c r="K224" s="6">
        <f t="shared" ca="1" si="80"/>
        <v>1767724.7238218456</v>
      </c>
      <c r="L224" s="6">
        <f t="shared" ca="1" si="81"/>
        <v>19615.957726167475</v>
      </c>
      <c r="M224" s="6">
        <f t="shared" ca="1" si="82"/>
        <v>63062.24101953322</v>
      </c>
      <c r="N224" s="10">
        <f t="shared" ca="1" si="83"/>
        <v>699.78443888145659</v>
      </c>
      <c r="O224" s="15">
        <f t="shared" ca="1" si="84"/>
        <v>51.456310679611661</v>
      </c>
      <c r="P224" s="16">
        <f t="shared" ca="1" si="85"/>
        <v>1110</v>
      </c>
      <c r="Q224" s="17">
        <f t="shared" ca="1" si="86"/>
        <v>4.6357036648298794E-2</v>
      </c>
      <c r="R224" s="17">
        <f t="shared" ca="1" si="87"/>
        <v>9.0932002743308073E-3</v>
      </c>
      <c r="S224" s="28">
        <f t="shared" ca="1" si="89"/>
        <v>3.0453229787866576</v>
      </c>
    </row>
    <row r="225" spans="1:19" ht="15.75" customHeight="1" x14ac:dyDescent="0.25">
      <c r="A225" s="1">
        <f t="shared" si="88"/>
        <v>5</v>
      </c>
      <c r="B225" s="8">
        <v>116.9666667</v>
      </c>
      <c r="C225" s="1">
        <f t="shared" ca="1" si="72"/>
        <v>28</v>
      </c>
      <c r="D225" s="10">
        <f t="shared" ca="1" si="73"/>
        <v>5.2915026221291814</v>
      </c>
      <c r="E225" s="1">
        <f t="shared" ca="1" si="74"/>
        <v>80</v>
      </c>
      <c r="F225" s="6">
        <f t="shared" ca="1" si="75"/>
        <v>2240</v>
      </c>
      <c r="G225" s="6">
        <f t="shared" ca="1" si="76"/>
        <v>423.32020977033449</v>
      </c>
      <c r="H225" s="14">
        <f t="shared" ca="1" si="77"/>
        <v>3.3502480183341627</v>
      </c>
      <c r="I225" s="6">
        <f t="shared" ca="1" si="78"/>
        <v>8.2018290643002312E-2</v>
      </c>
      <c r="J225" s="10">
        <f t="shared" ca="1" si="79"/>
        <v>148.65467518953471</v>
      </c>
      <c r="K225" s="6">
        <f t="shared" ca="1" si="80"/>
        <v>2033774.5085340997</v>
      </c>
      <c r="L225" s="6">
        <f t="shared" ca="1" si="81"/>
        <v>17387.641846291066</v>
      </c>
      <c r="M225" s="6">
        <f t="shared" ca="1" si="82"/>
        <v>58252.912639040813</v>
      </c>
      <c r="N225" s="10">
        <f t="shared" ca="1" si="83"/>
        <v>498.0300309698473</v>
      </c>
      <c r="O225" s="15">
        <f t="shared" ca="1" si="84"/>
        <v>22.346368690115785</v>
      </c>
      <c r="P225" s="16">
        <f t="shared" ca="1" si="85"/>
        <v>1940</v>
      </c>
      <c r="Q225" s="17">
        <f t="shared" ca="1" si="86"/>
        <v>1.1518746747482364E-2</v>
      </c>
      <c r="R225" s="17">
        <f t="shared" ca="1" si="87"/>
        <v>8.9124625371067769E-3</v>
      </c>
      <c r="S225" s="28">
        <f t="shared" ca="1" si="89"/>
        <v>3.287801729930226</v>
      </c>
    </row>
    <row r="226" spans="1:19" ht="15.75" customHeight="1" x14ac:dyDescent="0.25">
      <c r="A226" s="1">
        <f t="shared" si="88"/>
        <v>6</v>
      </c>
      <c r="B226" s="8">
        <v>140.25</v>
      </c>
      <c r="C226" s="1">
        <f t="shared" ca="1" si="72"/>
        <v>43</v>
      </c>
      <c r="D226" s="10">
        <f t="shared" ca="1" si="73"/>
        <v>6.5574385243020004</v>
      </c>
      <c r="E226" s="1">
        <f t="shared" ca="1" si="74"/>
        <v>160</v>
      </c>
      <c r="F226" s="6">
        <f t="shared" ca="1" si="75"/>
        <v>6880</v>
      </c>
      <c r="G226" s="6">
        <f t="shared" ca="1" si="76"/>
        <v>1049.1901638883201</v>
      </c>
      <c r="H226" s="14">
        <f t="shared" ca="1" si="77"/>
        <v>3.8375884382355112</v>
      </c>
      <c r="I226" s="6">
        <f t="shared" ca="1" si="78"/>
        <v>6.6184379524350426E-2</v>
      </c>
      <c r="J226" s="10">
        <f t="shared" ca="1" si="79"/>
        <v>228.29110832678546</v>
      </c>
      <c r="K226" s="6">
        <f t="shared" ca="1" si="80"/>
        <v>4490500.36898214</v>
      </c>
      <c r="L226" s="6">
        <f t="shared" ca="1" si="81"/>
        <v>32017.827942831656</v>
      </c>
      <c r="M226" s="6">
        <f t="shared" ca="1" si="82"/>
        <v>122871.24633082467</v>
      </c>
      <c r="N226" s="10">
        <f t="shared" ca="1" si="83"/>
        <v>876.08731786684257</v>
      </c>
      <c r="O226" s="15">
        <f t="shared" ca="1" si="84"/>
        <v>199.28418067184569</v>
      </c>
      <c r="P226" s="16">
        <f t="shared" ca="1" si="85"/>
        <v>4560</v>
      </c>
      <c r="Q226" s="17">
        <f t="shared" ca="1" si="86"/>
        <v>4.370267119996616E-2</v>
      </c>
      <c r="R226" s="17">
        <f t="shared" ca="1" si="87"/>
        <v>7.7299653474575594E-3</v>
      </c>
      <c r="S226" s="28">
        <f t="shared" ca="1" si="89"/>
        <v>3.6589648426644348</v>
      </c>
    </row>
    <row r="227" spans="1:19" ht="15.75" customHeight="1" x14ac:dyDescent="0.25">
      <c r="A227" s="1">
        <f t="shared" si="88"/>
        <v>7</v>
      </c>
      <c r="B227" s="8">
        <v>167.9</v>
      </c>
      <c r="C227" s="1">
        <f t="shared" ca="1" si="72"/>
        <v>47</v>
      </c>
      <c r="D227" s="10">
        <f t="shared" ca="1" si="73"/>
        <v>6.8556546004010439</v>
      </c>
      <c r="E227" s="1">
        <f t="shared" ca="1" si="74"/>
        <v>800</v>
      </c>
      <c r="F227" s="6">
        <f t="shared" ca="1" si="75"/>
        <v>37600</v>
      </c>
      <c r="G227" s="6">
        <f t="shared" ca="1" si="76"/>
        <v>5484.5236803208354</v>
      </c>
      <c r="H227" s="14">
        <f t="shared" ca="1" si="77"/>
        <v>4.5751878449276608</v>
      </c>
      <c r="I227" s="6">
        <f t="shared" ca="1" si="78"/>
        <v>6.3305406310086229E-2</v>
      </c>
      <c r="J227" s="10">
        <f t="shared" ca="1" si="79"/>
        <v>249.52749049671903</v>
      </c>
      <c r="K227" s="6">
        <f t="shared" ca="1" si="80"/>
        <v>7034282.2633736143</v>
      </c>
      <c r="L227" s="6">
        <f t="shared" ca="1" si="81"/>
        <v>41895.665654399127</v>
      </c>
      <c r="M227" s="6">
        <f t="shared" ca="1" si="82"/>
        <v>191680.54025716017</v>
      </c>
      <c r="N227" s="10">
        <f t="shared" ca="1" si="83"/>
        <v>1141.6351414958913</v>
      </c>
      <c r="O227" s="15">
        <f t="shared" ca="1" si="84"/>
        <v>1111.030741410488</v>
      </c>
      <c r="P227" s="16">
        <f t="shared" ca="1" si="85"/>
        <v>22240</v>
      </c>
      <c r="Q227" s="17">
        <f t="shared" ca="1" si="86"/>
        <v>4.9956418228888848E-2</v>
      </c>
      <c r="R227" s="17">
        <f t="shared" ca="1" si="87"/>
        <v>3.9916245006175093E-3</v>
      </c>
      <c r="S227" s="28">
        <f t="shared" ca="1" si="89"/>
        <v>4.34713478291002</v>
      </c>
    </row>
    <row r="228" spans="1:19" ht="15.75" customHeight="1" x14ac:dyDescent="0.25">
      <c r="A228" s="1">
        <f t="shared" si="88"/>
        <v>8</v>
      </c>
      <c r="B228" s="8">
        <v>187.7666667</v>
      </c>
      <c r="C228" s="1">
        <f t="shared" ca="1" si="72"/>
        <v>44</v>
      </c>
      <c r="D228" s="10">
        <f t="shared" ca="1" si="73"/>
        <v>6.6332495807107996</v>
      </c>
      <c r="E228" s="6">
        <f t="shared" ca="1" si="74"/>
        <v>10000</v>
      </c>
      <c r="F228" s="6">
        <f t="shared" ca="1" si="75"/>
        <v>440000</v>
      </c>
      <c r="G228" s="6">
        <f t="shared" ca="1" si="76"/>
        <v>66332.495807107989</v>
      </c>
      <c r="H228" s="14">
        <f t="shared" ca="1" si="77"/>
        <v>5.6434526764861879</v>
      </c>
      <c r="I228" s="6">
        <f t="shared" ca="1" si="78"/>
        <v>6.5427961773374704E-2</v>
      </c>
      <c r="J228" s="10">
        <f t="shared" ca="1" si="79"/>
        <v>233.60020386926888</v>
      </c>
      <c r="K228" s="6">
        <f t="shared" ca="1" si="80"/>
        <v>8235883.8021601196</v>
      </c>
      <c r="L228" s="6">
        <f t="shared" ca="1" si="81"/>
        <v>43862.331620973055</v>
      </c>
      <c r="M228" s="6">
        <f t="shared" ca="1" si="82"/>
        <v>247534.99278330518</v>
      </c>
      <c r="N228" s="10">
        <f t="shared" ca="1" si="83"/>
        <v>1318.3116957537445</v>
      </c>
      <c r="O228" s="15">
        <f t="shared" ca="1" si="84"/>
        <v>20255.033523062029</v>
      </c>
      <c r="P228" s="16">
        <f t="shared" ca="1" si="85"/>
        <v>238800</v>
      </c>
      <c r="Q228" s="17">
        <f t="shared" ca="1" si="86"/>
        <v>8.4820073379656746E-2</v>
      </c>
      <c r="R228" s="17">
        <f t="shared" ca="1" si="87"/>
        <v>3.063319529730579E-3</v>
      </c>
      <c r="S228" s="28">
        <f t="shared" ca="1" si="89"/>
        <v>5.3780343224573315</v>
      </c>
    </row>
    <row r="229" spans="1:19" ht="15.75" customHeight="1" x14ac:dyDescent="0.25">
      <c r="A229" s="1">
        <f t="shared" si="88"/>
        <v>9</v>
      </c>
      <c r="B229" s="8">
        <v>212.78333330000001</v>
      </c>
      <c r="C229" s="1">
        <f t="shared" ca="1" si="72"/>
        <v>74</v>
      </c>
      <c r="D229" s="10">
        <f t="shared" ca="1" si="73"/>
        <v>8.6023252670426267</v>
      </c>
      <c r="E229" s="6">
        <f t="shared" ca="1" si="74"/>
        <v>20000</v>
      </c>
      <c r="F229" s="6">
        <f t="shared" ca="1" si="75"/>
        <v>1480000</v>
      </c>
      <c r="G229" s="6">
        <f t="shared" ca="1" si="76"/>
        <v>172046.50534085254</v>
      </c>
      <c r="H229" s="14">
        <f t="shared" ca="1" si="77"/>
        <v>6.1702617153949575</v>
      </c>
      <c r="I229" s="6">
        <f t="shared" ca="1" si="78"/>
        <v>5.0451475214817569E-2</v>
      </c>
      <c r="J229" s="10">
        <f t="shared" ca="1" si="79"/>
        <v>392.87307014377024</v>
      </c>
      <c r="K229" s="6">
        <f t="shared" ca="1" si="80"/>
        <v>17788014.572613336</v>
      </c>
      <c r="L229" s="6">
        <f t="shared" ca="1" si="81"/>
        <v>83596.841428996151</v>
      </c>
      <c r="M229" s="6">
        <f t="shared" ca="1" si="82"/>
        <v>515814.390197278</v>
      </c>
      <c r="N229" s="10">
        <f t="shared" ca="1" si="83"/>
        <v>2424.1296637177834</v>
      </c>
      <c r="O229" s="15">
        <f t="shared" ca="1" si="84"/>
        <v>41572.285254023402</v>
      </c>
      <c r="P229" s="16">
        <f t="shared" ca="1" si="85"/>
        <v>960000</v>
      </c>
      <c r="Q229" s="17">
        <f t="shared" ca="1" si="86"/>
        <v>4.3304463806274375E-2</v>
      </c>
      <c r="R229" s="17">
        <f t="shared" ca="1" si="87"/>
        <v>5.3770155278652166E-3</v>
      </c>
      <c r="S229" s="28">
        <f t="shared" ca="1" si="89"/>
        <v>5.982271233039568</v>
      </c>
    </row>
    <row r="230" spans="1:19" ht="15.75" customHeight="1" x14ac:dyDescent="0.25">
      <c r="A230" s="1">
        <f t="shared" si="88"/>
        <v>10</v>
      </c>
      <c r="B230" s="8">
        <v>237.95</v>
      </c>
      <c r="C230" s="1">
        <f t="shared" ca="1" si="72"/>
        <v>37</v>
      </c>
      <c r="D230" s="10">
        <f t="shared" ca="1" si="73"/>
        <v>6.0827625302982193</v>
      </c>
      <c r="E230" s="6">
        <f t="shared" ca="1" si="74"/>
        <v>160000</v>
      </c>
      <c r="F230" s="6">
        <f t="shared" ca="1" si="75"/>
        <v>5920000</v>
      </c>
      <c r="G230" s="6">
        <f t="shared" ca="1" si="76"/>
        <v>973242.00484771514</v>
      </c>
      <c r="H230" s="14">
        <f t="shared" ca="1" si="77"/>
        <v>6.77232170672292</v>
      </c>
      <c r="I230" s="6">
        <f t="shared" ca="1" si="78"/>
        <v>7.134916049052506E-2</v>
      </c>
      <c r="J230" s="10">
        <f t="shared" ca="1" si="79"/>
        <v>196.43653507188517</v>
      </c>
      <c r="K230" s="6">
        <f t="shared" ca="1" si="80"/>
        <v>11122276.394168489</v>
      </c>
      <c r="L230" s="6">
        <f t="shared" ca="1" si="81"/>
        <v>46742.073520355072</v>
      </c>
      <c r="M230" s="6">
        <f t="shared" ca="1" si="82"/>
        <v>316552.35911913926</v>
      </c>
      <c r="N230" s="10">
        <f t="shared" ca="1" si="83"/>
        <v>1330.3314104607662</v>
      </c>
      <c r="O230" s="15">
        <f t="shared" ca="1" si="84"/>
        <v>176423.84082592884</v>
      </c>
      <c r="P230" s="16">
        <f t="shared" ca="1" si="85"/>
        <v>3700000</v>
      </c>
      <c r="Q230" s="17">
        <f t="shared" ca="1" si="86"/>
        <v>4.7682119142142931E-2</v>
      </c>
      <c r="R230" s="17">
        <f t="shared" ca="1" si="87"/>
        <v>5.1203428780297227E-3</v>
      </c>
      <c r="S230" s="28">
        <f t="shared" ca="1" si="89"/>
        <v>6.568201724066995</v>
      </c>
    </row>
    <row r="231" spans="1:19" ht="15.75" customHeight="1" x14ac:dyDescent="0.25">
      <c r="B231" s="8">
        <v>261</v>
      </c>
      <c r="C231">
        <v>69</v>
      </c>
      <c r="D231">
        <v>8.3066238629180749</v>
      </c>
      <c r="E231">
        <v>160000</v>
      </c>
      <c r="F231">
        <v>11040000</v>
      </c>
      <c r="G231">
        <v>1329059.818066892</v>
      </c>
      <c r="H231" s="1">
        <v>7.0429690733931798</v>
      </c>
      <c r="I231" s="1">
        <v>5.2247460239223838E-2</v>
      </c>
      <c r="J231" s="10"/>
      <c r="K231" s="6"/>
      <c r="L231" s="6"/>
      <c r="M231" s="6"/>
      <c r="N231" s="10"/>
      <c r="O231" s="15">
        <f t="shared" ref="O231" ca="1" si="90">(F231-F230)/(B231-B230)</f>
        <v>222125.81344902376</v>
      </c>
      <c r="P231" s="16">
        <f t="shared" ref="P231" ca="1" si="91">0.5 *( F231+F230)</f>
        <v>8480000</v>
      </c>
      <c r="Q231" s="17">
        <f t="shared" ref="Q231" ca="1" si="92">O231/P231</f>
        <v>2.6194081774649026E-2</v>
      </c>
      <c r="R231" s="17">
        <f t="shared" ref="R231" ca="1" si="93">SQRT((16/(B231-B230)^2)*(1/(F231+F230)^4)*((F230^2 * G231^2)+(F231^2*G230^2 )))</f>
        <v>8.034441096181769E-3</v>
      </c>
      <c r="S231" s="28">
        <f t="shared" ref="S231" ca="1" si="94">LOG10(P231)</f>
        <v>6.9283958522567142</v>
      </c>
    </row>
    <row r="232" spans="1:19" ht="15.75" customHeight="1" x14ac:dyDescent="0.2">
      <c r="D232" s="10"/>
      <c r="F232" s="6"/>
      <c r="G232" s="6"/>
      <c r="H232" s="14"/>
      <c r="J232" s="10"/>
      <c r="K232" s="6"/>
      <c r="L232" s="6"/>
      <c r="M232" s="6"/>
      <c r="N232" s="10"/>
    </row>
    <row r="233" spans="1:19" ht="15.75" customHeight="1" x14ac:dyDescent="0.2"/>
    <row r="234" spans="1:19" ht="15.75" customHeight="1" x14ac:dyDescent="0.2"/>
    <row r="235" spans="1:19" ht="15.75" customHeight="1" x14ac:dyDescent="0.2">
      <c r="B235" s="1" t="s">
        <v>42</v>
      </c>
      <c r="F235" s="18" t="s">
        <v>58</v>
      </c>
      <c r="G235" s="18"/>
      <c r="H235" s="18"/>
      <c r="I235" s="1"/>
    </row>
    <row r="236" spans="1:19" ht="15.75" customHeight="1" x14ac:dyDescent="0.2">
      <c r="B236" s="1" t="s">
        <v>44</v>
      </c>
      <c r="F236" s="1" t="s">
        <v>45</v>
      </c>
      <c r="G236" s="1" t="s">
        <v>46</v>
      </c>
      <c r="H236" s="19">
        <f ca="1">(SUM(J221:J225)) * (SUM(K221:K225)) - (SUM(L221:L225))^2</f>
        <v>485363293.23257065</v>
      </c>
      <c r="I236" s="1"/>
    </row>
    <row r="237" spans="1:19" ht="15.75" customHeight="1" x14ac:dyDescent="0.2">
      <c r="B237" s="1" t="s">
        <v>47</v>
      </c>
      <c r="F237" s="1" t="s">
        <v>48</v>
      </c>
      <c r="G237" s="1" t="s">
        <v>49</v>
      </c>
      <c r="H237" s="19">
        <f ca="1">(1/H236)*(SUM(J221:J225)*SUM(M221:M225) - SUM(L221:L225)* SUM(N221:N225))</f>
        <v>9.7717996642181799E-3</v>
      </c>
      <c r="I237" s="1"/>
    </row>
    <row r="238" spans="1:19" ht="15.75" customHeight="1" x14ac:dyDescent="0.2">
      <c r="B238" s="1" t="s">
        <v>50</v>
      </c>
      <c r="F238" s="1"/>
      <c r="G238" s="1" t="s">
        <v>51</v>
      </c>
      <c r="H238" s="19">
        <f ca="1">SQRT((1/H236)*(SUM(J221:J225)))</f>
        <v>1.237487509175166E-3</v>
      </c>
      <c r="I238" s="1"/>
    </row>
    <row r="239" spans="1:19" ht="15.75" customHeight="1" x14ac:dyDescent="0.2">
      <c r="F239" s="1"/>
      <c r="G239" s="1"/>
      <c r="H239" s="1"/>
      <c r="I239" s="1"/>
    </row>
    <row r="240" spans="1:19" ht="15.75" customHeight="1" x14ac:dyDescent="0.2">
      <c r="F240" s="1" t="s">
        <v>52</v>
      </c>
      <c r="G240" s="1" t="s">
        <v>46</v>
      </c>
      <c r="H240" s="19">
        <f ca="1">(SUM(J228:J230)) * (SUM(K228:K230)) - (SUM(L228:L230))^2</f>
        <v>221877280.69032669</v>
      </c>
      <c r="I240" s="1"/>
    </row>
    <row r="241" spans="1:19" ht="15.75" customHeight="1" x14ac:dyDescent="0.2">
      <c r="F241" s="1" t="s">
        <v>48</v>
      </c>
      <c r="G241" s="1" t="s">
        <v>49</v>
      </c>
      <c r="H241" s="19">
        <f ca="1">(1/H240)*(SUM(J228:J230)*SUM(M228:M230) - SUM(L228:L230)* SUM(N228:N230))</f>
        <v>2.2437611981127547E-2</v>
      </c>
      <c r="I241" s="1"/>
    </row>
    <row r="242" spans="1:19" ht="15.75" customHeight="1" x14ac:dyDescent="0.2">
      <c r="F242" s="1"/>
      <c r="G242" s="1" t="s">
        <v>51</v>
      </c>
      <c r="H242" s="19">
        <f ca="1">SQRT((1/H240)*(SUM(J228:J230)))</f>
        <v>1.9258377804165796E-3</v>
      </c>
      <c r="I242" s="1"/>
    </row>
    <row r="243" spans="1:19" ht="15.75" customHeight="1" x14ac:dyDescent="0.2"/>
    <row r="244" spans="1:19" ht="15.75" customHeight="1" x14ac:dyDescent="0.2">
      <c r="A244" s="1" t="s">
        <v>60</v>
      </c>
      <c r="B244" s="1"/>
    </row>
    <row r="245" spans="1:19" ht="15.75" customHeight="1" x14ac:dyDescent="0.2">
      <c r="A245" s="1" t="s">
        <v>24</v>
      </c>
      <c r="B245" s="7" t="s">
        <v>25</v>
      </c>
      <c r="C245" s="1" t="s">
        <v>26</v>
      </c>
      <c r="D245" s="1" t="s">
        <v>27</v>
      </c>
      <c r="E245" s="7" t="s">
        <v>28</v>
      </c>
      <c r="F245" s="1" t="s">
        <v>55</v>
      </c>
      <c r="G245" s="1" t="s">
        <v>30</v>
      </c>
      <c r="H245" s="1" t="s">
        <v>31</v>
      </c>
      <c r="I245" s="1" t="s">
        <v>32</v>
      </c>
      <c r="J245" s="1" t="s">
        <v>33</v>
      </c>
      <c r="K245" s="1" t="s">
        <v>34</v>
      </c>
      <c r="L245" s="1" t="s">
        <v>35</v>
      </c>
      <c r="M245" s="1" t="s">
        <v>36</v>
      </c>
      <c r="N245" s="1" t="s">
        <v>37</v>
      </c>
      <c r="O245" s="1" t="s">
        <v>38</v>
      </c>
      <c r="P245" s="12" t="s">
        <v>39</v>
      </c>
      <c r="Q245" s="13" t="s">
        <v>40</v>
      </c>
      <c r="R245" s="12" t="s">
        <v>41</v>
      </c>
      <c r="S245" s="27" t="s">
        <v>79</v>
      </c>
    </row>
    <row r="246" spans="1:19" ht="15.75" customHeight="1" x14ac:dyDescent="0.25">
      <c r="A246" s="1"/>
      <c r="B246" s="8">
        <v>0</v>
      </c>
      <c r="F246" s="21">
        <v>100</v>
      </c>
      <c r="G246" s="21">
        <v>0</v>
      </c>
      <c r="H246" s="14"/>
      <c r="I246" s="6"/>
      <c r="J246" s="10"/>
      <c r="K246" s="6"/>
      <c r="L246" s="6"/>
      <c r="M246" s="6"/>
      <c r="N246" s="10"/>
    </row>
    <row r="247" spans="1:19" ht="15.75" customHeight="1" x14ac:dyDescent="0.25">
      <c r="A247" s="1">
        <v>1</v>
      </c>
      <c r="B247" s="8">
        <v>19.166666670000001</v>
      </c>
      <c r="C247" s="1">
        <f t="shared" ref="C247:C256" ca="1" si="95">OFFSET($B$10,(A247-1)*9,0)</f>
        <v>8</v>
      </c>
      <c r="D247" s="10">
        <f t="shared" ref="D247:D256" ca="1" si="96">SQRT(C247)</f>
        <v>2.8284271247461903</v>
      </c>
      <c r="E247" s="1">
        <f t="shared" ref="E247:E256" ca="1" si="97">OFFSET($C$10,(A247-1)*9,0)*OFFSET($D$10,(A247-1)*9,0)</f>
        <v>20</v>
      </c>
      <c r="F247" s="6">
        <f t="shared" ref="F247:F256" ca="1" si="98">C247*E247</f>
        <v>160</v>
      </c>
      <c r="G247" s="6">
        <f t="shared" ref="G247:G256" ca="1" si="99">D247*E247</f>
        <v>56.568542494923804</v>
      </c>
      <c r="H247" s="14">
        <f t="shared" ref="H247:H256" ca="1" si="100">LOG10(F247)</f>
        <v>2.2041199826559246</v>
      </c>
      <c r="I247" s="6">
        <f t="shared" ref="I247:I256" ca="1" si="101">0.434 * G247/F247</f>
        <v>0.1534421715174808</v>
      </c>
      <c r="J247" s="10">
        <f t="shared" ref="J247:J256" ca="1" si="102">(1/I247)^2</f>
        <v>42.472764339867076</v>
      </c>
      <c r="K247" s="6">
        <f t="shared" ref="K247:K256" ca="1" si="103">(B247/I247)^2</f>
        <v>15602.841905281022</v>
      </c>
      <c r="L247" s="6">
        <f t="shared" ref="L247:L256" ca="1" si="104">B247/(I247^2)</f>
        <v>814.06131665569478</v>
      </c>
      <c r="M247" s="6">
        <f t="shared" ref="M247:M256" ca="1" si="105">B247*H247*J247</f>
        <v>1794.2888151480095</v>
      </c>
      <c r="N247" s="10">
        <f t="shared" ref="N247:N256" ca="1" si="106">H247*J247</f>
        <v>93.615068600136993</v>
      </c>
      <c r="O247" s="15">
        <f t="shared" ref="O247:O256" ca="1" si="107">(F247-F246)/(B247-B246)</f>
        <v>3.1304347820642722</v>
      </c>
      <c r="P247" s="16">
        <f t="shared" ref="P247:P256" ca="1" si="108">0.5 *( F247+F246)</f>
        <v>130</v>
      </c>
      <c r="Q247" s="17">
        <f t="shared" ref="Q247:Q256" ca="1" si="109">O247/P247</f>
        <v>2.4080267554340555E-2</v>
      </c>
      <c r="R247" s="17">
        <f t="shared" ref="R247:R256" ca="1" si="110">SQRT((16/(B247-B246)^2)*(1/(F247+F246)^4)*((F246^2 * G247^2)+(F247^2*G246^2 )))</f>
        <v>1.7463918441498059E-2</v>
      </c>
      <c r="S247" s="28">
        <f ca="1">LOG10(P247)</f>
        <v>2.1139433523068369</v>
      </c>
    </row>
    <row r="248" spans="1:19" ht="15.75" customHeight="1" x14ac:dyDescent="0.2">
      <c r="A248" s="1">
        <f t="shared" ref="A248:A256" si="111">A247+1</f>
        <v>2</v>
      </c>
      <c r="B248" s="10">
        <v>46.85</v>
      </c>
      <c r="C248" s="1">
        <f t="shared" ca="1" si="95"/>
        <v>26</v>
      </c>
      <c r="D248" s="10">
        <f t="shared" ca="1" si="96"/>
        <v>5.0990195135927845</v>
      </c>
      <c r="E248" s="1">
        <f t="shared" ca="1" si="97"/>
        <v>20</v>
      </c>
      <c r="F248" s="6">
        <f t="shared" ca="1" si="98"/>
        <v>520</v>
      </c>
      <c r="G248" s="6">
        <f t="shared" ca="1" si="99"/>
        <v>101.9803902718557</v>
      </c>
      <c r="H248" s="14">
        <f t="shared" ca="1" si="100"/>
        <v>2.716003343634799</v>
      </c>
      <c r="I248" s="6">
        <f t="shared" ca="1" si="101"/>
        <v>8.5114402649971874E-2</v>
      </c>
      <c r="J248" s="10">
        <f t="shared" ca="1" si="102"/>
        <v>138.0364841045679</v>
      </c>
      <c r="K248" s="6">
        <f t="shared" ca="1" si="103"/>
        <v>302979.38478200859</v>
      </c>
      <c r="L248" s="6">
        <f t="shared" ca="1" si="104"/>
        <v>6467.0092802990075</v>
      </c>
      <c r="M248" s="6">
        <f t="shared" ca="1" si="105"/>
        <v>17564.418828609378</v>
      </c>
      <c r="N248" s="10">
        <f t="shared" ca="1" si="106"/>
        <v>374.90755237159823</v>
      </c>
      <c r="O248" s="15">
        <f t="shared" ca="1" si="107"/>
        <v>13.004214330283469</v>
      </c>
      <c r="P248" s="16">
        <f t="shared" ca="1" si="108"/>
        <v>340</v>
      </c>
      <c r="Q248" s="17">
        <f t="shared" ca="1" si="109"/>
        <v>3.8247689206716083E-2</v>
      </c>
      <c r="R248" s="17">
        <f t="shared" ca="1" si="110"/>
        <v>1.0511262966609151E-2</v>
      </c>
      <c r="S248" s="28">
        <f t="shared" ref="S248:S256" ca="1" si="112">LOG10(P248)</f>
        <v>2.5314789170422549</v>
      </c>
    </row>
    <row r="249" spans="1:19" ht="15.75" customHeight="1" x14ac:dyDescent="0.25">
      <c r="A249" s="1">
        <f t="shared" si="111"/>
        <v>3</v>
      </c>
      <c r="B249" s="8">
        <v>69.516666670000006</v>
      </c>
      <c r="C249" s="1">
        <f t="shared" ca="1" si="95"/>
        <v>26</v>
      </c>
      <c r="D249" s="10">
        <f t="shared" ca="1" si="96"/>
        <v>5.0990195135927845</v>
      </c>
      <c r="E249" s="1">
        <f t="shared" ca="1" si="97"/>
        <v>20</v>
      </c>
      <c r="F249" s="6">
        <f t="shared" ca="1" si="98"/>
        <v>520</v>
      </c>
      <c r="G249" s="6">
        <f t="shared" ca="1" si="99"/>
        <v>101.9803902718557</v>
      </c>
      <c r="H249" s="14">
        <f t="shared" ca="1" si="100"/>
        <v>2.716003343634799</v>
      </c>
      <c r="I249" s="6">
        <f t="shared" ca="1" si="101"/>
        <v>8.5114402649971874E-2</v>
      </c>
      <c r="J249" s="10">
        <f t="shared" ca="1" si="102"/>
        <v>138.0364841045679</v>
      </c>
      <c r="K249" s="6">
        <f t="shared" ca="1" si="103"/>
        <v>667070.55027503835</v>
      </c>
      <c r="L249" s="6">
        <f t="shared" ca="1" si="104"/>
        <v>9595.8362537960038</v>
      </c>
      <c r="M249" s="6">
        <f t="shared" ca="1" si="105"/>
        <v>26062.323350281964</v>
      </c>
      <c r="N249" s="10">
        <f t="shared" ca="1" si="106"/>
        <v>374.90755237159823</v>
      </c>
      <c r="O249" s="15">
        <f t="shared" ca="1" si="107"/>
        <v>0</v>
      </c>
      <c r="P249" s="16">
        <f t="shared" ca="1" si="108"/>
        <v>520</v>
      </c>
      <c r="Q249" s="17">
        <f t="shared" ca="1" si="109"/>
        <v>0</v>
      </c>
      <c r="R249" s="17">
        <f t="shared" ca="1" si="110"/>
        <v>1.2236033738462987E-2</v>
      </c>
      <c r="S249" s="28">
        <f t="shared" ca="1" si="112"/>
        <v>2.716003343634799</v>
      </c>
    </row>
    <row r="250" spans="1:19" ht="15.75" customHeight="1" x14ac:dyDescent="0.25">
      <c r="A250" s="1">
        <f t="shared" si="111"/>
        <v>4</v>
      </c>
      <c r="B250" s="8">
        <v>90.116666670000001</v>
      </c>
      <c r="C250" s="1">
        <f t="shared" ca="1" si="95"/>
        <v>30</v>
      </c>
      <c r="D250" s="10">
        <f t="shared" ca="1" si="96"/>
        <v>5.4772255750516612</v>
      </c>
      <c r="E250" s="1">
        <f t="shared" ca="1" si="97"/>
        <v>40</v>
      </c>
      <c r="F250" s="6">
        <f t="shared" ca="1" si="98"/>
        <v>1200</v>
      </c>
      <c r="G250" s="6">
        <f t="shared" ca="1" si="99"/>
        <v>219.08902300206645</v>
      </c>
      <c r="H250" s="14">
        <f t="shared" ca="1" si="100"/>
        <v>3.0791812460476247</v>
      </c>
      <c r="I250" s="6">
        <f t="shared" ca="1" si="101"/>
        <v>7.9237196652414035E-2</v>
      </c>
      <c r="J250" s="10">
        <f t="shared" ca="1" si="102"/>
        <v>159.27286627450147</v>
      </c>
      <c r="K250" s="6">
        <f t="shared" ca="1" si="103"/>
        <v>1293457.1149915939</v>
      </c>
      <c r="L250" s="6">
        <f t="shared" ca="1" si="104"/>
        <v>14353.139799634731</v>
      </c>
      <c r="M250" s="6">
        <f t="shared" ca="1" si="105"/>
        <v>44195.918892935035</v>
      </c>
      <c r="N250" s="10">
        <f t="shared" ca="1" si="106"/>
        <v>490.43002283669614</v>
      </c>
      <c r="O250" s="15">
        <f t="shared" ca="1" si="107"/>
        <v>33.009708737864088</v>
      </c>
      <c r="P250" s="16">
        <f t="shared" ca="1" si="108"/>
        <v>860</v>
      </c>
      <c r="Q250" s="17">
        <f t="shared" ca="1" si="109"/>
        <v>3.8383382253330336E-2</v>
      </c>
      <c r="R250" s="17">
        <f t="shared" ca="1" si="110"/>
        <v>1.0974056175303898E-2</v>
      </c>
      <c r="S250" s="28">
        <f t="shared" ca="1" si="112"/>
        <v>2.9344984512435679</v>
      </c>
    </row>
    <row r="251" spans="1:19" ht="15.75" customHeight="1" x14ac:dyDescent="0.25">
      <c r="A251" s="1">
        <f t="shared" si="111"/>
        <v>5</v>
      </c>
      <c r="B251" s="8">
        <v>116.9666667</v>
      </c>
      <c r="C251" s="1">
        <f t="shared" ca="1" si="95"/>
        <v>29</v>
      </c>
      <c r="D251" s="10">
        <f t="shared" ca="1" si="96"/>
        <v>5.3851648071345037</v>
      </c>
      <c r="E251" s="1">
        <f t="shared" ca="1" si="97"/>
        <v>80</v>
      </c>
      <c r="F251" s="6">
        <f t="shared" ca="1" si="98"/>
        <v>2320</v>
      </c>
      <c r="G251" s="6">
        <f t="shared" ca="1" si="99"/>
        <v>430.81318457076031</v>
      </c>
      <c r="H251" s="14">
        <f t="shared" ca="1" si="100"/>
        <v>3.3654879848908998</v>
      </c>
      <c r="I251" s="6">
        <f t="shared" ca="1" si="101"/>
        <v>8.0591776768840509E-2</v>
      </c>
      <c r="J251" s="10">
        <f t="shared" ca="1" si="102"/>
        <v>153.96377073201808</v>
      </c>
      <c r="K251" s="6">
        <f t="shared" ca="1" si="103"/>
        <v>2106409.3124103178</v>
      </c>
      <c r="L251" s="6">
        <f t="shared" ca="1" si="104"/>
        <v>18008.629055087174</v>
      </c>
      <c r="M251" s="6">
        <f t="shared" ca="1" si="105"/>
        <v>60607.824709253036</v>
      </c>
      <c r="N251" s="10">
        <f t="shared" ca="1" si="106"/>
        <v>518.16322050710403</v>
      </c>
      <c r="O251" s="15">
        <f t="shared" ca="1" si="107"/>
        <v>41.7132215548828</v>
      </c>
      <c r="P251" s="16">
        <f t="shared" ca="1" si="108"/>
        <v>1760</v>
      </c>
      <c r="Q251" s="17">
        <f t="shared" ca="1" si="109"/>
        <v>2.3700694065274319E-2</v>
      </c>
      <c r="R251" s="17">
        <f t="shared" ca="1" si="110"/>
        <v>8.7169786902831243E-3</v>
      </c>
      <c r="S251" s="28">
        <f t="shared" ca="1" si="112"/>
        <v>3.2455126678141499</v>
      </c>
    </row>
    <row r="252" spans="1:19" ht="15.75" customHeight="1" x14ac:dyDescent="0.25">
      <c r="A252" s="1">
        <f t="shared" si="111"/>
        <v>6</v>
      </c>
      <c r="B252" s="8">
        <v>140.25</v>
      </c>
      <c r="C252" s="1">
        <f t="shared" ca="1" si="95"/>
        <v>26</v>
      </c>
      <c r="D252" s="10">
        <f t="shared" ca="1" si="96"/>
        <v>5.0990195135927845</v>
      </c>
      <c r="E252" s="1">
        <f t="shared" ca="1" si="97"/>
        <v>160</v>
      </c>
      <c r="F252" s="6">
        <f t="shared" ca="1" si="98"/>
        <v>4160</v>
      </c>
      <c r="G252" s="6">
        <f t="shared" ca="1" si="99"/>
        <v>815.84312217484558</v>
      </c>
      <c r="H252" s="14">
        <f t="shared" ca="1" si="100"/>
        <v>3.6190933306267428</v>
      </c>
      <c r="I252" s="6">
        <f t="shared" ca="1" si="101"/>
        <v>8.5114402649971874E-2</v>
      </c>
      <c r="J252" s="10">
        <f t="shared" ca="1" si="102"/>
        <v>138.0364841045679</v>
      </c>
      <c r="K252" s="6">
        <f t="shared" ca="1" si="103"/>
        <v>2715186.2696171077</v>
      </c>
      <c r="L252" s="6">
        <f t="shared" ca="1" si="104"/>
        <v>19359.616895665651</v>
      </c>
      <c r="M252" s="6">
        <f t="shared" ca="1" si="105"/>
        <v>70064.260390592346</v>
      </c>
      <c r="N252" s="10">
        <f t="shared" ca="1" si="106"/>
        <v>499.56691900600612</v>
      </c>
      <c r="O252" s="15">
        <f t="shared" ca="1" si="107"/>
        <v>79.026485438835351</v>
      </c>
      <c r="P252" s="16">
        <f t="shared" ca="1" si="108"/>
        <v>3240</v>
      </c>
      <c r="Q252" s="17">
        <f t="shared" ca="1" si="109"/>
        <v>2.4390890567541776E-2</v>
      </c>
      <c r="R252" s="17">
        <f t="shared" ca="1" si="110"/>
        <v>1.0664532247738683E-2</v>
      </c>
      <c r="S252" s="28">
        <f t="shared" ca="1" si="112"/>
        <v>3.510545010206612</v>
      </c>
    </row>
    <row r="253" spans="1:19" ht="15.75" customHeight="1" x14ac:dyDescent="0.25">
      <c r="A253" s="1">
        <f t="shared" si="111"/>
        <v>7</v>
      </c>
      <c r="B253" s="8">
        <v>167.9</v>
      </c>
      <c r="C253" s="1">
        <f t="shared" ca="1" si="95"/>
        <v>22</v>
      </c>
      <c r="D253" s="10">
        <f t="shared" ca="1" si="96"/>
        <v>4.6904157598234297</v>
      </c>
      <c r="E253" s="1">
        <f t="shared" ca="1" si="97"/>
        <v>800</v>
      </c>
      <c r="F253" s="6">
        <f t="shared" ca="1" si="98"/>
        <v>17600</v>
      </c>
      <c r="G253" s="6">
        <f t="shared" ca="1" si="99"/>
        <v>3752.3326078587438</v>
      </c>
      <c r="H253" s="14">
        <f t="shared" ca="1" si="100"/>
        <v>4.2455126678141495</v>
      </c>
      <c r="I253" s="6">
        <f t="shared" ca="1" si="101"/>
        <v>9.2529110898334932E-2</v>
      </c>
      <c r="J253" s="10">
        <f t="shared" ca="1" si="102"/>
        <v>116.80010193463441</v>
      </c>
      <c r="K253" s="6">
        <f t="shared" ca="1" si="103"/>
        <v>3292642.7615791373</v>
      </c>
      <c r="L253" s="6">
        <f t="shared" ca="1" si="104"/>
        <v>19610.737114825115</v>
      </c>
      <c r="M253" s="6">
        <f t="shared" ca="1" si="105"/>
        <v>83257.632846163149</v>
      </c>
      <c r="N253" s="10">
        <f t="shared" ca="1" si="106"/>
        <v>495.87631236547435</v>
      </c>
      <c r="O253" s="15">
        <f t="shared" ca="1" si="107"/>
        <v>486.07594936708853</v>
      </c>
      <c r="P253" s="16">
        <f t="shared" ca="1" si="108"/>
        <v>10880</v>
      </c>
      <c r="Q253" s="17">
        <f t="shared" ca="1" si="109"/>
        <v>4.4676098287416227E-2</v>
      </c>
      <c r="R253" s="17">
        <f t="shared" ca="1" si="110"/>
        <v>6.4800100043199338E-3</v>
      </c>
      <c r="S253" s="28">
        <f t="shared" ca="1" si="112"/>
        <v>4.0366288953621607</v>
      </c>
    </row>
    <row r="254" spans="1:19" ht="15.75" customHeight="1" x14ac:dyDescent="0.25">
      <c r="A254" s="1">
        <f t="shared" si="111"/>
        <v>8</v>
      </c>
      <c r="B254" s="8">
        <v>187.7666667</v>
      </c>
      <c r="C254" s="1">
        <f t="shared" ca="1" si="95"/>
        <v>38</v>
      </c>
      <c r="D254" s="10">
        <f t="shared" ca="1" si="96"/>
        <v>6.164414002968976</v>
      </c>
      <c r="E254" s="6">
        <f t="shared" ca="1" si="97"/>
        <v>2500</v>
      </c>
      <c r="F254" s="6">
        <f t="shared" ca="1" si="98"/>
        <v>95000</v>
      </c>
      <c r="G254" s="6">
        <f t="shared" ca="1" si="99"/>
        <v>15411.035007422441</v>
      </c>
      <c r="H254" s="14">
        <f t="shared" ca="1" si="100"/>
        <v>4.9777236052888476</v>
      </c>
      <c r="I254" s="6">
        <f t="shared" ca="1" si="101"/>
        <v>7.0404096770750935E-2</v>
      </c>
      <c r="J254" s="10">
        <f t="shared" ca="1" si="102"/>
        <v>201.74563061436857</v>
      </c>
      <c r="K254" s="6">
        <f t="shared" ca="1" si="103"/>
        <v>7112808.7382291937</v>
      </c>
      <c r="L254" s="6">
        <f t="shared" ca="1" si="104"/>
        <v>37881.10458174946</v>
      </c>
      <c r="M254" s="6">
        <f t="shared" ca="1" si="105"/>
        <v>188561.6684709898</v>
      </c>
      <c r="N254" s="10">
        <f t="shared" ca="1" si="106"/>
        <v>1004.2339877730268</v>
      </c>
      <c r="O254" s="15">
        <f t="shared" ca="1" si="107"/>
        <v>3895.9731478255489</v>
      </c>
      <c r="P254" s="16">
        <f t="shared" ca="1" si="108"/>
        <v>56300</v>
      </c>
      <c r="Q254" s="17">
        <f t="shared" ca="1" si="109"/>
        <v>6.9200233531537286E-2</v>
      </c>
      <c r="R254" s="17">
        <f t="shared" ca="1" si="110"/>
        <v>7.1132318454108683E-3</v>
      </c>
      <c r="S254" s="28">
        <f t="shared" ca="1" si="112"/>
        <v>4.7505083948513462</v>
      </c>
    </row>
    <row r="255" spans="1:19" ht="15.75" customHeight="1" x14ac:dyDescent="0.25">
      <c r="A255" s="1">
        <f t="shared" si="111"/>
        <v>9</v>
      </c>
      <c r="B255" s="8">
        <v>212.78333330000001</v>
      </c>
      <c r="C255" s="1">
        <f t="shared" ca="1" si="95"/>
        <v>82</v>
      </c>
      <c r="D255" s="10">
        <f t="shared" ca="1" si="96"/>
        <v>9.0553851381374173</v>
      </c>
      <c r="E255" s="6">
        <f t="shared" ca="1" si="97"/>
        <v>5000</v>
      </c>
      <c r="F255" s="6">
        <f t="shared" ca="1" si="98"/>
        <v>410000</v>
      </c>
      <c r="G255" s="6">
        <f t="shared" ca="1" si="99"/>
        <v>45276.925690687087</v>
      </c>
      <c r="H255" s="14">
        <f t="shared" ca="1" si="100"/>
        <v>5.6127838567197355</v>
      </c>
      <c r="I255" s="6">
        <f t="shared" ca="1" si="101"/>
        <v>4.7927282316483404E-2</v>
      </c>
      <c r="J255" s="10">
        <f t="shared" ca="1" si="102"/>
        <v>435.34583448363736</v>
      </c>
      <c r="K255" s="6">
        <f t="shared" ca="1" si="103"/>
        <v>19711043.175058026</v>
      </c>
      <c r="L255" s="6">
        <f t="shared" ca="1" si="104"/>
        <v>92634.337799698435</v>
      </c>
      <c r="M255" s="6">
        <f t="shared" ca="1" si="105"/>
        <v>519936.51578007027</v>
      </c>
      <c r="N255" s="10">
        <f t="shared" ca="1" si="106"/>
        <v>2443.5020718799419</v>
      </c>
      <c r="O255" s="15">
        <f t="shared" ca="1" si="107"/>
        <v>12591.605629824395</v>
      </c>
      <c r="P255" s="16">
        <f t="shared" ca="1" si="108"/>
        <v>252500</v>
      </c>
      <c r="Q255" s="17">
        <f t="shared" ca="1" si="109"/>
        <v>4.9867745068611462E-2</v>
      </c>
      <c r="R255" s="17">
        <f t="shared" ca="1" si="110"/>
        <v>4.7923348440068554E-3</v>
      </c>
      <c r="S255" s="28">
        <f t="shared" ca="1" si="112"/>
        <v>5.4022613824546806</v>
      </c>
    </row>
    <row r="256" spans="1:19" ht="15.75" customHeight="1" x14ac:dyDescent="0.25">
      <c r="A256" s="1">
        <f t="shared" si="111"/>
        <v>10</v>
      </c>
      <c r="B256" s="8">
        <v>237.95</v>
      </c>
      <c r="C256" s="1">
        <f t="shared" ca="1" si="95"/>
        <v>104</v>
      </c>
      <c r="D256" s="10">
        <f t="shared" ca="1" si="96"/>
        <v>10.198039027185569</v>
      </c>
      <c r="E256" s="6">
        <f t="shared" ca="1" si="97"/>
        <v>40000</v>
      </c>
      <c r="F256" s="6">
        <f t="shared" ca="1" si="98"/>
        <v>4160000</v>
      </c>
      <c r="G256" s="6">
        <f t="shared" ca="1" si="99"/>
        <v>407921.56108742277</v>
      </c>
      <c r="H256" s="14">
        <f t="shared" ca="1" si="100"/>
        <v>6.6190933306267423</v>
      </c>
      <c r="I256" s="6">
        <f t="shared" ca="1" si="101"/>
        <v>4.2557201324985937E-2</v>
      </c>
      <c r="J256" s="10">
        <f t="shared" ca="1" si="102"/>
        <v>552.14593641827162</v>
      </c>
      <c r="K256" s="6">
        <f t="shared" ca="1" si="103"/>
        <v>31262614.729554668</v>
      </c>
      <c r="L256" s="6">
        <f t="shared" ca="1" si="104"/>
        <v>131383.12557072775</v>
      </c>
      <c r="M256" s="6">
        <f t="shared" ca="1" si="105"/>
        <v>869637.17022209964</v>
      </c>
      <c r="N256" s="10">
        <f t="shared" ca="1" si="106"/>
        <v>3654.7054852788388</v>
      </c>
      <c r="O256" s="15">
        <f t="shared" ca="1" si="107"/>
        <v>149006.62231919664</v>
      </c>
      <c r="P256" s="16">
        <f t="shared" ca="1" si="108"/>
        <v>2285000</v>
      </c>
      <c r="Q256" s="17">
        <f t="shared" ca="1" si="109"/>
        <v>6.5210775632033535E-2</v>
      </c>
      <c r="R256" s="17">
        <f t="shared" ca="1" si="110"/>
        <v>1.9169551733157905E-3</v>
      </c>
      <c r="S256" s="28">
        <f t="shared" ca="1" si="112"/>
        <v>6.3588862044058692</v>
      </c>
    </row>
    <row r="257" spans="1:19" ht="15.75" customHeight="1" x14ac:dyDescent="0.25">
      <c r="B257" s="8">
        <v>261</v>
      </c>
      <c r="C257">
        <v>76</v>
      </c>
      <c r="D257">
        <v>8.717797887081348</v>
      </c>
      <c r="E257">
        <v>160000</v>
      </c>
      <c r="F257">
        <v>12160000</v>
      </c>
      <c r="G257">
        <v>1394847.6619330156</v>
      </c>
      <c r="H257" s="1">
        <v>7.0849335749367164</v>
      </c>
      <c r="I257" s="1">
        <v>4.978321424991191E-2</v>
      </c>
      <c r="J257" s="10"/>
      <c r="K257" s="6"/>
      <c r="L257" s="6"/>
      <c r="M257" s="6"/>
      <c r="N257" s="10"/>
      <c r="O257" s="15">
        <f t="shared" ref="O257" ca="1" si="113">(F257-F256)/(B257-B256)</f>
        <v>347071.58351409959</v>
      </c>
      <c r="P257" s="16">
        <f t="shared" ref="P257" ca="1" si="114">0.5 *( F257+F256)</f>
        <v>8160000</v>
      </c>
      <c r="Q257" s="17">
        <f t="shared" ref="Q257" ca="1" si="115">O257/P257</f>
        <v>4.2533282293394557E-2</v>
      </c>
      <c r="R257" s="17">
        <f t="shared" ref="R257" ca="1" si="116">SQRT((16/(B257-B256)^2)*(1/(F257+F256)^4)*((F256^2 * G257^2)+(F257^2*G256^2 )))</f>
        <v>4.9738014555546399E-3</v>
      </c>
      <c r="S257" s="28">
        <f t="shared" ref="S257" ca="1" si="117">LOG10(P257)</f>
        <v>6.9116901587538608</v>
      </c>
    </row>
    <row r="258" spans="1:19" ht="15.75" customHeight="1" x14ac:dyDescent="0.2">
      <c r="D258" s="10"/>
      <c r="F258" s="6"/>
      <c r="G258" s="6"/>
      <c r="H258" s="14"/>
      <c r="J258" s="10"/>
      <c r="K258" s="6"/>
      <c r="L258" s="6"/>
      <c r="M258" s="6"/>
      <c r="N258" s="10"/>
    </row>
    <row r="259" spans="1:19" ht="15.75" customHeight="1" x14ac:dyDescent="0.2"/>
    <row r="260" spans="1:19" ht="15.75" customHeight="1" x14ac:dyDescent="0.2"/>
    <row r="261" spans="1:19" ht="15.75" customHeight="1" x14ac:dyDescent="0.2">
      <c r="B261" s="1" t="s">
        <v>42</v>
      </c>
      <c r="F261" s="18" t="s">
        <v>61</v>
      </c>
      <c r="G261" s="18"/>
      <c r="H261" s="18"/>
      <c r="I261" s="1"/>
    </row>
    <row r="262" spans="1:19" ht="15.75" customHeight="1" x14ac:dyDescent="0.2">
      <c r="B262" s="1" t="s">
        <v>44</v>
      </c>
      <c r="F262" s="1" t="s">
        <v>45</v>
      </c>
      <c r="G262" s="1" t="s">
        <v>46</v>
      </c>
      <c r="H262" s="19">
        <f ca="1">(SUM(J247:J252)) * (SUM(K247:K252)) - (SUM(L247:L252))^2</f>
        <v>760531200.36686802</v>
      </c>
      <c r="I262" s="1"/>
    </row>
    <row r="263" spans="1:19" ht="15.75" customHeight="1" x14ac:dyDescent="0.2">
      <c r="B263" s="1" t="s">
        <v>47</v>
      </c>
      <c r="F263" s="1" t="s">
        <v>48</v>
      </c>
      <c r="G263" s="1" t="s">
        <v>49</v>
      </c>
      <c r="H263" s="19">
        <f ca="1">(1/H262)*(SUM(J247:J252)*SUM(M247:M252) - SUM(L247:L252)* SUM(N247:N252))</f>
        <v>1.0870784075085935E-2</v>
      </c>
      <c r="I263" s="1"/>
    </row>
    <row r="264" spans="1:19" ht="15.75" customHeight="1" x14ac:dyDescent="0.2">
      <c r="B264" s="1" t="s">
        <v>50</v>
      </c>
      <c r="F264" s="1"/>
      <c r="G264" s="1" t="s">
        <v>51</v>
      </c>
      <c r="H264" s="19">
        <f ca="1">SQRT((1/H262)*(SUM(J247:J252)))</f>
        <v>1.006087501584611E-3</v>
      </c>
      <c r="I264" s="1"/>
    </row>
    <row r="265" spans="1:19" ht="15.75" customHeight="1" x14ac:dyDescent="0.2">
      <c r="F265" s="1"/>
      <c r="G265" s="1"/>
      <c r="H265" s="1"/>
      <c r="I265" s="1"/>
    </row>
    <row r="266" spans="1:19" ht="15.75" customHeight="1" x14ac:dyDescent="0.2">
      <c r="F266" s="1" t="s">
        <v>52</v>
      </c>
      <c r="G266" s="1" t="s">
        <v>46</v>
      </c>
      <c r="H266" s="19">
        <f ca="1">(SUM(J254:J256)) * (SUM(K254:K256)) - (SUM(L254:L256))^2</f>
        <v>487738758.19487762</v>
      </c>
      <c r="I266" s="1"/>
    </row>
    <row r="267" spans="1:19" ht="15.75" customHeight="1" x14ac:dyDescent="0.2">
      <c r="F267" s="1" t="s">
        <v>48</v>
      </c>
      <c r="G267" s="1" t="s">
        <v>49</v>
      </c>
      <c r="H267" s="19">
        <f ca="1">(1/H266)*(SUM(J254:J256)*SUM(M254:M256) - SUM(L254:L256)* SUM(N254:N256))</f>
        <v>3.4154182609158382E-2</v>
      </c>
      <c r="I267" s="1"/>
    </row>
    <row r="268" spans="1:19" ht="15.75" customHeight="1" x14ac:dyDescent="0.2">
      <c r="F268" s="1"/>
      <c r="G268" s="1" t="s">
        <v>51</v>
      </c>
      <c r="H268" s="19">
        <f ca="1">SQRT((1/H266)*(SUM(J254:J256)))</f>
        <v>1.5614951712188865E-3</v>
      </c>
      <c r="I268" s="1"/>
    </row>
    <row r="269" spans="1:19" ht="15.75" customHeight="1" x14ac:dyDescent="0.2"/>
    <row r="270" spans="1:19" ht="15.75" customHeight="1" x14ac:dyDescent="0.2">
      <c r="A270" s="1" t="s">
        <v>62</v>
      </c>
      <c r="B270" s="1"/>
    </row>
    <row r="271" spans="1:19" ht="15.75" customHeight="1" x14ac:dyDescent="0.2">
      <c r="A271" s="1" t="s">
        <v>24</v>
      </c>
      <c r="B271" s="7" t="s">
        <v>25</v>
      </c>
      <c r="C271" s="1" t="s">
        <v>26</v>
      </c>
      <c r="D271" s="1" t="s">
        <v>27</v>
      </c>
      <c r="E271" s="7" t="s">
        <v>28</v>
      </c>
      <c r="F271" s="1" t="s">
        <v>55</v>
      </c>
      <c r="G271" s="1" t="s">
        <v>30</v>
      </c>
      <c r="H271" s="1" t="s">
        <v>31</v>
      </c>
      <c r="I271" s="1" t="s">
        <v>32</v>
      </c>
      <c r="J271" s="1" t="s">
        <v>33</v>
      </c>
      <c r="K271" s="1" t="s">
        <v>34</v>
      </c>
      <c r="L271" s="1" t="s">
        <v>35</v>
      </c>
      <c r="M271" s="1" t="s">
        <v>36</v>
      </c>
      <c r="N271" s="1" t="s">
        <v>37</v>
      </c>
      <c r="O271" s="1" t="s">
        <v>38</v>
      </c>
      <c r="P271" s="12" t="s">
        <v>39</v>
      </c>
      <c r="Q271" s="13" t="s">
        <v>40</v>
      </c>
      <c r="R271" s="12" t="s">
        <v>41</v>
      </c>
      <c r="S271" s="27" t="s">
        <v>79</v>
      </c>
    </row>
    <row r="272" spans="1:19" ht="15.75" customHeight="1" x14ac:dyDescent="0.25">
      <c r="A272" s="1"/>
      <c r="B272" s="8">
        <v>0</v>
      </c>
      <c r="F272" s="21">
        <v>100</v>
      </c>
      <c r="G272" s="21">
        <v>0</v>
      </c>
      <c r="H272" s="14"/>
      <c r="I272" s="6"/>
      <c r="J272" s="10"/>
      <c r="K272" s="6"/>
      <c r="L272" s="6"/>
      <c r="M272" s="6"/>
      <c r="N272" s="10"/>
    </row>
    <row r="273" spans="1:19" ht="15.75" customHeight="1" x14ac:dyDescent="0.25">
      <c r="A273" s="1">
        <v>1</v>
      </c>
      <c r="B273" s="8">
        <v>19.166666670000001</v>
      </c>
      <c r="C273" s="1">
        <f t="shared" ref="C273:C282" ca="1" si="118">OFFSET($B$11,(A273-1)*9,0)</f>
        <v>10</v>
      </c>
      <c r="D273" s="10">
        <f t="shared" ref="D273:D282" ca="1" si="119">SQRT(C273)</f>
        <v>3.1622776601683795</v>
      </c>
      <c r="E273" s="1">
        <f t="shared" ref="E273:E282" ca="1" si="120">OFFSET($C$11,(A273-1)*9,0)*OFFSET($D$11,(A273-1)*9,0)</f>
        <v>20</v>
      </c>
      <c r="F273" s="6">
        <f t="shared" ref="F273:F282" ca="1" si="121">C273*E273</f>
        <v>200</v>
      </c>
      <c r="G273" s="6">
        <f t="shared" ref="G273:G282" ca="1" si="122">D273*E273</f>
        <v>63.245553203367592</v>
      </c>
      <c r="H273" s="14">
        <f t="shared" ref="H273:H282" ca="1" si="123">LOG10(F273)</f>
        <v>2.3010299956639813</v>
      </c>
      <c r="I273" s="6">
        <f t="shared" ref="I273:I282" ca="1" si="124">0.434 * G273/F273</f>
        <v>0.13724285045130766</v>
      </c>
      <c r="J273" s="10">
        <f t="shared" ref="J273:J282" ca="1" si="125">(1/I273)^2</f>
        <v>53.090955424833822</v>
      </c>
      <c r="K273" s="6">
        <f t="shared" ref="K273:K282" ca="1" si="126">(B273/I273)^2</f>
        <v>19503.552381601276</v>
      </c>
      <c r="L273" s="6">
        <f t="shared" ref="L273:L282" ca="1" si="127">B273/(I273^2)</f>
        <v>1017.5766458196184</v>
      </c>
      <c r="M273" s="6">
        <f t="shared" ref="M273:M282" ca="1" si="128">B273*H273*J273</f>
        <v>2341.4743849180845</v>
      </c>
      <c r="N273" s="10">
        <f t="shared" ref="N273:N282" ca="1" si="129">H273*J273</f>
        <v>122.163880931002</v>
      </c>
      <c r="O273" s="15">
        <f t="shared" ref="O273:O282" ca="1" si="130">(F273-F272)/(B273-B272)</f>
        <v>5.2173913034404533</v>
      </c>
      <c r="P273" s="16">
        <f t="shared" ref="P273:P282" ca="1" si="131">0.5 *( F273+F272)</f>
        <v>150</v>
      </c>
      <c r="Q273" s="17">
        <f t="shared" ref="Q273:Q282" ca="1" si="132">O273/P273</f>
        <v>3.478260868960302E-2</v>
      </c>
      <c r="R273" s="17">
        <f t="shared" ref="R273:R282" ca="1" si="133">SQRT((16/(B273-B272)^2)*(1/(F273+F272)^4)*((F272^2 * G273^2)+(F273^2*G272^2 )))</f>
        <v>1.4665635522868025E-2</v>
      </c>
      <c r="S273" s="28">
        <f ca="1">LOG10(P273)</f>
        <v>2.1760912590556813</v>
      </c>
    </row>
    <row r="274" spans="1:19" ht="15.75" customHeight="1" x14ac:dyDescent="0.2">
      <c r="A274" s="1">
        <f t="shared" ref="A274:A282" si="134">A273+1</f>
        <v>2</v>
      </c>
      <c r="B274" s="10">
        <v>46.85</v>
      </c>
      <c r="C274" s="1">
        <f t="shared" ca="1" si="118"/>
        <v>20</v>
      </c>
      <c r="D274" s="10">
        <f t="shared" ca="1" si="119"/>
        <v>4.4721359549995796</v>
      </c>
      <c r="E274" s="1">
        <f t="shared" ca="1" si="120"/>
        <v>40</v>
      </c>
      <c r="F274" s="6">
        <f t="shared" ca="1" si="121"/>
        <v>800</v>
      </c>
      <c r="G274" s="6">
        <f t="shared" ca="1" si="122"/>
        <v>178.88543819998318</v>
      </c>
      <c r="H274" s="14">
        <f t="shared" ca="1" si="123"/>
        <v>2.9030899869919438</v>
      </c>
      <c r="I274" s="6">
        <f t="shared" ca="1" si="124"/>
        <v>9.7045350223490881E-2</v>
      </c>
      <c r="J274" s="10">
        <f t="shared" ca="1" si="125"/>
        <v>106.18191084966764</v>
      </c>
      <c r="K274" s="6">
        <f t="shared" ca="1" si="126"/>
        <v>233061.06521692962</v>
      </c>
      <c r="L274" s="6">
        <f t="shared" ca="1" si="127"/>
        <v>4974.6225233069281</v>
      </c>
      <c r="M274" s="6">
        <f t="shared" ca="1" si="128"/>
        <v>14441.776836476944</v>
      </c>
      <c r="N274" s="10">
        <f t="shared" ca="1" si="129"/>
        <v>308.25564218734138</v>
      </c>
      <c r="O274" s="15">
        <f t="shared" ca="1" si="130"/>
        <v>21.67369055047245</v>
      </c>
      <c r="P274" s="16">
        <f t="shared" ca="1" si="131"/>
        <v>500</v>
      </c>
      <c r="Q274" s="17">
        <f t="shared" ca="1" si="132"/>
        <v>4.3347381100944903E-2</v>
      </c>
      <c r="R274" s="17">
        <f t="shared" ca="1" si="133"/>
        <v>8.9537965389688383E-3</v>
      </c>
      <c r="S274" s="28">
        <f t="shared" ref="S274:S282" ca="1" si="135">LOG10(P274)</f>
        <v>2.6989700043360187</v>
      </c>
    </row>
    <row r="275" spans="1:19" ht="15.75" customHeight="1" x14ac:dyDescent="0.25">
      <c r="A275" s="1">
        <f t="shared" si="134"/>
        <v>3</v>
      </c>
      <c r="B275" s="8">
        <v>69.516666670000006</v>
      </c>
      <c r="C275" s="1">
        <f t="shared" ca="1" si="118"/>
        <v>20</v>
      </c>
      <c r="D275" s="10">
        <f t="shared" ca="1" si="119"/>
        <v>4.4721359549995796</v>
      </c>
      <c r="E275" s="1">
        <f t="shared" ca="1" si="120"/>
        <v>40</v>
      </c>
      <c r="F275" s="6">
        <f t="shared" ca="1" si="121"/>
        <v>800</v>
      </c>
      <c r="G275" s="6">
        <f t="shared" ca="1" si="122"/>
        <v>178.88543819998318</v>
      </c>
      <c r="H275" s="14">
        <f t="shared" ca="1" si="123"/>
        <v>2.9030899869919438</v>
      </c>
      <c r="I275" s="6">
        <f t="shared" ca="1" si="124"/>
        <v>9.7045350223490881E-2</v>
      </c>
      <c r="J275" s="10">
        <f t="shared" ca="1" si="125"/>
        <v>106.18191084966764</v>
      </c>
      <c r="K275" s="6">
        <f t="shared" ca="1" si="126"/>
        <v>513131.19251926016</v>
      </c>
      <c r="L275" s="6">
        <f t="shared" ca="1" si="127"/>
        <v>7381.4125029200013</v>
      </c>
      <c r="M275" s="6">
        <f t="shared" ca="1" si="128"/>
        <v>21428.904727084202</v>
      </c>
      <c r="N275" s="10">
        <f t="shared" ca="1" si="129"/>
        <v>308.25564218734138</v>
      </c>
      <c r="O275" s="15">
        <f t="shared" ca="1" si="130"/>
        <v>0</v>
      </c>
      <c r="P275" s="16">
        <f t="shared" ca="1" si="131"/>
        <v>800</v>
      </c>
      <c r="Q275" s="17">
        <f t="shared" ca="1" si="132"/>
        <v>0</v>
      </c>
      <c r="R275" s="17">
        <f t="shared" ca="1" si="133"/>
        <v>1.3951224969279433E-2</v>
      </c>
      <c r="S275" s="28">
        <f t="shared" ca="1" si="135"/>
        <v>2.9030899869919438</v>
      </c>
    </row>
    <row r="276" spans="1:19" ht="15.75" customHeight="1" x14ac:dyDescent="0.25">
      <c r="A276" s="1">
        <f t="shared" si="134"/>
        <v>4</v>
      </c>
      <c r="B276" s="8">
        <v>90.116666670000001</v>
      </c>
      <c r="C276" s="1">
        <f t="shared" ca="1" si="118"/>
        <v>31</v>
      </c>
      <c r="D276" s="10">
        <f t="shared" ca="1" si="119"/>
        <v>5.5677643628300215</v>
      </c>
      <c r="E276" s="1">
        <f t="shared" ca="1" si="120"/>
        <v>40</v>
      </c>
      <c r="F276" s="6">
        <f t="shared" ca="1" si="121"/>
        <v>1240</v>
      </c>
      <c r="G276" s="6">
        <f t="shared" ca="1" si="122"/>
        <v>222.71057451320087</v>
      </c>
      <c r="H276" s="14">
        <f t="shared" ca="1" si="123"/>
        <v>3.0934216851622351</v>
      </c>
      <c r="I276" s="6">
        <f t="shared" ca="1" si="124"/>
        <v>7.7948701079620292E-2</v>
      </c>
      <c r="J276" s="10">
        <f t="shared" ca="1" si="125"/>
        <v>164.58196181698494</v>
      </c>
      <c r="K276" s="6">
        <f t="shared" ca="1" si="126"/>
        <v>1336572.3521579807</v>
      </c>
      <c r="L276" s="6">
        <f t="shared" ca="1" si="127"/>
        <v>14831.577792955899</v>
      </c>
      <c r="M276" s="6">
        <f t="shared" ca="1" si="128"/>
        <v>45880.324369900423</v>
      </c>
      <c r="N276" s="10">
        <f t="shared" ca="1" si="129"/>
        <v>509.12140967120422</v>
      </c>
      <c r="O276" s="15">
        <f t="shared" ca="1" si="130"/>
        <v>21.359223300970879</v>
      </c>
      <c r="P276" s="16">
        <f t="shared" ca="1" si="131"/>
        <v>1020</v>
      </c>
      <c r="Q276" s="17">
        <f t="shared" ca="1" si="132"/>
        <v>2.0940415000951843E-2</v>
      </c>
      <c r="R276" s="17">
        <f t="shared" ca="1" si="133"/>
        <v>1.3274963986454943E-2</v>
      </c>
      <c r="S276" s="28">
        <f t="shared" ca="1" si="135"/>
        <v>3.0086001717619175</v>
      </c>
    </row>
    <row r="277" spans="1:19" ht="15.75" customHeight="1" x14ac:dyDescent="0.25">
      <c r="A277" s="1">
        <f t="shared" si="134"/>
        <v>5</v>
      </c>
      <c r="B277" s="8">
        <v>116.9666667</v>
      </c>
      <c r="C277" s="1">
        <f t="shared" ca="1" si="118"/>
        <v>24</v>
      </c>
      <c r="D277" s="10">
        <f t="shared" ca="1" si="119"/>
        <v>4.8989794855663558</v>
      </c>
      <c r="E277" s="1">
        <f t="shared" ca="1" si="120"/>
        <v>80</v>
      </c>
      <c r="F277" s="6">
        <f t="shared" ca="1" si="121"/>
        <v>1920</v>
      </c>
      <c r="G277" s="6">
        <f t="shared" ca="1" si="122"/>
        <v>391.91835884530849</v>
      </c>
      <c r="H277" s="14">
        <f t="shared" ca="1" si="123"/>
        <v>3.2833012287035497</v>
      </c>
      <c r="I277" s="6">
        <f t="shared" ca="1" si="124"/>
        <v>8.8589879030658278E-2</v>
      </c>
      <c r="J277" s="10">
        <f t="shared" ca="1" si="125"/>
        <v>127.41829301960115</v>
      </c>
      <c r="K277" s="6">
        <f t="shared" ca="1" si="126"/>
        <v>1743235.2930292282</v>
      </c>
      <c r="L277" s="6">
        <f t="shared" ca="1" si="127"/>
        <v>14903.693011106629</v>
      </c>
      <c r="M277" s="6">
        <f t="shared" ca="1" si="128"/>
        <v>48933.313575586893</v>
      </c>
      <c r="N277" s="10">
        <f t="shared" ca="1" si="129"/>
        <v>418.3526380305654</v>
      </c>
      <c r="O277" s="15">
        <f t="shared" ca="1" si="130"/>
        <v>25.325884515464558</v>
      </c>
      <c r="P277" s="16">
        <f t="shared" ca="1" si="131"/>
        <v>1580</v>
      </c>
      <c r="Q277" s="17">
        <f t="shared" ca="1" si="132"/>
        <v>1.6029040832572505E-2</v>
      </c>
      <c r="R277" s="17">
        <f t="shared" ca="1" si="133"/>
        <v>9.6573801331114855E-3</v>
      </c>
      <c r="S277" s="28">
        <f t="shared" ca="1" si="135"/>
        <v>3.1986570869544226</v>
      </c>
    </row>
    <row r="278" spans="1:19" ht="15.75" customHeight="1" x14ac:dyDescent="0.25">
      <c r="A278" s="1">
        <f t="shared" si="134"/>
        <v>6</v>
      </c>
      <c r="B278" s="8">
        <v>140.25</v>
      </c>
      <c r="C278" s="1">
        <f t="shared" ca="1" si="118"/>
        <v>32</v>
      </c>
      <c r="D278" s="10">
        <f t="shared" ca="1" si="119"/>
        <v>5.6568542494923806</v>
      </c>
      <c r="E278" s="1">
        <f t="shared" ca="1" si="120"/>
        <v>160</v>
      </c>
      <c r="F278" s="6">
        <f t="shared" ca="1" si="121"/>
        <v>5120</v>
      </c>
      <c r="G278" s="6">
        <f t="shared" ca="1" si="122"/>
        <v>905.09667991878086</v>
      </c>
      <c r="H278" s="14">
        <f t="shared" ca="1" si="123"/>
        <v>3.7092699609758308</v>
      </c>
      <c r="I278" s="6">
        <f t="shared" ca="1" si="124"/>
        <v>7.6721085758740398E-2</v>
      </c>
      <c r="J278" s="10">
        <f t="shared" ca="1" si="125"/>
        <v>169.89105735946831</v>
      </c>
      <c r="K278" s="6">
        <f t="shared" ca="1" si="126"/>
        <v>3341767.7164518256</v>
      </c>
      <c r="L278" s="6">
        <f t="shared" ca="1" si="127"/>
        <v>23827.220794665423</v>
      </c>
      <c r="M278" s="6">
        <f t="shared" ca="1" si="128"/>
        <v>88381.594347191145</v>
      </c>
      <c r="N278" s="10">
        <f t="shared" ca="1" si="129"/>
        <v>630.17179570189762</v>
      </c>
      <c r="O278" s="15">
        <f t="shared" ca="1" si="130"/>
        <v>137.43736598058322</v>
      </c>
      <c r="P278" s="16">
        <f t="shared" ca="1" si="131"/>
        <v>3520</v>
      </c>
      <c r="Q278" s="17">
        <f t="shared" ca="1" si="132"/>
        <v>3.9044706244483869E-2</v>
      </c>
      <c r="R278" s="17">
        <f t="shared" ca="1" si="133"/>
        <v>9.2014042478547695E-3</v>
      </c>
      <c r="S278" s="28">
        <f t="shared" ca="1" si="135"/>
        <v>3.5465426634781312</v>
      </c>
    </row>
    <row r="279" spans="1:19" ht="15.75" customHeight="1" x14ac:dyDescent="0.25">
      <c r="A279" s="1">
        <f t="shared" si="134"/>
        <v>7</v>
      </c>
      <c r="B279" s="8">
        <v>167.9</v>
      </c>
      <c r="C279" s="1">
        <f t="shared" ca="1" si="118"/>
        <v>22</v>
      </c>
      <c r="D279" s="10">
        <f t="shared" ca="1" si="119"/>
        <v>4.6904157598234297</v>
      </c>
      <c r="E279" s="1">
        <f t="shared" ca="1" si="120"/>
        <v>800</v>
      </c>
      <c r="F279" s="6">
        <f t="shared" ca="1" si="121"/>
        <v>17600</v>
      </c>
      <c r="G279" s="6">
        <f t="shared" ca="1" si="122"/>
        <v>3752.3326078587438</v>
      </c>
      <c r="H279" s="14">
        <f t="shared" ca="1" si="123"/>
        <v>4.2455126678141495</v>
      </c>
      <c r="I279" s="6">
        <f t="shared" ca="1" si="124"/>
        <v>9.2529110898334932E-2</v>
      </c>
      <c r="J279" s="10">
        <f t="shared" ca="1" si="125"/>
        <v>116.80010193463441</v>
      </c>
      <c r="K279" s="6">
        <f t="shared" ca="1" si="126"/>
        <v>3292642.7615791373</v>
      </c>
      <c r="L279" s="6">
        <f t="shared" ca="1" si="127"/>
        <v>19610.737114825115</v>
      </c>
      <c r="M279" s="6">
        <f t="shared" ca="1" si="128"/>
        <v>83257.632846163149</v>
      </c>
      <c r="N279" s="10">
        <f t="shared" ca="1" si="129"/>
        <v>495.87631236547435</v>
      </c>
      <c r="O279" s="15">
        <f t="shared" ca="1" si="130"/>
        <v>451.35623869801077</v>
      </c>
      <c r="P279" s="16">
        <f t="shared" ca="1" si="131"/>
        <v>11360</v>
      </c>
      <c r="Q279" s="17">
        <f t="shared" ca="1" si="132"/>
        <v>3.9732063265669963E-2</v>
      </c>
      <c r="R279" s="17">
        <f t="shared" ca="1" si="133"/>
        <v>6.994253691565081E-3</v>
      </c>
      <c r="S279" s="28">
        <f t="shared" ca="1" si="135"/>
        <v>4.0553783313750005</v>
      </c>
    </row>
    <row r="280" spans="1:19" ht="15.75" customHeight="1" x14ac:dyDescent="0.25">
      <c r="A280" s="1">
        <f t="shared" si="134"/>
        <v>8</v>
      </c>
      <c r="B280" s="8">
        <v>187.7666667</v>
      </c>
      <c r="C280" s="1">
        <f t="shared" ca="1" si="118"/>
        <v>47</v>
      </c>
      <c r="D280" s="10">
        <f t="shared" ca="1" si="119"/>
        <v>6.8556546004010439</v>
      </c>
      <c r="E280" s="6">
        <f t="shared" ca="1" si="120"/>
        <v>2500</v>
      </c>
      <c r="F280" s="6">
        <f t="shared" ca="1" si="121"/>
        <v>117500</v>
      </c>
      <c r="G280" s="6">
        <f t="shared" ca="1" si="122"/>
        <v>17139.136501002609</v>
      </c>
      <c r="H280" s="14">
        <f t="shared" ca="1" si="123"/>
        <v>5.0700378666077555</v>
      </c>
      <c r="I280" s="6">
        <f t="shared" ca="1" si="124"/>
        <v>6.3305406310086229E-2</v>
      </c>
      <c r="J280" s="10">
        <f t="shared" ca="1" si="125"/>
        <v>249.52749049671903</v>
      </c>
      <c r="K280" s="6">
        <f t="shared" ca="1" si="126"/>
        <v>8797421.3341255821</v>
      </c>
      <c r="L280" s="6">
        <f t="shared" ca="1" si="127"/>
        <v>46852.945140584867</v>
      </c>
      <c r="M280" s="6">
        <f t="shared" ca="1" si="128"/>
        <v>237546.20602486105</v>
      </c>
      <c r="N280" s="10">
        <f t="shared" ca="1" si="129"/>
        <v>1265.1138255779722</v>
      </c>
      <c r="O280" s="15">
        <f t="shared" ca="1" si="130"/>
        <v>5028.5234814957666</v>
      </c>
      <c r="P280" s="16">
        <f t="shared" ca="1" si="131"/>
        <v>67550</v>
      </c>
      <c r="Q280" s="17">
        <f t="shared" ca="1" si="132"/>
        <v>7.4441502316739697E-2</v>
      </c>
      <c r="R280" s="17">
        <f t="shared" ca="1" si="133"/>
        <v>5.8930360512782932E-3</v>
      </c>
      <c r="S280" s="28">
        <f t="shared" ca="1" si="135"/>
        <v>4.8296253533580495</v>
      </c>
    </row>
    <row r="281" spans="1:19" ht="15.75" customHeight="1" x14ac:dyDescent="0.25">
      <c r="A281" s="1">
        <f t="shared" si="134"/>
        <v>9</v>
      </c>
      <c r="B281" s="8">
        <v>212.78333330000001</v>
      </c>
      <c r="C281" s="1">
        <f t="shared" ca="1" si="118"/>
        <v>81</v>
      </c>
      <c r="D281" s="10">
        <f t="shared" ca="1" si="119"/>
        <v>9</v>
      </c>
      <c r="E281" s="6">
        <f t="shared" ca="1" si="120"/>
        <v>5000</v>
      </c>
      <c r="F281" s="6">
        <f t="shared" ca="1" si="121"/>
        <v>405000</v>
      </c>
      <c r="G281" s="6">
        <f t="shared" ca="1" si="122"/>
        <v>45000</v>
      </c>
      <c r="H281" s="14">
        <f t="shared" ca="1" si="123"/>
        <v>5.6074550232146683</v>
      </c>
      <c r="I281" s="6">
        <f t="shared" ca="1" si="124"/>
        <v>4.8222222222222222E-2</v>
      </c>
      <c r="J281" s="10">
        <f t="shared" ca="1" si="125"/>
        <v>430.036738941154</v>
      </c>
      <c r="K281" s="6">
        <f t="shared" ca="1" si="126"/>
        <v>19470664.599752437</v>
      </c>
      <c r="L281" s="6">
        <f t="shared" ca="1" si="127"/>
        <v>91504.650753360664</v>
      </c>
      <c r="M281" s="6">
        <f t="shared" ca="1" si="128"/>
        <v>513108.21351443615</v>
      </c>
      <c r="N281" s="10">
        <f t="shared" ca="1" si="129"/>
        <v>2411.4116719424287</v>
      </c>
      <c r="O281" s="15">
        <f t="shared" ca="1" si="130"/>
        <v>11492.338471665122</v>
      </c>
      <c r="P281" s="16">
        <f t="shared" ca="1" si="131"/>
        <v>261250</v>
      </c>
      <c r="Q281" s="17">
        <f t="shared" ca="1" si="132"/>
        <v>4.3989812331732527E-2</v>
      </c>
      <c r="R281" s="17">
        <f t="shared" ca="1" si="133"/>
        <v>5.1105118223885573E-3</v>
      </c>
      <c r="S281" s="28">
        <f t="shared" ca="1" si="135"/>
        <v>5.4170562991191105</v>
      </c>
    </row>
    <row r="282" spans="1:19" ht="15.75" customHeight="1" x14ac:dyDescent="0.25">
      <c r="A282" s="1">
        <f t="shared" si="134"/>
        <v>10</v>
      </c>
      <c r="B282" s="8">
        <v>237.95</v>
      </c>
      <c r="C282" s="1">
        <f t="shared" ca="1" si="118"/>
        <v>67</v>
      </c>
      <c r="D282" s="10">
        <f t="shared" ca="1" si="119"/>
        <v>8.1853527718724504</v>
      </c>
      <c r="E282" s="6">
        <f t="shared" ca="1" si="120"/>
        <v>53333.333333333328</v>
      </c>
      <c r="F282" s="6">
        <f t="shared" ca="1" si="121"/>
        <v>3573333.333333333</v>
      </c>
      <c r="G282" s="6">
        <f t="shared" ca="1" si="122"/>
        <v>436552.14783319732</v>
      </c>
      <c r="H282" s="14">
        <f t="shared" ca="1" si="123"/>
        <v>6.5530735306370884</v>
      </c>
      <c r="I282" s="6">
        <f t="shared" ca="1" si="124"/>
        <v>5.3021538850636471E-2</v>
      </c>
      <c r="J282" s="10">
        <f t="shared" ca="1" si="125"/>
        <v>355.70940134638664</v>
      </c>
      <c r="K282" s="6">
        <f t="shared" ca="1" si="126"/>
        <v>20140338.335386176</v>
      </c>
      <c r="L282" s="6">
        <f t="shared" ca="1" si="127"/>
        <v>84641.052050372688</v>
      </c>
      <c r="M282" s="6">
        <f t="shared" ca="1" si="128"/>
        <v>554659.03779657336</v>
      </c>
      <c r="N282" s="10">
        <f t="shared" ca="1" si="129"/>
        <v>2330.9898625617711</v>
      </c>
      <c r="O282" s="15">
        <f t="shared" ca="1" si="130"/>
        <v>125894.03956835235</v>
      </c>
      <c r="P282" s="16">
        <f t="shared" ca="1" si="131"/>
        <v>1989166.6666666665</v>
      </c>
      <c r="Q282" s="17">
        <f t="shared" ca="1" si="132"/>
        <v>6.3289839749485891E-2</v>
      </c>
      <c r="R282" s="17">
        <f t="shared" ca="1" si="133"/>
        <v>2.4000011916979571E-3</v>
      </c>
      <c r="S282" s="28">
        <f t="shared" ca="1" si="135"/>
        <v>6.2986711729591294</v>
      </c>
    </row>
    <row r="283" spans="1:19" ht="15.75" customHeight="1" x14ac:dyDescent="0.25">
      <c r="B283" s="8">
        <v>261</v>
      </c>
      <c r="C283">
        <v>60</v>
      </c>
      <c r="D283">
        <v>7.745966692414834</v>
      </c>
      <c r="E283">
        <v>160000</v>
      </c>
      <c r="F283">
        <v>9600000</v>
      </c>
      <c r="G283">
        <v>1239354.6707863736</v>
      </c>
      <c r="H283" s="1">
        <v>6.982271233039568</v>
      </c>
      <c r="I283" s="1">
        <v>5.6029159075133977E-2</v>
      </c>
      <c r="J283" s="10"/>
      <c r="K283" s="6"/>
      <c r="L283" s="6"/>
      <c r="M283" s="6"/>
      <c r="N283" s="10"/>
      <c r="O283" s="15">
        <f t="shared" ref="O283" ca="1" si="136">(F283-F282)/(B283-B282)</f>
        <v>261460.59291395504</v>
      </c>
      <c r="P283" s="16">
        <f t="shared" ref="P283" ca="1" si="137">0.5 *( F283+F282)</f>
        <v>6586666.666666666</v>
      </c>
      <c r="Q283" s="17">
        <f t="shared" ref="Q283" ca="1" si="138">O283/P283</f>
        <v>3.9695434146855529E-2</v>
      </c>
      <c r="R283" s="17">
        <f t="shared" ref="R283" ca="1" si="139">SQRT((16/(B283-B282)^2)*(1/(F283+F282)^4)*((F282^2 * G283^2)+(F283^2*G282^2 )))</f>
        <v>6.0972120157748826E-3</v>
      </c>
      <c r="S283" s="28">
        <f t="shared" ref="S283" ca="1" si="140">LOG10(P283)</f>
        <v>6.818665685531947</v>
      </c>
    </row>
    <row r="284" spans="1:19" ht="15.75" customHeight="1" x14ac:dyDescent="0.2">
      <c r="D284" s="10"/>
      <c r="F284" s="6"/>
      <c r="G284" s="6"/>
      <c r="H284" s="14"/>
      <c r="J284" s="10"/>
      <c r="K284" s="6"/>
      <c r="L284" s="6"/>
      <c r="M284" s="6"/>
      <c r="N284" s="10"/>
    </row>
    <row r="285" spans="1:19" ht="15.75" customHeight="1" x14ac:dyDescent="0.2"/>
    <row r="286" spans="1:19" ht="15.75" customHeight="1" x14ac:dyDescent="0.2"/>
    <row r="287" spans="1:19" ht="15.75" customHeight="1" x14ac:dyDescent="0.2">
      <c r="B287" s="1" t="s">
        <v>42</v>
      </c>
      <c r="F287" s="18" t="s">
        <v>58</v>
      </c>
      <c r="G287" s="18"/>
      <c r="H287" s="18"/>
      <c r="I287" s="1"/>
    </row>
    <row r="288" spans="1:19" ht="15.75" customHeight="1" x14ac:dyDescent="0.2">
      <c r="B288" s="1" t="s">
        <v>44</v>
      </c>
      <c r="F288" s="1" t="s">
        <v>45</v>
      </c>
      <c r="G288" s="1" t="s">
        <v>46</v>
      </c>
      <c r="H288" s="19">
        <f ca="1">(SUM(J273:J277)) * (SUM(K273:K277)) - (SUM(L273:L277))^2</f>
        <v>285319503.24325895</v>
      </c>
      <c r="I288" s="1"/>
    </row>
    <row r="289" spans="1:9" ht="15.75" customHeight="1" x14ac:dyDescent="0.2">
      <c r="B289" s="1" t="s">
        <v>47</v>
      </c>
      <c r="F289" s="1" t="s">
        <v>48</v>
      </c>
      <c r="G289" s="1" t="s">
        <v>49</v>
      </c>
      <c r="H289" s="19">
        <f ca="1">(1/H288)*(SUM(J273:J277)*SUM(M273:M277) - SUM(L273:L277)* SUM(N273:N277))</f>
        <v>8.1665205114961423E-3</v>
      </c>
      <c r="I289" s="1"/>
    </row>
    <row r="290" spans="1:9" ht="15.75" customHeight="1" x14ac:dyDescent="0.2">
      <c r="B290" s="1" t="s">
        <v>50</v>
      </c>
      <c r="F290" s="1"/>
      <c r="G290" s="1" t="s">
        <v>51</v>
      </c>
      <c r="H290" s="19">
        <f ca="1">SQRT((1/H288)*(SUM(J273:J277)))</f>
        <v>1.3977811853487284E-3</v>
      </c>
      <c r="I290" s="1"/>
    </row>
    <row r="291" spans="1:9" ht="15.75" customHeight="1" x14ac:dyDescent="0.2">
      <c r="F291" s="1"/>
      <c r="G291" s="1"/>
      <c r="H291" s="1"/>
      <c r="I291" s="1"/>
    </row>
    <row r="292" spans="1:9" ht="15.75" customHeight="1" x14ac:dyDescent="0.2">
      <c r="F292" s="1" t="s">
        <v>52</v>
      </c>
      <c r="G292" s="1" t="s">
        <v>46</v>
      </c>
      <c r="H292" s="19">
        <f ca="1">(SUM(J280:J282)) * (SUM(K280:K282)) - (SUM(L280:L282))^2</f>
        <v>387568168.79201508</v>
      </c>
      <c r="I292" s="1"/>
    </row>
    <row r="293" spans="1:9" ht="15.75" customHeight="1" x14ac:dyDescent="0.2">
      <c r="F293" s="1" t="s">
        <v>48</v>
      </c>
      <c r="G293" s="1" t="s">
        <v>49</v>
      </c>
      <c r="H293" s="19">
        <f ca="1">(1/H292)*(SUM(J280:J282)*SUM(M280:M282) - SUM(L280:L282)* SUM(N280:N282))</f>
        <v>3.0159338216668326E-2</v>
      </c>
      <c r="I293" s="1"/>
    </row>
    <row r="294" spans="1:9" ht="15.75" customHeight="1" x14ac:dyDescent="0.2">
      <c r="F294" s="1"/>
      <c r="G294" s="1" t="s">
        <v>51</v>
      </c>
      <c r="H294" s="19">
        <f ca="1">SQRT((1/H292)*(SUM(J280:J282)))</f>
        <v>1.6343818308847981E-3</v>
      </c>
      <c r="I294" s="1"/>
    </row>
    <row r="295" spans="1:9" ht="15.75" customHeight="1" x14ac:dyDescent="0.2"/>
    <row r="296" spans="1:9" ht="15.75" customHeight="1" x14ac:dyDescent="0.2"/>
    <row r="297" spans="1:9" ht="15.75" customHeight="1" x14ac:dyDescent="0.2">
      <c r="A297" s="1" t="s">
        <v>63</v>
      </c>
      <c r="C297" s="1" t="s">
        <v>64</v>
      </c>
    </row>
    <row r="298" spans="1:9" ht="15.75" customHeight="1" x14ac:dyDescent="0.2"/>
    <row r="299" spans="1:9" ht="15.75" customHeight="1" x14ac:dyDescent="0.2">
      <c r="A299" s="1" t="s">
        <v>2</v>
      </c>
      <c r="B299" s="1" t="s">
        <v>65</v>
      </c>
      <c r="C299" s="1" t="s">
        <v>66</v>
      </c>
      <c r="D299" s="1" t="s">
        <v>67</v>
      </c>
      <c r="E299" s="1" t="s">
        <v>66</v>
      </c>
      <c r="F299" s="1" t="s">
        <v>68</v>
      </c>
      <c r="G299" s="1" t="s">
        <v>66</v>
      </c>
      <c r="H299" s="23" t="s">
        <v>69</v>
      </c>
      <c r="I299" s="1" t="s">
        <v>70</v>
      </c>
    </row>
    <row r="300" spans="1:9" ht="15.75" customHeight="1" x14ac:dyDescent="0.2">
      <c r="A300" s="1" t="s">
        <v>7</v>
      </c>
      <c r="B300" s="19">
        <f ca="1">OFFSET(H157,0,0)</f>
        <v>9.7887364548247466E-3</v>
      </c>
      <c r="C300" s="24">
        <f ca="1">OFFSET(H157,1,0)</f>
        <v>8.0830429451711971E-4</v>
      </c>
      <c r="D300" s="24">
        <f ca="1">OFFSET(H157,4,0)</f>
        <v>2.9022550030476966E-2</v>
      </c>
      <c r="E300" s="24">
        <f ca="1">OFFSET(H157,5,0)</f>
        <v>1.2528697315570497E-3</v>
      </c>
      <c r="F300" s="10">
        <f t="shared" ref="F300:F305" ca="1" si="141">D300/B300</f>
        <v>2.9648923703704488</v>
      </c>
      <c r="G300" s="10">
        <f t="shared" ref="G300:G305" ca="1" si="142">F300* SQRT(((E300/D300)^2 + (C300/B300)^2))</f>
        <v>0.2762632026431377</v>
      </c>
      <c r="H300" s="6">
        <f t="shared" ref="H300:H305" ca="1" si="143">D300-B300</f>
        <v>1.9233813575652219E-2</v>
      </c>
      <c r="I300" s="25">
        <f t="shared" ref="I300:I305" ca="1" si="144">SQRT(C300^2 +E300^2)</f>
        <v>1.4909857131396843E-3</v>
      </c>
    </row>
    <row r="301" spans="1:9" ht="15.75" customHeight="1" x14ac:dyDescent="0.2">
      <c r="A301" s="1" t="s">
        <v>71</v>
      </c>
      <c r="B301" s="6">
        <f ca="1">OFFSET(H185,0,0)</f>
        <v>8.5130563129047748E-3</v>
      </c>
      <c r="C301" s="6">
        <f ca="1">OFFSET(H185,1,0)</f>
        <v>1.2392001052806353E-3</v>
      </c>
      <c r="D301" s="24">
        <f ca="1">OFFSET(H185,4,0)</f>
        <v>3.7654374051985913E-2</v>
      </c>
      <c r="E301" s="24">
        <f ca="1">OFFSET(H185,5,0)</f>
        <v>1.5777845664493597E-3</v>
      </c>
      <c r="F301" s="10">
        <f t="shared" ca="1" si="141"/>
        <v>4.4231322650722262</v>
      </c>
      <c r="G301" s="10">
        <f t="shared" ca="1" si="142"/>
        <v>0.66999616015157915</v>
      </c>
      <c r="H301" s="6">
        <f t="shared" ca="1" si="143"/>
        <v>2.9141317739081136E-2</v>
      </c>
      <c r="I301" s="25">
        <f t="shared" ca="1" si="144"/>
        <v>2.006245508170257E-3</v>
      </c>
    </row>
    <row r="302" spans="1:9" ht="15.75" customHeight="1" x14ac:dyDescent="0.2">
      <c r="A302" s="1" t="s">
        <v>72</v>
      </c>
      <c r="B302" s="6">
        <f ca="1">OFFSET(H211,0,0)</f>
        <v>1.0465462946989702E-2</v>
      </c>
      <c r="C302" s="6">
        <f ca="1">OFFSET(H211,1,0)</f>
        <v>1.2614090571248812E-3</v>
      </c>
      <c r="D302" s="24">
        <f ca="1">OFFSET(H211,4,0)</f>
        <v>2.6542583223484614E-2</v>
      </c>
      <c r="E302" s="24">
        <f ca="1">OFFSET(H211,5,0)</f>
        <v>1.7986557968485241E-3</v>
      </c>
      <c r="F302" s="10">
        <f t="shared" ca="1" si="141"/>
        <v>2.5362072712817119</v>
      </c>
      <c r="G302" s="10">
        <f t="shared" ca="1" si="142"/>
        <v>0.35069172452607472</v>
      </c>
      <c r="H302" s="6">
        <f t="shared" ca="1" si="143"/>
        <v>1.6077120276494911E-2</v>
      </c>
      <c r="I302" s="25">
        <f t="shared" ca="1" si="144"/>
        <v>2.1968876814560823E-3</v>
      </c>
    </row>
    <row r="303" spans="1:9" ht="15.75" customHeight="1" x14ac:dyDescent="0.2">
      <c r="A303" s="1" t="s">
        <v>73</v>
      </c>
      <c r="B303" s="6">
        <f ca="1">OFFSET(H237,0,0)</f>
        <v>9.7717996642181799E-3</v>
      </c>
      <c r="C303" s="6">
        <f ca="1">OFFSET(H237,1,0)</f>
        <v>1.237487509175166E-3</v>
      </c>
      <c r="D303" s="24">
        <f ca="1">OFFSET(H237,4,0)</f>
        <v>2.2437611981127547E-2</v>
      </c>
      <c r="E303" s="24">
        <f ca="1">OFFSET(H237,5,0)</f>
        <v>1.9258377804165796E-3</v>
      </c>
      <c r="F303" s="10">
        <f t="shared" ca="1" si="141"/>
        <v>2.2961596381563489</v>
      </c>
      <c r="G303" s="10">
        <f t="shared" ca="1" si="142"/>
        <v>0.35127693426647166</v>
      </c>
      <c r="H303" s="6">
        <f t="shared" ca="1" si="143"/>
        <v>1.2665812316909367E-2</v>
      </c>
      <c r="I303" s="25">
        <f t="shared" ca="1" si="144"/>
        <v>2.2891540996281606E-3</v>
      </c>
    </row>
    <row r="304" spans="1:9" ht="15.75" customHeight="1" x14ac:dyDescent="0.2">
      <c r="A304" s="1" t="s">
        <v>74</v>
      </c>
      <c r="B304" s="6">
        <f ca="1">OFFSET(H263,0,0)</f>
        <v>1.0870784075085935E-2</v>
      </c>
      <c r="C304" s="6">
        <f ca="1">OFFSET(H263,1,0)</f>
        <v>1.006087501584611E-3</v>
      </c>
      <c r="D304" s="24">
        <f ca="1">OFFSET(H263,4,0)</f>
        <v>3.4154182609158382E-2</v>
      </c>
      <c r="E304" s="24">
        <f ca="1">OFFSET(H263,5,0)</f>
        <v>1.5614951712188865E-3</v>
      </c>
      <c r="F304" s="10">
        <f t="shared" ca="1" si="141"/>
        <v>3.1418324909455428</v>
      </c>
      <c r="G304" s="10">
        <f t="shared" ca="1" si="142"/>
        <v>0.32431974345671116</v>
      </c>
      <c r="H304" s="6">
        <f t="shared" ca="1" si="143"/>
        <v>2.3283398534072446E-2</v>
      </c>
      <c r="I304" s="25">
        <f t="shared" ca="1" si="144"/>
        <v>1.8575465621579084E-3</v>
      </c>
    </row>
    <row r="305" spans="1:9" ht="15.75" customHeight="1" x14ac:dyDescent="0.2">
      <c r="A305" s="1" t="s">
        <v>75</v>
      </c>
      <c r="B305" s="6">
        <f ca="1">OFFSET(H289,0,0)</f>
        <v>8.1665205114961423E-3</v>
      </c>
      <c r="C305" s="6">
        <f ca="1">OFFSET(H289,1,0)</f>
        <v>1.3977811853487284E-3</v>
      </c>
      <c r="D305" s="24">
        <f ca="1">OFFSET(H289,4,0)</f>
        <v>3.0159338216668326E-2</v>
      </c>
      <c r="E305" s="24">
        <f ca="1">OFFSET(H289,5,0)</f>
        <v>1.6343818308847981E-3</v>
      </c>
      <c r="F305" s="10">
        <f t="shared" ca="1" si="141"/>
        <v>3.6930462825890831</v>
      </c>
      <c r="G305" s="10">
        <f t="shared" ca="1" si="142"/>
        <v>0.6630273197599853</v>
      </c>
      <c r="H305" s="6">
        <f t="shared" ca="1" si="143"/>
        <v>2.1992817705172182E-2</v>
      </c>
      <c r="I305" s="25">
        <f t="shared" ca="1" si="144"/>
        <v>2.1505804358919575E-3</v>
      </c>
    </row>
    <row r="306" spans="1:9" ht="15.75" customHeight="1" x14ac:dyDescent="0.2"/>
    <row r="307" spans="1:9" ht="15.75" customHeight="1" x14ac:dyDescent="0.2">
      <c r="A307" s="1" t="s">
        <v>76</v>
      </c>
    </row>
    <row r="308" spans="1:9" ht="15.75" customHeight="1" x14ac:dyDescent="0.2">
      <c r="A308" s="1" t="s">
        <v>77</v>
      </c>
    </row>
    <row r="309" spans="1:9" ht="15.75" customHeight="1" x14ac:dyDescent="0.2"/>
    <row r="310" spans="1:9" ht="15.75" customHeight="1" x14ac:dyDescent="0.2"/>
    <row r="311" spans="1:9" ht="15.75" customHeight="1" x14ac:dyDescent="0.2">
      <c r="A311" s="1"/>
    </row>
    <row r="312" spans="1:9" ht="15.75" customHeight="1" x14ac:dyDescent="0.2">
      <c r="C312" s="1" t="s">
        <v>78</v>
      </c>
    </row>
    <row r="313" spans="1:9" ht="15.75" customHeight="1" x14ac:dyDescent="0.2"/>
    <row r="314" spans="1:9" ht="15.75" customHeight="1" x14ac:dyDescent="0.2"/>
    <row r="315" spans="1:9" ht="15.75" customHeight="1" x14ac:dyDescent="0.2"/>
    <row r="316" spans="1:9" ht="15.75" customHeight="1" x14ac:dyDescent="0.2"/>
    <row r="317" spans="1:9" ht="15.75" customHeight="1" x14ac:dyDescent="0.2"/>
    <row r="318" spans="1:9" ht="15.75" customHeight="1" x14ac:dyDescent="0.2"/>
    <row r="319" spans="1:9" ht="15.75" customHeight="1" x14ac:dyDescent="0.2"/>
    <row r="320" spans="1:9" ht="15.75" customHeight="1" x14ac:dyDescent="0.2"/>
    <row r="321" spans="3:3" ht="15.75" customHeight="1" x14ac:dyDescent="0.2"/>
    <row r="322" spans="3:3" ht="15.75" customHeight="1" x14ac:dyDescent="0.2"/>
    <row r="323" spans="3:3" ht="15.75" customHeight="1" x14ac:dyDescent="0.2"/>
    <row r="324" spans="3:3" ht="15.75" customHeight="1" x14ac:dyDescent="0.2"/>
    <row r="325" spans="3:3" ht="15.75" customHeight="1" x14ac:dyDescent="0.2"/>
    <row r="326" spans="3:3" ht="15.75" customHeight="1" x14ac:dyDescent="0.2">
      <c r="C326" s="26" t="s">
        <v>80</v>
      </c>
    </row>
    <row r="327" spans="3:3" ht="15.75" customHeight="1" x14ac:dyDescent="0.2"/>
    <row r="328" spans="3:3" ht="15.75" customHeight="1" x14ac:dyDescent="0.2"/>
    <row r="329" spans="3:3" ht="15.75" customHeight="1" x14ac:dyDescent="0.2"/>
    <row r="330" spans="3:3" ht="15.75" customHeight="1" x14ac:dyDescent="0.2"/>
    <row r="331" spans="3:3" ht="15.75" customHeight="1" x14ac:dyDescent="0.2"/>
    <row r="332" spans="3:3" ht="15.75" customHeight="1" x14ac:dyDescent="0.2"/>
    <row r="333" spans="3:3" ht="15.75" customHeight="1" x14ac:dyDescent="0.2"/>
    <row r="334" spans="3:3" ht="15.75" customHeight="1" x14ac:dyDescent="0.2"/>
    <row r="335" spans="3:3" ht="15.75" customHeight="1" x14ac:dyDescent="0.2"/>
    <row r="336" spans="3:3" ht="15.75" customHeight="1" x14ac:dyDescent="0.2"/>
    <row r="337" spans="1:19" ht="15.75" customHeight="1" x14ac:dyDescent="0.2"/>
    <row r="338" spans="1:19" ht="15.75" customHeight="1" x14ac:dyDescent="0.2"/>
    <row r="339" spans="1:19" ht="15.75" customHeight="1" x14ac:dyDescent="0.2"/>
    <row r="340" spans="1:19" ht="15.75" customHeight="1" x14ac:dyDescent="0.2"/>
    <row r="341" spans="1:19" ht="15.75" customHeight="1" x14ac:dyDescent="0.2">
      <c r="A341" t="s">
        <v>115</v>
      </c>
    </row>
    <row r="342" spans="1:19" ht="15.75" customHeight="1" x14ac:dyDescent="0.2"/>
    <row r="343" spans="1:19" ht="15.75" customHeight="1" x14ac:dyDescent="0.2">
      <c r="A343" s="29" t="s">
        <v>81</v>
      </c>
      <c r="B343" s="30"/>
      <c r="C343" s="30"/>
      <c r="D343" s="31"/>
      <c r="E343" s="29"/>
      <c r="F343" s="30"/>
      <c r="G343" s="30"/>
      <c r="H343" s="30"/>
      <c r="I343" s="1" t="s">
        <v>82</v>
      </c>
      <c r="J343" s="30"/>
      <c r="K343" s="30"/>
      <c r="L343" s="30"/>
      <c r="M343" s="30"/>
      <c r="N343" s="30"/>
      <c r="O343" s="30"/>
      <c r="P343" s="30"/>
    </row>
    <row r="344" spans="1:19" ht="27" customHeight="1" x14ac:dyDescent="0.2">
      <c r="A344" s="29" t="s">
        <v>24</v>
      </c>
      <c r="B344" s="32" t="s">
        <v>83</v>
      </c>
      <c r="C344" s="29" t="s">
        <v>84</v>
      </c>
      <c r="D344" s="31" t="s">
        <v>85</v>
      </c>
      <c r="E344" s="32" t="s">
        <v>86</v>
      </c>
      <c r="F344" s="29" t="s">
        <v>55</v>
      </c>
      <c r="G344" s="29" t="s">
        <v>30</v>
      </c>
      <c r="H344" s="29" t="s">
        <v>31</v>
      </c>
      <c r="I344" s="29" t="s">
        <v>32</v>
      </c>
      <c r="J344" s="29" t="s">
        <v>87</v>
      </c>
      <c r="K344" s="29" t="s">
        <v>88</v>
      </c>
      <c r="L344" s="29" t="s">
        <v>35</v>
      </c>
      <c r="M344" s="29" t="s">
        <v>89</v>
      </c>
      <c r="N344" s="29" t="s">
        <v>90</v>
      </c>
      <c r="O344" s="1" t="s">
        <v>38</v>
      </c>
      <c r="P344" s="12" t="s">
        <v>39</v>
      </c>
      <c r="Q344" s="13" t="s">
        <v>40</v>
      </c>
      <c r="R344" s="12" t="s">
        <v>41</v>
      </c>
      <c r="S344" s="27" t="s">
        <v>79</v>
      </c>
    </row>
    <row r="345" spans="1:19" ht="15.75" customHeight="1" x14ac:dyDescent="0.2">
      <c r="A345" s="29">
        <v>1</v>
      </c>
      <c r="B345" s="33">
        <v>-23.18</v>
      </c>
      <c r="C345" s="29">
        <v>17</v>
      </c>
      <c r="D345" s="31">
        <f t="shared" ref="D345:D355" si="145">SQRT(C345)</f>
        <v>4.1231056256176606</v>
      </c>
      <c r="E345" s="31">
        <f>(40/20) * 20</f>
        <v>40</v>
      </c>
      <c r="F345" s="31">
        <f t="shared" ref="F345:F355" si="146">C345*E345</f>
        <v>680</v>
      </c>
      <c r="G345" s="31">
        <f t="shared" ref="G345:G355" si="147">D345*E345</f>
        <v>164.92422502470643</v>
      </c>
      <c r="H345" s="34">
        <f t="shared" ref="H345:H355" si="148">LOG10(F345)</f>
        <v>2.8325089127062362</v>
      </c>
      <c r="I345" s="31">
        <f t="shared" ref="I345:I355" si="149">0.434 * G345/F345</f>
        <v>0.10526046126576852</v>
      </c>
      <c r="J345" s="35">
        <f t="shared" ref="J345:J355" si="150">(1/I345^2)</f>
        <v>90.254624222217487</v>
      </c>
      <c r="K345" s="31">
        <f t="shared" ref="K345:K355" si="151">B345^2 * J345</f>
        <v>48494.928751937812</v>
      </c>
      <c r="L345" s="31">
        <f t="shared" ref="L345:L355" si="152">B345 * J345</f>
        <v>-2092.1021894710011</v>
      </c>
      <c r="M345" s="31">
        <f t="shared" ref="M345:M355" si="153">B345*H345*J345</f>
        <v>-5925.8980979688422</v>
      </c>
      <c r="N345" s="35">
        <f t="shared" ref="N345:N355" si="154">H345*J345</f>
        <v>255.64702752238318</v>
      </c>
    </row>
    <row r="346" spans="1:19" ht="15.75" customHeight="1" x14ac:dyDescent="0.2">
      <c r="A346" s="29">
        <f t="shared" ref="A346:A352" si="155">A345+1</f>
        <v>2</v>
      </c>
      <c r="B346" s="35">
        <v>6.27</v>
      </c>
      <c r="C346" s="29">
        <v>31</v>
      </c>
      <c r="D346" s="31">
        <f t="shared" si="145"/>
        <v>5.5677643628300215</v>
      </c>
      <c r="E346" s="31">
        <v>20</v>
      </c>
      <c r="F346" s="31">
        <f t="shared" si="146"/>
        <v>620</v>
      </c>
      <c r="G346" s="31">
        <f t="shared" si="147"/>
        <v>111.35528725660043</v>
      </c>
      <c r="H346" s="34">
        <f t="shared" si="148"/>
        <v>2.7923916894982539</v>
      </c>
      <c r="I346" s="31">
        <f t="shared" si="149"/>
        <v>7.7948701079620292E-2</v>
      </c>
      <c r="J346" s="35">
        <f t="shared" si="150"/>
        <v>164.58196181698494</v>
      </c>
      <c r="K346" s="31">
        <f t="shared" si="151"/>
        <v>6470.1942067149457</v>
      </c>
      <c r="L346" s="31">
        <f t="shared" si="152"/>
        <v>1031.9289005924954</v>
      </c>
      <c r="M346" s="31">
        <f t="shared" si="153"/>
        <v>2881.5496861675547</v>
      </c>
      <c r="N346" s="35">
        <f t="shared" si="154"/>
        <v>459.57730241906768</v>
      </c>
      <c r="O346" s="15">
        <f t="shared" ref="O346:O355" si="156">(F346-F345)/(B346-B345)</f>
        <v>-2.037351443123939</v>
      </c>
      <c r="P346" s="16">
        <f t="shared" ref="P346:P355" si="157">0.5 *( F346+F345)</f>
        <v>650</v>
      </c>
      <c r="Q346" s="17">
        <f t="shared" ref="Q346:Q355" si="158">O346/P346</f>
        <v>-3.1343868355752907E-3</v>
      </c>
      <c r="R346" s="17">
        <f t="shared" ref="R346:R355" si="159">SQRT((16/(B346-B345)^2)*(1/(F346+F345)^4)*((F345^2 * G346^2)+(F346^2*G345^2 )))</f>
        <v>1.0225955556263624E-2</v>
      </c>
      <c r="S346" s="28">
        <f>LOG10(P346)</f>
        <v>2.8129133566428557</v>
      </c>
    </row>
    <row r="347" spans="1:19" ht="15.75" customHeight="1" x14ac:dyDescent="0.2">
      <c r="A347" s="29">
        <f t="shared" si="155"/>
        <v>3</v>
      </c>
      <c r="B347" s="36">
        <v>27.61</v>
      </c>
      <c r="C347" s="29">
        <v>76</v>
      </c>
      <c r="D347" s="31">
        <f t="shared" si="145"/>
        <v>8.717797887081348</v>
      </c>
      <c r="E347" s="31">
        <v>20</v>
      </c>
      <c r="F347" s="31">
        <f t="shared" si="146"/>
        <v>1520</v>
      </c>
      <c r="G347" s="31">
        <f t="shared" si="147"/>
        <v>174.35595774162695</v>
      </c>
      <c r="H347" s="34">
        <f t="shared" si="148"/>
        <v>3.1818435879447726</v>
      </c>
      <c r="I347" s="31">
        <f t="shared" si="149"/>
        <v>4.978321424991191E-2</v>
      </c>
      <c r="J347" s="35">
        <f t="shared" si="150"/>
        <v>403.49126122873696</v>
      </c>
      <c r="K347" s="31">
        <f t="shared" si="151"/>
        <v>307586.27067892707</v>
      </c>
      <c r="L347" s="31">
        <f t="shared" si="152"/>
        <v>11140.393722525427</v>
      </c>
      <c r="M347" s="31">
        <f t="shared" si="153"/>
        <v>35446.990333197726</v>
      </c>
      <c r="N347" s="35">
        <f t="shared" si="154"/>
        <v>1283.846082332406</v>
      </c>
      <c r="O347" s="15">
        <f t="shared" si="156"/>
        <v>42.174320524835991</v>
      </c>
      <c r="P347" s="16">
        <f t="shared" si="157"/>
        <v>1070</v>
      </c>
      <c r="Q347" s="17">
        <f t="shared" si="158"/>
        <v>3.9415252826949528E-2</v>
      </c>
      <c r="R347" s="17">
        <f t="shared" si="159"/>
        <v>8.2201085528301621E-3</v>
      </c>
      <c r="S347" s="28">
        <f t="shared" ref="S347:S355" si="160">LOG10(P347)</f>
        <v>3.0293837776852097</v>
      </c>
    </row>
    <row r="348" spans="1:19" ht="15.75" customHeight="1" x14ac:dyDescent="0.2">
      <c r="A348" s="29">
        <f t="shared" si="155"/>
        <v>4</v>
      </c>
      <c r="B348" s="37">
        <v>55.11</v>
      </c>
      <c r="C348" s="29">
        <v>115</v>
      </c>
      <c r="D348" s="31">
        <f t="shared" si="145"/>
        <v>10.723805294763608</v>
      </c>
      <c r="E348" s="31">
        <v>20</v>
      </c>
      <c r="F348" s="31">
        <f t="shared" si="146"/>
        <v>2300</v>
      </c>
      <c r="G348" s="31">
        <f t="shared" si="147"/>
        <v>214.47610589527216</v>
      </c>
      <c r="H348" s="34">
        <f t="shared" si="148"/>
        <v>3.3617278360175931</v>
      </c>
      <c r="I348" s="31">
        <f t="shared" si="149"/>
        <v>4.0470708677629613E-2</v>
      </c>
      <c r="J348" s="35">
        <f t="shared" si="150"/>
        <v>610.54598738558911</v>
      </c>
      <c r="K348" s="31">
        <f t="shared" si="151"/>
        <v>1854296.6058952201</v>
      </c>
      <c r="L348" s="31">
        <f t="shared" si="152"/>
        <v>33647.189364819817</v>
      </c>
      <c r="M348" s="31">
        <f t="shared" si="153"/>
        <v>113112.69309146989</v>
      </c>
      <c r="N348" s="35">
        <f t="shared" si="154"/>
        <v>2052.489440962981</v>
      </c>
      <c r="O348" s="15">
        <f t="shared" si="156"/>
        <v>28.363636363636363</v>
      </c>
      <c r="P348" s="16">
        <f t="shared" si="157"/>
        <v>1910</v>
      </c>
      <c r="Q348" s="17">
        <f t="shared" si="158"/>
        <v>1.4850071394574012E-2</v>
      </c>
      <c r="R348" s="17">
        <f t="shared" si="159"/>
        <v>5.1514912078464399E-3</v>
      </c>
      <c r="S348" s="28">
        <f t="shared" si="160"/>
        <v>3.2810333672477277</v>
      </c>
    </row>
    <row r="349" spans="1:19" ht="15.75" customHeight="1" x14ac:dyDescent="0.2">
      <c r="A349" s="29">
        <f t="shared" si="155"/>
        <v>5</v>
      </c>
      <c r="B349" s="36">
        <v>73.510000000000005</v>
      </c>
      <c r="C349" s="29">
        <v>258</v>
      </c>
      <c r="D349" s="31">
        <f t="shared" si="145"/>
        <v>16.06237840420901</v>
      </c>
      <c r="E349" s="31">
        <v>20</v>
      </c>
      <c r="F349" s="31">
        <f t="shared" si="146"/>
        <v>5160</v>
      </c>
      <c r="G349" s="31">
        <f t="shared" si="147"/>
        <v>321.24756808418022</v>
      </c>
      <c r="H349" s="34">
        <f t="shared" si="148"/>
        <v>3.7126497016272113</v>
      </c>
      <c r="I349" s="31">
        <f t="shared" si="149"/>
        <v>2.7019659796227564E-2</v>
      </c>
      <c r="J349" s="35">
        <f t="shared" si="150"/>
        <v>1369.7466499607124</v>
      </c>
      <c r="K349" s="31">
        <f t="shared" si="151"/>
        <v>7401727.5043003662</v>
      </c>
      <c r="L349" s="31">
        <f t="shared" si="152"/>
        <v>100690.07623861197</v>
      </c>
      <c r="M349" s="31">
        <f t="shared" si="153"/>
        <v>373826.98150410393</v>
      </c>
      <c r="N349" s="35">
        <f t="shared" si="154"/>
        <v>5085.3894912815113</v>
      </c>
      <c r="O349" s="15">
        <f t="shared" si="156"/>
        <v>155.4347826086956</v>
      </c>
      <c r="P349" s="16">
        <f t="shared" si="157"/>
        <v>3730</v>
      </c>
      <c r="Q349" s="17">
        <f t="shared" si="158"/>
        <v>4.1671523487585953E-2</v>
      </c>
      <c r="R349" s="17">
        <f t="shared" si="159"/>
        <v>5.1980169790062369E-3</v>
      </c>
      <c r="S349" s="28">
        <f t="shared" si="160"/>
        <v>3.5717088318086878</v>
      </c>
    </row>
    <row r="350" spans="1:19" ht="15.75" customHeight="1" x14ac:dyDescent="0.2">
      <c r="A350" s="29">
        <f t="shared" si="155"/>
        <v>6</v>
      </c>
      <c r="B350" s="36">
        <v>96.97</v>
      </c>
      <c r="C350" s="29">
        <v>470</v>
      </c>
      <c r="D350" s="31">
        <f t="shared" si="145"/>
        <v>21.679483388678801</v>
      </c>
      <c r="E350" s="31">
        <v>20</v>
      </c>
      <c r="F350" s="31">
        <f t="shared" si="146"/>
        <v>9400</v>
      </c>
      <c r="G350" s="31">
        <f t="shared" si="147"/>
        <v>433.58966777357602</v>
      </c>
      <c r="H350" s="34">
        <f t="shared" si="148"/>
        <v>3.9731278535996988</v>
      </c>
      <c r="I350" s="31">
        <f t="shared" si="149"/>
        <v>2.0018927214226809E-2</v>
      </c>
      <c r="J350" s="35">
        <f t="shared" si="150"/>
        <v>2495.2749049671893</v>
      </c>
      <c r="K350" s="31">
        <f t="shared" si="151"/>
        <v>23463521.326636788</v>
      </c>
      <c r="L350" s="31">
        <f t="shared" si="152"/>
        <v>241966.80753466833</v>
      </c>
      <c r="M350" s="31">
        <f t="shared" si="153"/>
        <v>961365.0626625882</v>
      </c>
      <c r="N350" s="35">
        <f t="shared" si="154"/>
        <v>9914.0462273134817</v>
      </c>
      <c r="O350" s="15">
        <f t="shared" si="156"/>
        <v>180.73316283034958</v>
      </c>
      <c r="P350" s="16">
        <f t="shared" si="157"/>
        <v>7280</v>
      </c>
      <c r="Q350" s="17">
        <f t="shared" si="158"/>
        <v>2.4825983905267801E-2</v>
      </c>
      <c r="R350" s="17">
        <f t="shared" si="159"/>
        <v>3.02269060754301E-3</v>
      </c>
      <c r="S350" s="28">
        <f t="shared" si="160"/>
        <v>3.8621313793130372</v>
      </c>
    </row>
    <row r="351" spans="1:19" ht="15.75" customHeight="1" x14ac:dyDescent="0.2">
      <c r="A351" s="29">
        <f t="shared" si="155"/>
        <v>7</v>
      </c>
      <c r="B351" s="37">
        <v>114.96</v>
      </c>
      <c r="C351" s="29">
        <v>752</v>
      </c>
      <c r="D351" s="31">
        <f t="shared" si="145"/>
        <v>27.422618401604176</v>
      </c>
      <c r="E351" s="31">
        <v>20</v>
      </c>
      <c r="F351" s="31">
        <f t="shared" si="146"/>
        <v>15040</v>
      </c>
      <c r="G351" s="31">
        <f t="shared" si="147"/>
        <v>548.45236803208354</v>
      </c>
      <c r="H351" s="34">
        <f t="shared" si="148"/>
        <v>4.1772478362556233</v>
      </c>
      <c r="I351" s="31">
        <f t="shared" si="149"/>
        <v>1.5826351577521557E-2</v>
      </c>
      <c r="J351" s="35">
        <f t="shared" si="150"/>
        <v>3992.4398479475049</v>
      </c>
      <c r="K351" s="31">
        <f t="shared" si="151"/>
        <v>52763292.930408388</v>
      </c>
      <c r="L351" s="31">
        <f t="shared" si="152"/>
        <v>458970.88492004515</v>
      </c>
      <c r="M351" s="31">
        <f t="shared" si="153"/>
        <v>1917235.1359365871</v>
      </c>
      <c r="N351" s="35">
        <f t="shared" si="154"/>
        <v>16677.410716219445</v>
      </c>
      <c r="O351" s="15">
        <f t="shared" si="156"/>
        <v>313.50750416898285</v>
      </c>
      <c r="P351" s="16">
        <f t="shared" si="157"/>
        <v>12220</v>
      </c>
      <c r="Q351" s="17">
        <f t="shared" si="158"/>
        <v>2.5655278573566517E-2</v>
      </c>
      <c r="R351" s="17">
        <f t="shared" si="159"/>
        <v>3.0944243393848732E-3</v>
      </c>
      <c r="S351" s="28">
        <f t="shared" si="160"/>
        <v>4.0870712059065353</v>
      </c>
    </row>
    <row r="352" spans="1:19" ht="15.75" customHeight="1" x14ac:dyDescent="0.2">
      <c r="A352" s="29">
        <f t="shared" si="155"/>
        <v>8</v>
      </c>
      <c r="B352" s="36">
        <v>150.27000000000001</v>
      </c>
      <c r="C352" s="29">
        <v>36</v>
      </c>
      <c r="D352" s="31">
        <f t="shared" si="145"/>
        <v>6</v>
      </c>
      <c r="E352" s="31">
        <f t="shared" ref="E352:E353" si="161">(1/4)*10000</f>
        <v>2500</v>
      </c>
      <c r="F352" s="31">
        <f t="shared" si="146"/>
        <v>90000</v>
      </c>
      <c r="G352" s="31">
        <f t="shared" si="147"/>
        <v>15000</v>
      </c>
      <c r="H352" s="34">
        <f t="shared" si="148"/>
        <v>4.9542425094393252</v>
      </c>
      <c r="I352" s="31">
        <f t="shared" si="149"/>
        <v>7.2333333333333333E-2</v>
      </c>
      <c r="J352" s="35">
        <f t="shared" si="150"/>
        <v>191.12743952940178</v>
      </c>
      <c r="K352" s="31">
        <f t="shared" si="151"/>
        <v>4315862.6452037636</v>
      </c>
      <c r="L352" s="31">
        <f t="shared" si="152"/>
        <v>28720.720338083207</v>
      </c>
      <c r="M352" s="31">
        <f t="shared" si="153"/>
        <v>142289.41360065041</v>
      </c>
      <c r="N352" s="35">
        <f t="shared" si="154"/>
        <v>946.89168563685632</v>
      </c>
      <c r="O352" s="15">
        <f t="shared" si="156"/>
        <v>2122.9113565562152</v>
      </c>
      <c r="P352" s="16">
        <f t="shared" si="157"/>
        <v>52520</v>
      </c>
      <c r="Q352" s="17">
        <f t="shared" si="158"/>
        <v>4.0421008312189928E-2</v>
      </c>
      <c r="R352" s="17">
        <f t="shared" si="159"/>
        <v>2.3710795855328452E-3</v>
      </c>
      <c r="S352" s="28">
        <f t="shared" si="160"/>
        <v>4.7203247174174416</v>
      </c>
    </row>
    <row r="353" spans="1:19" ht="15.75" customHeight="1" x14ac:dyDescent="0.25">
      <c r="A353" s="29">
        <v>9</v>
      </c>
      <c r="B353" s="38">
        <v>164.02</v>
      </c>
      <c r="C353" s="29">
        <v>65</v>
      </c>
      <c r="D353" s="31">
        <f t="shared" si="145"/>
        <v>8.0622577482985491</v>
      </c>
      <c r="E353" s="31">
        <f t="shared" si="161"/>
        <v>2500</v>
      </c>
      <c r="F353" s="31">
        <f t="shared" si="146"/>
        <v>162500</v>
      </c>
      <c r="G353" s="31">
        <f t="shared" si="147"/>
        <v>20155.644370746373</v>
      </c>
      <c r="H353" s="34">
        <f t="shared" si="148"/>
        <v>5.2108533653148932</v>
      </c>
      <c r="I353" s="31">
        <f t="shared" si="149"/>
        <v>5.3831074811716464E-2</v>
      </c>
      <c r="J353" s="35">
        <f t="shared" si="150"/>
        <v>345.09121026141992</v>
      </c>
      <c r="K353" s="31">
        <f t="shared" si="151"/>
        <v>9283837.1275669504</v>
      </c>
      <c r="L353" s="31">
        <f t="shared" si="152"/>
        <v>56601.860307078096</v>
      </c>
      <c r="M353" s="31">
        <f t="shared" si="153"/>
        <v>294943.9942642214</v>
      </c>
      <c r="N353" s="35">
        <f t="shared" si="154"/>
        <v>1798.2196943313095</v>
      </c>
      <c r="O353" s="15">
        <f t="shared" si="156"/>
        <v>5272.727272727273</v>
      </c>
      <c r="P353" s="16">
        <f t="shared" si="157"/>
        <v>126250</v>
      </c>
      <c r="Q353" s="17">
        <f t="shared" si="158"/>
        <v>4.1764176417641768E-2</v>
      </c>
      <c r="R353" s="17">
        <f t="shared" si="159"/>
        <v>1.386382798335027E-2</v>
      </c>
      <c r="S353" s="28">
        <f t="shared" si="160"/>
        <v>5.1012313867906993</v>
      </c>
    </row>
    <row r="354" spans="1:19" ht="15.75" customHeight="1" x14ac:dyDescent="0.2">
      <c r="A354" s="29">
        <v>10</v>
      </c>
      <c r="B354" s="39">
        <v>197.44</v>
      </c>
      <c r="C354" s="29">
        <v>400</v>
      </c>
      <c r="D354" s="31">
        <f t="shared" si="145"/>
        <v>20</v>
      </c>
      <c r="E354" s="31">
        <v>10000</v>
      </c>
      <c r="F354" s="31">
        <f t="shared" si="146"/>
        <v>4000000</v>
      </c>
      <c r="G354" s="31">
        <f t="shared" si="147"/>
        <v>200000</v>
      </c>
      <c r="H354" s="34">
        <f t="shared" si="148"/>
        <v>6.6020599913279625</v>
      </c>
      <c r="I354" s="31">
        <f t="shared" si="149"/>
        <v>2.1700000000000001E-2</v>
      </c>
      <c r="J354" s="35">
        <f t="shared" si="150"/>
        <v>2123.6382169933531</v>
      </c>
      <c r="K354" s="31">
        <f t="shared" si="151"/>
        <v>82784840.620951816</v>
      </c>
      <c r="L354" s="31">
        <f t="shared" si="152"/>
        <v>419291.12956316763</v>
      </c>
      <c r="M354" s="31">
        <f t="shared" si="153"/>
        <v>2768185.1912076981</v>
      </c>
      <c r="N354" s="35">
        <f t="shared" si="154"/>
        <v>14020.386908466866</v>
      </c>
      <c r="O354" s="15">
        <f t="shared" si="156"/>
        <v>114826.45122681034</v>
      </c>
      <c r="P354" s="16">
        <f t="shared" si="157"/>
        <v>2081250</v>
      </c>
      <c r="Q354" s="17">
        <f t="shared" si="158"/>
        <v>5.5171868457326294E-2</v>
      </c>
      <c r="R354" s="17">
        <f t="shared" si="159"/>
        <v>6.0047953649957286E-4</v>
      </c>
      <c r="S354" s="28">
        <f t="shared" si="160"/>
        <v>6.3183242508503952</v>
      </c>
    </row>
    <row r="355" spans="1:19" ht="15.75" customHeight="1" x14ac:dyDescent="0.2">
      <c r="A355" s="29">
        <v>11</v>
      </c>
      <c r="B355" s="29">
        <v>215.97</v>
      </c>
      <c r="C355" s="29">
        <v>506</v>
      </c>
      <c r="D355" s="31">
        <f t="shared" si="145"/>
        <v>22.494443758403985</v>
      </c>
      <c r="E355" s="31">
        <v>10000</v>
      </c>
      <c r="F355" s="31">
        <f t="shared" si="146"/>
        <v>5060000</v>
      </c>
      <c r="G355" s="31">
        <f t="shared" si="147"/>
        <v>224944.43758403984</v>
      </c>
      <c r="H355" s="34">
        <f t="shared" si="148"/>
        <v>6.7041505168397988</v>
      </c>
      <c r="I355" s="31">
        <f t="shared" si="149"/>
        <v>1.9293653342188397E-2</v>
      </c>
      <c r="J355" s="35">
        <f t="shared" si="150"/>
        <v>2686.4023444965919</v>
      </c>
      <c r="K355" s="31">
        <f t="shared" si="151"/>
        <v>125301974.42821042</v>
      </c>
      <c r="L355" s="31">
        <f t="shared" si="152"/>
        <v>580182.31434092892</v>
      </c>
      <c r="M355" s="31">
        <f t="shared" si="153"/>
        <v>3889629.5625500497</v>
      </c>
      <c r="N355" s="35">
        <f t="shared" si="154"/>
        <v>18010.045666296475</v>
      </c>
      <c r="O355" s="15">
        <f t="shared" si="156"/>
        <v>57204.533189422553</v>
      </c>
      <c r="P355" s="16">
        <f t="shared" si="157"/>
        <v>4530000</v>
      </c>
      <c r="Q355" s="17">
        <f t="shared" si="158"/>
        <v>1.2627932271395708E-2</v>
      </c>
      <c r="R355" s="17">
        <f t="shared" si="159"/>
        <v>3.5612095519369355E-3</v>
      </c>
      <c r="S355" s="28">
        <f t="shared" si="160"/>
        <v>6.6560982020128323</v>
      </c>
    </row>
    <row r="356" spans="1:19" ht="15.75" customHeight="1" x14ac:dyDescent="0.2">
      <c r="A356" s="30"/>
      <c r="B356" s="30"/>
      <c r="C356" s="30"/>
      <c r="D356" s="31"/>
      <c r="E356" s="31"/>
      <c r="F356" s="31"/>
      <c r="G356" s="31"/>
      <c r="H356" s="34"/>
      <c r="I356" s="30"/>
      <c r="J356" s="35"/>
      <c r="K356" s="31"/>
      <c r="L356" s="31"/>
      <c r="M356" s="31"/>
      <c r="N356" s="35"/>
      <c r="O356" s="15"/>
      <c r="P356" s="16"/>
      <c r="Q356" s="17"/>
      <c r="R356" s="17"/>
      <c r="S356" s="28"/>
    </row>
    <row r="357" spans="1:19" ht="15.75" customHeight="1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15"/>
      <c r="P357" s="16"/>
      <c r="Q357" s="17"/>
      <c r="R357" s="17"/>
      <c r="S357" s="28"/>
    </row>
    <row r="358" spans="1:19" ht="15.75" customHeight="1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5"/>
      <c r="P358" s="30"/>
    </row>
    <row r="359" spans="1:19" ht="15.75" customHeight="1" x14ac:dyDescent="0.2">
      <c r="A359" s="30"/>
      <c r="B359" s="30"/>
      <c r="C359" s="30"/>
      <c r="D359" s="30"/>
      <c r="E359" s="29"/>
      <c r="F359" s="29" t="s">
        <v>91</v>
      </c>
      <c r="G359" s="30"/>
      <c r="H359" s="30"/>
      <c r="I359" s="30"/>
      <c r="J359" s="30"/>
      <c r="K359" s="30"/>
      <c r="L359" s="30"/>
      <c r="M359" s="30"/>
      <c r="N359" s="30"/>
      <c r="O359" s="35"/>
      <c r="P359" s="30"/>
    </row>
    <row r="360" spans="1:19" ht="15.75" customHeight="1" x14ac:dyDescent="0.2">
      <c r="A360" s="29" t="s">
        <v>47</v>
      </c>
      <c r="B360" s="30"/>
      <c r="C360" s="30"/>
      <c r="D360" s="30"/>
      <c r="E360" s="29"/>
      <c r="F360" s="29" t="s">
        <v>45</v>
      </c>
      <c r="G360" s="29" t="s">
        <v>46</v>
      </c>
      <c r="H360" s="31">
        <f>SUM(J345:J348)*SUM(K345:K348)-(SUM(L345:L348))^2</f>
        <v>900814054.32814217</v>
      </c>
      <c r="I360" s="30"/>
      <c r="J360" s="30"/>
      <c r="K360" s="30"/>
      <c r="L360" s="30"/>
      <c r="M360" s="30"/>
      <c r="N360" s="30"/>
      <c r="O360" s="35"/>
      <c r="P360" s="30"/>
    </row>
    <row r="361" spans="1:19" ht="15.75" customHeight="1" x14ac:dyDescent="0.2">
      <c r="A361" s="29" t="s">
        <v>50</v>
      </c>
      <c r="B361" s="30"/>
      <c r="C361" s="30"/>
      <c r="D361" s="30"/>
      <c r="E361" s="29"/>
      <c r="F361" s="29" t="s">
        <v>48</v>
      </c>
      <c r="G361" s="29" t="s">
        <v>49</v>
      </c>
      <c r="H361" s="31">
        <f>(1/H360)*((SUM(J345:J348)*SUM(M345:M348))-(SUM(L345:L348)*SUM(N345:N348)))</f>
        <v>8.2995853331148985E-3</v>
      </c>
      <c r="I361" s="30"/>
      <c r="J361" s="30"/>
      <c r="K361" s="30"/>
      <c r="L361" s="30"/>
      <c r="M361" s="30"/>
      <c r="N361" s="30"/>
      <c r="O361" s="35"/>
      <c r="P361" s="30"/>
    </row>
    <row r="362" spans="1:19" ht="15.75" customHeight="1" x14ac:dyDescent="0.2">
      <c r="A362" s="30"/>
      <c r="B362" s="30"/>
      <c r="C362" s="30"/>
      <c r="D362" s="30"/>
      <c r="E362" s="30"/>
      <c r="F362" s="30"/>
      <c r="G362" s="29" t="s">
        <v>51</v>
      </c>
      <c r="H362" s="31">
        <f>SQRT((1/H360)*(SUM(J345:J348)))</f>
        <v>1.1868385499732323E-3</v>
      </c>
      <c r="I362" s="30"/>
      <c r="J362" s="30"/>
      <c r="K362" s="30"/>
      <c r="L362" s="30"/>
      <c r="M362" s="30"/>
      <c r="N362" s="30"/>
      <c r="O362" s="35"/>
      <c r="P362" s="30"/>
    </row>
    <row r="363" spans="1:19" ht="15.75" customHeight="1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</row>
    <row r="364" spans="1:19" ht="15.75" customHeight="1" x14ac:dyDescent="0.2">
      <c r="A364" s="30"/>
      <c r="B364" s="30"/>
      <c r="C364" s="30"/>
      <c r="D364" s="30"/>
      <c r="E364" s="29"/>
      <c r="F364" s="29" t="s">
        <v>52</v>
      </c>
      <c r="G364" s="29" t="s">
        <v>46</v>
      </c>
      <c r="H364" s="31">
        <f>SUM(J352:J355)*SUM(K352:K355)-(SUM(L352:L355))^2</f>
        <v>8411157005.6152344</v>
      </c>
      <c r="I364" s="30"/>
      <c r="J364" s="30"/>
      <c r="K364" s="30"/>
      <c r="L364" s="30"/>
      <c r="M364" s="30"/>
      <c r="N364" s="30"/>
      <c r="O364" s="30"/>
      <c r="P364" s="30"/>
    </row>
    <row r="365" spans="1:19" ht="15.75" customHeight="1" x14ac:dyDescent="0.2">
      <c r="A365" s="30"/>
      <c r="B365" s="30"/>
      <c r="C365" s="30"/>
      <c r="D365" s="30"/>
      <c r="E365" s="29"/>
      <c r="F365" s="29" t="s">
        <v>48</v>
      </c>
      <c r="G365" s="29" t="s">
        <v>49</v>
      </c>
      <c r="H365" s="31">
        <f>(1/H364)*((SUM(J352:J355)*SUM(M352:M355))-(SUM(L352:L355)*SUM(N352:N355)))</f>
        <v>2.4680879786966252E-2</v>
      </c>
      <c r="I365" s="30"/>
      <c r="J365" s="30"/>
      <c r="K365" s="30"/>
      <c r="L365" s="30"/>
      <c r="M365" s="30"/>
      <c r="N365" s="30"/>
      <c r="O365" s="30"/>
      <c r="P365" s="30"/>
    </row>
    <row r="366" spans="1:19" ht="15.75" customHeight="1" x14ac:dyDescent="0.2">
      <c r="A366" s="30"/>
      <c r="B366" s="30"/>
      <c r="C366" s="30"/>
      <c r="D366" s="30"/>
      <c r="E366" s="30"/>
      <c r="F366" s="30"/>
      <c r="G366" s="29" t="s">
        <v>51</v>
      </c>
      <c r="H366" s="31">
        <f>SQRT((1/H364)*(SUM(J352:J355)))</f>
        <v>7.9725478757140789E-4</v>
      </c>
      <c r="I366" s="30"/>
      <c r="J366" s="30"/>
      <c r="K366" s="30"/>
      <c r="L366" s="30"/>
      <c r="M366" s="30"/>
      <c r="N366" s="30"/>
      <c r="O366" s="30"/>
      <c r="P366" s="30"/>
    </row>
    <row r="367" spans="1:19" ht="15.75" customHeight="1" x14ac:dyDescent="0.2">
      <c r="A367" s="30"/>
      <c r="B367" s="30"/>
      <c r="C367" s="30"/>
      <c r="D367" s="30"/>
      <c r="E367" s="30"/>
      <c r="F367" s="30"/>
      <c r="G367" s="29"/>
      <c r="H367" s="29"/>
      <c r="I367" s="40"/>
      <c r="J367" s="29"/>
      <c r="K367" s="30"/>
      <c r="L367" s="30"/>
      <c r="M367" s="30"/>
      <c r="N367" s="30"/>
      <c r="O367" s="30"/>
      <c r="P367" s="30"/>
    </row>
    <row r="368" spans="1:19" ht="15.75" customHeight="1" x14ac:dyDescent="0.2">
      <c r="A368" s="29" t="s">
        <v>92</v>
      </c>
      <c r="B368" s="30"/>
      <c r="C368" s="30"/>
      <c r="D368" s="31"/>
      <c r="E368" s="29"/>
      <c r="F368" s="30"/>
      <c r="G368" s="30"/>
      <c r="H368" s="30"/>
      <c r="I368" s="1" t="s">
        <v>93</v>
      </c>
      <c r="J368" s="30"/>
      <c r="K368" s="30"/>
      <c r="L368" s="30"/>
      <c r="M368" s="30"/>
      <c r="N368" s="30"/>
      <c r="O368" s="30"/>
      <c r="P368" s="30"/>
    </row>
    <row r="369" spans="1:19" ht="27" customHeight="1" x14ac:dyDescent="0.2">
      <c r="A369" s="29" t="s">
        <v>24</v>
      </c>
      <c r="B369" s="32" t="s">
        <v>83</v>
      </c>
      <c r="C369" s="29" t="s">
        <v>84</v>
      </c>
      <c r="D369" s="31" t="s">
        <v>85</v>
      </c>
      <c r="E369" s="32" t="s">
        <v>86</v>
      </c>
      <c r="F369" s="29" t="s">
        <v>55</v>
      </c>
      <c r="G369" s="29" t="s">
        <v>30</v>
      </c>
      <c r="H369" s="29" t="s">
        <v>31</v>
      </c>
      <c r="I369" s="29" t="s">
        <v>32</v>
      </c>
      <c r="J369" s="29" t="s">
        <v>87</v>
      </c>
      <c r="K369" s="29" t="s">
        <v>88</v>
      </c>
      <c r="L369" s="29" t="s">
        <v>35</v>
      </c>
      <c r="M369" s="29" t="s">
        <v>89</v>
      </c>
      <c r="N369" s="29" t="s">
        <v>90</v>
      </c>
      <c r="O369" s="1" t="s">
        <v>38</v>
      </c>
      <c r="P369" s="12" t="s">
        <v>39</v>
      </c>
      <c r="Q369" s="13" t="s">
        <v>40</v>
      </c>
      <c r="R369" s="12" t="s">
        <v>41</v>
      </c>
      <c r="S369" s="27" t="s">
        <v>79</v>
      </c>
    </row>
    <row r="370" spans="1:19" ht="15.75" customHeight="1" x14ac:dyDescent="0.2">
      <c r="A370" s="29">
        <v>1</v>
      </c>
      <c r="B370" s="33">
        <v>60.18</v>
      </c>
      <c r="C370" s="29">
        <v>32</v>
      </c>
      <c r="D370" s="31">
        <f t="shared" ref="D370:D378" si="162">SQRT(C370)</f>
        <v>5.6568542494923806</v>
      </c>
      <c r="E370" s="31">
        <v>20</v>
      </c>
      <c r="F370" s="31">
        <f t="shared" ref="F370:F378" si="163">C370*E370</f>
        <v>640</v>
      </c>
      <c r="G370" s="31">
        <f t="shared" ref="G370:G378" si="164">D370*E370</f>
        <v>113.13708498984761</v>
      </c>
      <c r="H370" s="34">
        <f t="shared" ref="H370:H378" si="165">LOG10(F370)</f>
        <v>2.8061799739838871</v>
      </c>
      <c r="I370" s="31">
        <f t="shared" ref="I370:I378" si="166">0.434 * G370/F370</f>
        <v>7.6721085758740398E-2</v>
      </c>
      <c r="J370" s="35">
        <f t="shared" ref="J370:J378" si="167">(1/I370^2)</f>
        <v>169.89105735946828</v>
      </c>
      <c r="K370" s="31">
        <f t="shared" ref="K370:K378" si="168">B370^2 * J370</f>
        <v>615282.95780330873</v>
      </c>
      <c r="L370" s="31">
        <f t="shared" ref="L370:L378" si="169">B370 * J370</f>
        <v>10224.043831892801</v>
      </c>
      <c r="M370" s="31">
        <f t="shared" ref="M370:M378" si="170">B370*H370*J370</f>
        <v>28690.507054191061</v>
      </c>
      <c r="N370" s="35">
        <f t="shared" ref="N370:N378" si="171">H370*J370</f>
        <v>476.74488292108776</v>
      </c>
    </row>
    <row r="371" spans="1:19" ht="15.75" customHeight="1" x14ac:dyDescent="0.2">
      <c r="A371" s="29">
        <f t="shared" ref="A371:A377" si="172">A370+1</f>
        <v>2</v>
      </c>
      <c r="B371" s="35">
        <v>93.45</v>
      </c>
      <c r="C371" s="29">
        <v>160</v>
      </c>
      <c r="D371" s="31">
        <f t="shared" si="162"/>
        <v>12.649110640673518</v>
      </c>
      <c r="E371" s="31">
        <v>20</v>
      </c>
      <c r="F371" s="31">
        <f t="shared" si="163"/>
        <v>3200</v>
      </c>
      <c r="G371" s="31">
        <f t="shared" si="164"/>
        <v>252.98221281347037</v>
      </c>
      <c r="H371" s="34">
        <f t="shared" si="165"/>
        <v>3.5051499783199058</v>
      </c>
      <c r="I371" s="31">
        <f t="shared" si="166"/>
        <v>3.4310712612826914E-2</v>
      </c>
      <c r="J371" s="35">
        <f t="shared" si="167"/>
        <v>849.45528679734127</v>
      </c>
      <c r="K371" s="31">
        <f t="shared" si="168"/>
        <v>7418210.197710719</v>
      </c>
      <c r="L371" s="31">
        <f t="shared" si="169"/>
        <v>79381.596551211551</v>
      </c>
      <c r="M371" s="31">
        <f t="shared" si="170"/>
        <v>278244.40143047867</v>
      </c>
      <c r="N371" s="35">
        <f t="shared" si="171"/>
        <v>2977.4681801014303</v>
      </c>
      <c r="O371" s="15">
        <f t="shared" ref="O371:O378" si="173">(F371-F370)/(B371-B370)</f>
        <v>76.946197775773967</v>
      </c>
      <c r="P371" s="16">
        <f t="shared" ref="P371:P378" si="174">0.5 *( F371+F370)</f>
        <v>1920</v>
      </c>
      <c r="Q371" s="17">
        <f t="shared" ref="Q371:Q378" si="175">O371/P371</f>
        <v>4.0076144674882276E-2</v>
      </c>
      <c r="R371" s="17">
        <f t="shared" ref="R371:R378" si="176">SQRT((16/(B371-B370)^2)*(1/(F371+F370)^4)*((F370^2 * G371^2)+(F371^2*G370^2 )))</f>
        <v>3.2336300188753773E-3</v>
      </c>
      <c r="S371" s="28">
        <f>LOG10(P371)</f>
        <v>3.2833012287035497</v>
      </c>
    </row>
    <row r="372" spans="1:19" ht="15.75" customHeight="1" x14ac:dyDescent="0.2">
      <c r="A372" s="29">
        <f t="shared" si="172"/>
        <v>3</v>
      </c>
      <c r="B372" s="36">
        <v>110.95</v>
      </c>
      <c r="C372" s="29">
        <v>420</v>
      </c>
      <c r="D372" s="31">
        <f t="shared" si="162"/>
        <v>20.493901531919196</v>
      </c>
      <c r="E372" s="31">
        <v>20</v>
      </c>
      <c r="F372" s="31">
        <f t="shared" si="163"/>
        <v>8400</v>
      </c>
      <c r="G372" s="31">
        <f t="shared" si="164"/>
        <v>409.8780306383839</v>
      </c>
      <c r="H372" s="34">
        <f t="shared" si="165"/>
        <v>3.9242792860618816</v>
      </c>
      <c r="I372" s="31">
        <f t="shared" si="166"/>
        <v>2.1177031582983171E-2</v>
      </c>
      <c r="J372" s="35">
        <f t="shared" si="167"/>
        <v>2229.8201278430206</v>
      </c>
      <c r="K372" s="31">
        <f t="shared" si="168"/>
        <v>27448868.366285119</v>
      </c>
      <c r="L372" s="31">
        <f t="shared" si="169"/>
        <v>247398.54318418313</v>
      </c>
      <c r="M372" s="31">
        <f t="shared" si="170"/>
        <v>970860.97841957572</v>
      </c>
      <c r="N372" s="35">
        <f t="shared" si="171"/>
        <v>8750.4369393382221</v>
      </c>
      <c r="O372" s="15">
        <f t="shared" si="173"/>
        <v>297.14285714285717</v>
      </c>
      <c r="P372" s="16">
        <f t="shared" si="174"/>
        <v>5800</v>
      </c>
      <c r="Q372" s="17">
        <f t="shared" si="175"/>
        <v>5.123152709359606E-2</v>
      </c>
      <c r="R372" s="17">
        <f t="shared" si="176"/>
        <v>4.2419406589709772E-3</v>
      </c>
      <c r="S372" s="28">
        <f t="shared" ref="S372:S378" si="177">LOG10(P372)</f>
        <v>3.7634279935629373</v>
      </c>
    </row>
    <row r="373" spans="1:19" ht="15.75" customHeight="1" x14ac:dyDescent="0.2">
      <c r="A373" s="29">
        <f t="shared" si="172"/>
        <v>4</v>
      </c>
      <c r="B373" s="37">
        <v>135.86000000000001</v>
      </c>
      <c r="C373" s="29">
        <f>4 + 4+ 3 +2</f>
        <v>13</v>
      </c>
      <c r="D373" s="31">
        <f t="shared" si="162"/>
        <v>3.6055512754639891</v>
      </c>
      <c r="E373" s="31">
        <f>(1/4)*10000</f>
        <v>2500</v>
      </c>
      <c r="F373" s="31">
        <f t="shared" si="163"/>
        <v>32500</v>
      </c>
      <c r="G373" s="31">
        <f t="shared" si="164"/>
        <v>9013.8781886599736</v>
      </c>
      <c r="H373" s="34">
        <f t="shared" si="165"/>
        <v>4.5118833609788744</v>
      </c>
      <c r="I373" s="31">
        <f t="shared" si="166"/>
        <v>0.12036994258087472</v>
      </c>
      <c r="J373" s="35">
        <f t="shared" si="167"/>
        <v>69.018242052283981</v>
      </c>
      <c r="K373" s="31">
        <f t="shared" si="168"/>
        <v>1273934.5430992381</v>
      </c>
      <c r="L373" s="31">
        <f t="shared" si="169"/>
        <v>9376.818365223302</v>
      </c>
      <c r="M373" s="31">
        <f t="shared" si="170"/>
        <v>42307.110760972151</v>
      </c>
      <c r="N373" s="35">
        <f t="shared" si="171"/>
        <v>311.40225791971255</v>
      </c>
      <c r="O373" s="15">
        <f t="shared" si="173"/>
        <v>967.48293857888359</v>
      </c>
      <c r="P373" s="16">
        <f t="shared" si="174"/>
        <v>20450</v>
      </c>
      <c r="Q373" s="17">
        <f t="shared" si="175"/>
        <v>4.7309679148111669E-2</v>
      </c>
      <c r="R373" s="17">
        <f t="shared" si="176"/>
        <v>7.3798905623100649E-3</v>
      </c>
      <c r="S373" s="28">
        <f t="shared" si="177"/>
        <v>4.3106933123433606</v>
      </c>
    </row>
    <row r="374" spans="1:19" ht="15.75" customHeight="1" x14ac:dyDescent="0.2">
      <c r="A374" s="29">
        <f t="shared" si="172"/>
        <v>5</v>
      </c>
      <c r="B374" s="36">
        <v>166.58</v>
      </c>
      <c r="C374" s="29">
        <v>20</v>
      </c>
      <c r="D374" s="31">
        <f t="shared" si="162"/>
        <v>4.4721359549995796</v>
      </c>
      <c r="E374" s="31">
        <v>10000</v>
      </c>
      <c r="F374" s="31">
        <f t="shared" si="163"/>
        <v>200000</v>
      </c>
      <c r="G374" s="31">
        <f t="shared" si="164"/>
        <v>44721.359549995796</v>
      </c>
      <c r="H374" s="34">
        <f t="shared" si="165"/>
        <v>5.3010299956639813</v>
      </c>
      <c r="I374" s="31">
        <f t="shared" si="166"/>
        <v>9.7045350223490881E-2</v>
      </c>
      <c r="J374" s="35">
        <f t="shared" si="167"/>
        <v>106.18191084966763</v>
      </c>
      <c r="K374" s="31">
        <f t="shared" si="168"/>
        <v>2946430.8437214638</v>
      </c>
      <c r="L374" s="31">
        <f t="shared" si="169"/>
        <v>17687.782709337636</v>
      </c>
      <c r="M374" s="31">
        <f t="shared" si="170"/>
        <v>93763.466698985532</v>
      </c>
      <c r="N374" s="35">
        <f t="shared" si="171"/>
        <v>562.87349441100685</v>
      </c>
      <c r="O374" s="15">
        <f t="shared" si="173"/>
        <v>5452.4739583333339</v>
      </c>
      <c r="P374" s="16">
        <f t="shared" si="174"/>
        <v>116250</v>
      </c>
      <c r="Q374" s="17">
        <f t="shared" si="175"/>
        <v>4.69030017921147E-2</v>
      </c>
      <c r="R374" s="17">
        <f t="shared" si="176"/>
        <v>5.577974417519083E-3</v>
      </c>
      <c r="S374" s="28">
        <f t="shared" si="177"/>
        <v>5.0653929615619919</v>
      </c>
    </row>
    <row r="375" spans="1:19" ht="15.75" customHeight="1" x14ac:dyDescent="0.2">
      <c r="A375" s="29">
        <f t="shared" si="172"/>
        <v>6</v>
      </c>
      <c r="B375" s="36">
        <v>187.95</v>
      </c>
      <c r="C375" s="29">
        <v>48</v>
      </c>
      <c r="D375" s="31">
        <f t="shared" si="162"/>
        <v>6.9282032302755088</v>
      </c>
      <c r="E375" s="31">
        <f>(16/8)*10000</f>
        <v>20000</v>
      </c>
      <c r="F375" s="31">
        <f t="shared" si="163"/>
        <v>960000</v>
      </c>
      <c r="G375" s="31">
        <f t="shared" si="164"/>
        <v>138564.06460551018</v>
      </c>
      <c r="H375" s="34">
        <f t="shared" si="165"/>
        <v>5.982271233039568</v>
      </c>
      <c r="I375" s="31">
        <f t="shared" si="166"/>
        <v>6.2642504207074387E-2</v>
      </c>
      <c r="J375" s="35">
        <f t="shared" si="167"/>
        <v>254.83658603920242</v>
      </c>
      <c r="K375" s="31">
        <f t="shared" si="168"/>
        <v>9002154.0062434971</v>
      </c>
      <c r="L375" s="31">
        <f t="shared" si="169"/>
        <v>47896.536346068089</v>
      </c>
      <c r="M375" s="31">
        <f t="shared" si="170"/>
        <v>286530.07154531725</v>
      </c>
      <c r="N375" s="35">
        <f t="shared" si="171"/>
        <v>1524.5015777883334</v>
      </c>
      <c r="O375" s="15">
        <f t="shared" si="173"/>
        <v>35563.874590547537</v>
      </c>
      <c r="P375" s="16">
        <f t="shared" si="174"/>
        <v>580000</v>
      </c>
      <c r="Q375" s="17">
        <f t="shared" si="175"/>
        <v>6.1317025156116443E-2</v>
      </c>
      <c r="R375" s="17">
        <f t="shared" si="176"/>
        <v>7.1081986972842256E-3</v>
      </c>
      <c r="S375" s="28">
        <f t="shared" si="177"/>
        <v>5.7634279935629369</v>
      </c>
    </row>
    <row r="376" spans="1:19" ht="15.75" customHeight="1" x14ac:dyDescent="0.2">
      <c r="A376" s="29">
        <f t="shared" si="172"/>
        <v>7</v>
      </c>
      <c r="B376" s="37">
        <v>208.78</v>
      </c>
      <c r="C376" s="29">
        <v>38</v>
      </c>
      <c r="D376" s="31">
        <f t="shared" si="162"/>
        <v>6.164414002968976</v>
      </c>
      <c r="E376" s="31">
        <f t="shared" ref="E376:E378" si="178">16 * 10000</f>
        <v>160000</v>
      </c>
      <c r="F376" s="31">
        <f t="shared" si="163"/>
        <v>6080000</v>
      </c>
      <c r="G376" s="31">
        <f t="shared" si="164"/>
        <v>986306.2404750362</v>
      </c>
      <c r="H376" s="34">
        <f t="shared" si="165"/>
        <v>6.7839035792727351</v>
      </c>
      <c r="I376" s="31">
        <f t="shared" si="166"/>
        <v>7.0404096770750935E-2</v>
      </c>
      <c r="J376" s="35">
        <f t="shared" si="167"/>
        <v>201.74563061436859</v>
      </c>
      <c r="K376" s="31">
        <f t="shared" si="168"/>
        <v>8793908.1271634586</v>
      </c>
      <c r="L376" s="31">
        <f t="shared" si="169"/>
        <v>42120.452759667874</v>
      </c>
      <c r="M376" s="31">
        <f t="shared" si="170"/>
        <v>285741.09023689909</v>
      </c>
      <c r="N376" s="35">
        <f t="shared" si="171"/>
        <v>1368.6229056274501</v>
      </c>
      <c r="O376" s="15">
        <f t="shared" si="173"/>
        <v>245799.32789246264</v>
      </c>
      <c r="P376" s="16">
        <f t="shared" si="174"/>
        <v>3520000</v>
      </c>
      <c r="Q376" s="17">
        <f t="shared" si="175"/>
        <v>6.9829354514904157E-2</v>
      </c>
      <c r="R376" s="17">
        <f t="shared" si="176"/>
        <v>4.9106278668665879E-3</v>
      </c>
      <c r="S376" s="28">
        <f t="shared" si="177"/>
        <v>6.5465426634781307</v>
      </c>
    </row>
    <row r="377" spans="1:19" ht="15.75" customHeight="1" x14ac:dyDescent="0.2">
      <c r="A377" s="29">
        <f t="shared" si="172"/>
        <v>8</v>
      </c>
      <c r="B377" s="36">
        <v>231.3</v>
      </c>
      <c r="C377" s="29">
        <v>41</v>
      </c>
      <c r="D377" s="31">
        <f t="shared" si="162"/>
        <v>6.4031242374328485</v>
      </c>
      <c r="E377" s="31">
        <f t="shared" si="178"/>
        <v>160000</v>
      </c>
      <c r="F377" s="31">
        <f t="shared" si="163"/>
        <v>6560000</v>
      </c>
      <c r="G377" s="31">
        <f t="shared" si="164"/>
        <v>1024499.8779892558</v>
      </c>
      <c r="H377" s="34">
        <f t="shared" si="165"/>
        <v>6.8169038393756605</v>
      </c>
      <c r="I377" s="31">
        <f t="shared" si="166"/>
        <v>6.7779412659655036E-2</v>
      </c>
      <c r="J377" s="35">
        <f t="shared" si="167"/>
        <v>217.67291724181865</v>
      </c>
      <c r="K377" s="31">
        <f t="shared" si="168"/>
        <v>11645433.593832953</v>
      </c>
      <c r="L377" s="31">
        <f t="shared" si="169"/>
        <v>50347.745758032659</v>
      </c>
      <c r="M377" s="31">
        <f t="shared" si="170"/>
        <v>343215.74136184243</v>
      </c>
      <c r="N377" s="35">
        <f t="shared" si="171"/>
        <v>1483.855345273854</v>
      </c>
      <c r="O377" s="15">
        <f t="shared" si="173"/>
        <v>21314.387211367663</v>
      </c>
      <c r="P377" s="16">
        <f t="shared" si="174"/>
        <v>6320000</v>
      </c>
      <c r="Q377" s="17">
        <f t="shared" si="175"/>
        <v>3.3725296220518453E-3</v>
      </c>
      <c r="R377" s="17">
        <f t="shared" si="176"/>
        <v>9.9846925114432331E-3</v>
      </c>
      <c r="S377" s="28">
        <f t="shared" si="177"/>
        <v>6.8007170782823847</v>
      </c>
    </row>
    <row r="378" spans="1:19" ht="15.75" customHeight="1" x14ac:dyDescent="0.25">
      <c r="A378" s="29">
        <v>9</v>
      </c>
      <c r="B378" s="38">
        <v>255.98</v>
      </c>
      <c r="C378" s="29">
        <v>78</v>
      </c>
      <c r="D378" s="31">
        <f t="shared" si="162"/>
        <v>8.8317608663278477</v>
      </c>
      <c r="E378" s="31">
        <f t="shared" si="178"/>
        <v>160000</v>
      </c>
      <c r="F378" s="31">
        <f t="shared" si="163"/>
        <v>12480000</v>
      </c>
      <c r="G378" s="31">
        <f t="shared" si="164"/>
        <v>1413081.7386124555</v>
      </c>
      <c r="H378" s="34">
        <f t="shared" si="165"/>
        <v>7.0962145853464049</v>
      </c>
      <c r="I378" s="31">
        <f t="shared" si="166"/>
        <v>4.9140823281875454E-2</v>
      </c>
      <c r="J378" s="35">
        <f t="shared" si="167"/>
        <v>414.10945231370391</v>
      </c>
      <c r="K378" s="31">
        <f t="shared" si="168"/>
        <v>27134836.751682986</v>
      </c>
      <c r="L378" s="31">
        <f t="shared" si="169"/>
        <v>106003.73760326192</v>
      </c>
      <c r="M378" s="31">
        <f t="shared" si="170"/>
        <v>752225.26888150047</v>
      </c>
      <c r="N378" s="35">
        <f t="shared" si="171"/>
        <v>2938.6095354383174</v>
      </c>
      <c r="O378" s="15">
        <f t="shared" si="173"/>
        <v>239870.34035656424</v>
      </c>
      <c r="P378" s="16">
        <f t="shared" si="174"/>
        <v>9520000</v>
      </c>
      <c r="Q378" s="17">
        <f t="shared" si="175"/>
        <v>2.5196464323168511E-2</v>
      </c>
      <c r="R378" s="17">
        <f t="shared" si="176"/>
        <v>7.0604701875770573E-3</v>
      </c>
      <c r="S378" s="28">
        <f t="shared" si="177"/>
        <v>6.9786369483844739</v>
      </c>
    </row>
    <row r="379" spans="1:19" ht="15.75" customHeight="1" x14ac:dyDescent="0.2">
      <c r="A379" s="30"/>
      <c r="B379" s="39"/>
      <c r="C379" s="30"/>
      <c r="D379" s="31"/>
      <c r="E379" s="31"/>
      <c r="F379" s="31"/>
      <c r="G379" s="31"/>
      <c r="H379" s="34"/>
      <c r="I379" s="30"/>
      <c r="J379" s="35"/>
      <c r="K379" s="31"/>
      <c r="L379" s="31"/>
      <c r="M379" s="31"/>
      <c r="N379" s="35"/>
      <c r="O379" s="15"/>
      <c r="P379" s="16"/>
      <c r="Q379" s="17"/>
      <c r="R379" s="17"/>
      <c r="S379" s="28"/>
    </row>
    <row r="380" spans="1:19" ht="15.75" customHeight="1" x14ac:dyDescent="0.2">
      <c r="A380" s="30"/>
      <c r="B380" s="30"/>
      <c r="C380" s="30"/>
      <c r="D380" s="31"/>
      <c r="E380" s="31"/>
      <c r="F380" s="31"/>
      <c r="G380" s="31"/>
      <c r="H380" s="34"/>
      <c r="I380" s="30"/>
      <c r="J380" s="35"/>
      <c r="K380" s="31"/>
      <c r="L380" s="31"/>
      <c r="M380" s="31"/>
      <c r="N380" s="35"/>
      <c r="O380" s="15"/>
      <c r="P380" s="16"/>
      <c r="Q380" s="17"/>
      <c r="R380" s="17"/>
      <c r="S380" s="28"/>
    </row>
    <row r="381" spans="1:19" ht="15.75" customHeight="1" x14ac:dyDescent="0.2">
      <c r="A381" s="30"/>
      <c r="B381" s="30"/>
      <c r="C381" s="30"/>
      <c r="D381" s="31"/>
      <c r="E381" s="31"/>
      <c r="F381" s="31"/>
      <c r="G381" s="31"/>
      <c r="H381" s="34"/>
      <c r="I381" s="30"/>
      <c r="J381" s="35"/>
      <c r="K381" s="31"/>
      <c r="L381" s="31"/>
      <c r="M381" s="31"/>
      <c r="N381" s="35"/>
      <c r="O381" s="35"/>
      <c r="P381" s="30"/>
    </row>
    <row r="382" spans="1:19" ht="15.75" customHeight="1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5"/>
      <c r="P382" s="30"/>
    </row>
    <row r="383" spans="1:19" ht="15.75" customHeight="1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5"/>
      <c r="P383" s="30"/>
    </row>
    <row r="384" spans="1:19" ht="15.75" customHeight="1" x14ac:dyDescent="0.2">
      <c r="A384" s="30"/>
      <c r="B384" s="30"/>
      <c r="C384" s="30"/>
      <c r="D384" s="30"/>
      <c r="E384" s="29"/>
      <c r="F384" s="29" t="s">
        <v>91</v>
      </c>
      <c r="G384" s="30"/>
      <c r="H384" s="30"/>
      <c r="I384" s="30"/>
      <c r="J384" s="30"/>
      <c r="K384" s="30"/>
      <c r="L384" s="30"/>
      <c r="M384" s="30"/>
      <c r="N384" s="30"/>
      <c r="O384" s="35"/>
      <c r="P384" s="30"/>
    </row>
    <row r="385" spans="1:19" ht="15.75" customHeight="1" x14ac:dyDescent="0.2">
      <c r="A385" s="29" t="s">
        <v>47</v>
      </c>
      <c r="B385" s="30"/>
      <c r="C385" s="30"/>
      <c r="D385" s="30"/>
      <c r="E385" s="29"/>
      <c r="F385" s="29" t="s">
        <v>45</v>
      </c>
      <c r="G385" s="29" t="s">
        <v>46</v>
      </c>
      <c r="H385" s="31">
        <f>SUM(J370:J371)*SUM(K370:K371)-(SUM(L370:L371))^2</f>
        <v>159741090.41575336</v>
      </c>
      <c r="I385" s="30"/>
      <c r="J385" s="30"/>
      <c r="K385" s="30"/>
      <c r="L385" s="30"/>
      <c r="M385" s="30"/>
      <c r="N385" s="30"/>
      <c r="O385" s="35"/>
      <c r="P385" s="30"/>
    </row>
    <row r="386" spans="1:19" ht="15.75" customHeight="1" x14ac:dyDescent="0.2">
      <c r="A386" s="29" t="s">
        <v>50</v>
      </c>
      <c r="B386" s="30"/>
      <c r="C386" s="30"/>
      <c r="D386" s="30"/>
      <c r="E386" s="29"/>
      <c r="F386" s="29" t="s">
        <v>48</v>
      </c>
      <c r="G386" s="29" t="s">
        <v>49</v>
      </c>
      <c r="H386" s="31">
        <f>(1/H385)*((SUM(J370:J371)*SUM(M370:M371))-(SUM(L370:L371)*SUM(N370:N371)))</f>
        <v>2.1009017262880229E-2</v>
      </c>
      <c r="I386" s="30"/>
      <c r="J386" s="30"/>
      <c r="K386" s="30"/>
      <c r="L386" s="30"/>
      <c r="M386" s="30"/>
      <c r="N386" s="30"/>
      <c r="O386" s="35"/>
      <c r="P386" s="30"/>
    </row>
    <row r="387" spans="1:19" ht="15.75" customHeight="1" x14ac:dyDescent="0.2">
      <c r="A387" s="30"/>
      <c r="B387" s="30"/>
      <c r="C387" s="30"/>
      <c r="D387" s="30"/>
      <c r="E387" s="30"/>
      <c r="F387" s="30"/>
      <c r="G387" s="29" t="s">
        <v>51</v>
      </c>
      <c r="H387" s="31">
        <f>SQRT((1/H385)*(SUM(J370:J371)))</f>
        <v>2.5261117707454641E-3</v>
      </c>
      <c r="I387" s="30"/>
      <c r="J387" s="30"/>
      <c r="K387" s="30"/>
      <c r="L387" s="30"/>
      <c r="M387" s="30"/>
      <c r="N387" s="30"/>
      <c r="O387" s="35"/>
      <c r="P387" s="30"/>
    </row>
    <row r="388" spans="1:19" ht="15.75" customHeight="1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5"/>
      <c r="P388" s="30"/>
    </row>
    <row r="389" spans="1:19" ht="15.75" customHeight="1" x14ac:dyDescent="0.2">
      <c r="A389" s="30"/>
      <c r="B389" s="30"/>
      <c r="C389" s="30"/>
      <c r="D389" s="30"/>
      <c r="E389" s="29"/>
      <c r="F389" s="29" t="s">
        <v>52</v>
      </c>
      <c r="G389" s="29" t="s">
        <v>46</v>
      </c>
      <c r="H389" s="31">
        <f>SUM(J374:J377)*SUM(K374:K377)-(SUM(L374:L377))^2</f>
        <v>296139387.26395416</v>
      </c>
      <c r="I389" s="30"/>
      <c r="J389" s="30"/>
      <c r="K389" s="30"/>
      <c r="L389" s="30"/>
      <c r="M389" s="30"/>
      <c r="N389" s="30"/>
      <c r="O389" s="35"/>
      <c r="P389" s="30"/>
    </row>
    <row r="390" spans="1:19" ht="15.75" customHeight="1" x14ac:dyDescent="0.2">
      <c r="A390" s="30"/>
      <c r="B390" s="30"/>
      <c r="C390" s="30"/>
      <c r="D390" s="30"/>
      <c r="E390" s="29"/>
      <c r="F390" s="29" t="s">
        <v>48</v>
      </c>
      <c r="G390" s="29" t="s">
        <v>49</v>
      </c>
      <c r="H390" s="31">
        <f>(1/H389)*((SUM(J374:J377)*SUM(M374:M377))-(SUM(L374:L377)*SUM(N374:N377)))</f>
        <v>2.3300250446185135E-2</v>
      </c>
      <c r="I390" s="30"/>
      <c r="J390" s="30"/>
      <c r="K390" s="30"/>
      <c r="L390" s="30"/>
      <c r="M390" s="30"/>
      <c r="N390" s="30"/>
      <c r="O390" s="30"/>
      <c r="P390" s="30"/>
    </row>
    <row r="391" spans="1:19" ht="15.75" customHeight="1" x14ac:dyDescent="0.2">
      <c r="A391" s="30"/>
      <c r="B391" s="30"/>
      <c r="C391" s="30"/>
      <c r="D391" s="30"/>
      <c r="E391" s="30"/>
      <c r="F391" s="30"/>
      <c r="G391" s="29" t="s">
        <v>51</v>
      </c>
      <c r="H391" s="31">
        <f>SQRT((1/H389)*(SUM(J374:J377)))</f>
        <v>1.6233824669278274E-3</v>
      </c>
      <c r="I391" s="30"/>
      <c r="J391" s="30"/>
      <c r="K391" s="30"/>
      <c r="L391" s="30"/>
      <c r="M391" s="30"/>
      <c r="N391" s="30"/>
      <c r="O391" s="30"/>
      <c r="P391" s="30"/>
    </row>
    <row r="392" spans="1:19" ht="15.75" customHeight="1" x14ac:dyDescent="0.2">
      <c r="A392" s="30"/>
      <c r="B392" s="30"/>
      <c r="C392" s="30"/>
      <c r="D392" s="30"/>
      <c r="E392" s="30"/>
      <c r="F392" s="30"/>
      <c r="G392" s="29"/>
      <c r="H392" s="29"/>
      <c r="I392" s="40"/>
      <c r="J392" s="29"/>
      <c r="K392" s="30"/>
      <c r="L392" s="30"/>
      <c r="M392" s="30"/>
      <c r="N392" s="30"/>
      <c r="O392" s="30"/>
      <c r="P392" s="30"/>
    </row>
    <row r="393" spans="1:19" ht="15.75" customHeight="1" x14ac:dyDescent="0.2">
      <c r="A393" s="29" t="s">
        <v>94</v>
      </c>
      <c r="B393" s="30"/>
      <c r="C393" s="30"/>
      <c r="D393" s="31"/>
      <c r="E393" s="29"/>
      <c r="F393" s="30"/>
      <c r="G393" s="30"/>
      <c r="H393" s="30"/>
      <c r="I393" s="1" t="s">
        <v>95</v>
      </c>
      <c r="J393" s="30"/>
      <c r="K393" s="30"/>
      <c r="L393" s="30"/>
      <c r="M393" s="30"/>
      <c r="N393" s="30"/>
      <c r="O393" s="30"/>
      <c r="P393" s="30"/>
    </row>
    <row r="394" spans="1:19" ht="23.25" customHeight="1" x14ac:dyDescent="0.2">
      <c r="A394" s="29" t="s">
        <v>24</v>
      </c>
      <c r="B394" s="32" t="s">
        <v>83</v>
      </c>
      <c r="C394" s="29" t="s">
        <v>84</v>
      </c>
      <c r="D394" s="31" t="s">
        <v>85</v>
      </c>
      <c r="E394" s="32" t="s">
        <v>86</v>
      </c>
      <c r="F394" s="29" t="s">
        <v>55</v>
      </c>
      <c r="G394" s="29" t="s">
        <v>30</v>
      </c>
      <c r="H394" s="29" t="s">
        <v>31</v>
      </c>
      <c r="I394" s="29" t="s">
        <v>32</v>
      </c>
      <c r="J394" s="29" t="s">
        <v>87</v>
      </c>
      <c r="K394" s="29" t="s">
        <v>88</v>
      </c>
      <c r="L394" s="29" t="s">
        <v>35</v>
      </c>
      <c r="M394" s="29" t="s">
        <v>89</v>
      </c>
      <c r="N394" s="29" t="s">
        <v>90</v>
      </c>
      <c r="O394" s="1" t="s">
        <v>38</v>
      </c>
      <c r="P394" s="12" t="s">
        <v>39</v>
      </c>
      <c r="Q394" s="13" t="s">
        <v>40</v>
      </c>
      <c r="R394" s="12" t="s">
        <v>41</v>
      </c>
      <c r="S394" s="27" t="s">
        <v>79</v>
      </c>
    </row>
    <row r="395" spans="1:19" ht="15.75" customHeight="1" x14ac:dyDescent="0.2">
      <c r="A395" s="29">
        <v>1</v>
      </c>
      <c r="B395" s="33">
        <v>67.459999999999994</v>
      </c>
      <c r="C395" s="29">
        <v>20</v>
      </c>
      <c r="D395" s="31">
        <f t="shared" ref="D395:D401" si="179">SQRT(C395)</f>
        <v>4.4721359549995796</v>
      </c>
      <c r="E395" s="31">
        <f>(40/25)*20</f>
        <v>32</v>
      </c>
      <c r="F395" s="31">
        <f t="shared" ref="F395:F401" si="180">C395*E395</f>
        <v>640</v>
      </c>
      <c r="G395" s="31">
        <f t="shared" ref="G395:G401" si="181">D395*E395</f>
        <v>143.10835055998655</v>
      </c>
      <c r="H395" s="34">
        <f t="shared" ref="H395:H401" si="182">LOG10(F395)</f>
        <v>2.8061799739838871</v>
      </c>
      <c r="I395" s="31">
        <f t="shared" ref="I395:I401" si="183">0.434 * G395/F395</f>
        <v>9.7045350223490881E-2</v>
      </c>
      <c r="J395" s="35">
        <f t="shared" ref="J395:J401" si="184">(1/I395^2)</f>
        <v>106.18191084966763</v>
      </c>
      <c r="K395" s="31">
        <f t="shared" ref="K395:K401" si="185">B395^2 * J395</f>
        <v>483218.1188812672</v>
      </c>
      <c r="L395" s="31">
        <f t="shared" ref="L395:L401" si="186">B395 * J395</f>
        <v>7163.0317059185782</v>
      </c>
      <c r="M395" s="31">
        <f t="shared" ref="M395:M401" si="187">B395*H395*J395</f>
        <v>20100.756126160351</v>
      </c>
      <c r="N395" s="35">
        <f t="shared" ref="N395:N401" si="188">H395*J395</f>
        <v>297.96555182567971</v>
      </c>
    </row>
    <row r="396" spans="1:19" ht="15.75" customHeight="1" x14ac:dyDescent="0.2">
      <c r="A396" s="29">
        <f t="shared" ref="A396:A401" si="189">A395+1</f>
        <v>2</v>
      </c>
      <c r="B396" s="35">
        <v>85.2</v>
      </c>
      <c r="C396" s="29">
        <v>52</v>
      </c>
      <c r="D396" s="31">
        <f t="shared" si="179"/>
        <v>7.2111025509279782</v>
      </c>
      <c r="E396" s="31">
        <v>20</v>
      </c>
      <c r="F396" s="31">
        <f t="shared" si="180"/>
        <v>1040</v>
      </c>
      <c r="G396" s="31">
        <f t="shared" si="181"/>
        <v>144.22205101855957</v>
      </c>
      <c r="H396" s="34">
        <f t="shared" si="182"/>
        <v>3.0170333392987803</v>
      </c>
      <c r="I396" s="31">
        <f t="shared" si="183"/>
        <v>6.0184971290437358E-2</v>
      </c>
      <c r="J396" s="35">
        <f t="shared" si="184"/>
        <v>276.07296820913592</v>
      </c>
      <c r="K396" s="31">
        <f t="shared" si="185"/>
        <v>2004024.7191488463</v>
      </c>
      <c r="L396" s="31">
        <f t="shared" si="186"/>
        <v>23521.416891418383</v>
      </c>
      <c r="M396" s="31">
        <f t="shared" si="187"/>
        <v>70964.898948954738</v>
      </c>
      <c r="N396" s="35">
        <f t="shared" si="188"/>
        <v>832.92134916613531</v>
      </c>
      <c r="O396" s="15">
        <f t="shared" ref="O396:O401" si="190">(F396-F395)/(B396-B395)</f>
        <v>22.547914317925581</v>
      </c>
      <c r="P396" s="16">
        <f t="shared" ref="P396:P401" si="191">0.5 *( F396+F395)</f>
        <v>840</v>
      </c>
      <c r="Q396" s="17">
        <f t="shared" ref="Q396:Q401" si="192">O396/P396</f>
        <v>2.6842755140387597E-2</v>
      </c>
      <c r="R396" s="17">
        <f t="shared" ref="R396:R401" si="193">SQRT((16/(B396-B395)^2)*(1/(F396+F395)^4)*((F395^2 * G396^2)+(F396^2*G395^2 )))</f>
        <v>1.3991062744239315E-2</v>
      </c>
      <c r="S396" s="28">
        <f>LOG10(P396)</f>
        <v>2.9242792860618816</v>
      </c>
    </row>
    <row r="397" spans="1:19" ht="15.75" customHeight="1" x14ac:dyDescent="0.2">
      <c r="A397" s="29">
        <f t="shared" si="189"/>
        <v>3</v>
      </c>
      <c r="B397" s="36">
        <v>120.87</v>
      </c>
      <c r="C397" s="29">
        <v>371</v>
      </c>
      <c r="D397" s="31">
        <f t="shared" si="179"/>
        <v>19.261360284258224</v>
      </c>
      <c r="E397" s="31">
        <v>20</v>
      </c>
      <c r="F397" s="31">
        <f t="shared" si="180"/>
        <v>7420</v>
      </c>
      <c r="G397" s="31">
        <f t="shared" si="181"/>
        <v>385.22720568516445</v>
      </c>
      <c r="H397" s="34">
        <f t="shared" si="182"/>
        <v>3.8704039052790269</v>
      </c>
      <c r="I397" s="31">
        <f t="shared" si="183"/>
        <v>2.253215731366056E-2</v>
      </c>
      <c r="J397" s="35">
        <f t="shared" si="184"/>
        <v>1969.6744462613353</v>
      </c>
      <c r="K397" s="31">
        <f t="shared" si="185"/>
        <v>28776070.897130974</v>
      </c>
      <c r="L397" s="31">
        <f t="shared" si="186"/>
        <v>238074.5503196076</v>
      </c>
      <c r="M397" s="31">
        <f t="shared" si="187"/>
        <v>921444.66930455749</v>
      </c>
      <c r="N397" s="35">
        <f t="shared" si="188"/>
        <v>7623.4356689381775</v>
      </c>
      <c r="O397" s="15">
        <f t="shared" si="190"/>
        <v>178.86178861788616</v>
      </c>
      <c r="P397" s="16">
        <f t="shared" si="191"/>
        <v>4230</v>
      </c>
      <c r="Q397" s="17">
        <f t="shared" si="192"/>
        <v>4.2284110784370249E-2</v>
      </c>
      <c r="R397" s="17">
        <f t="shared" si="193"/>
        <v>1.7903377026490075E-3</v>
      </c>
      <c r="S397" s="28">
        <f t="shared" ref="S397:S401" si="194">LOG10(P397)</f>
        <v>3.6263403673750423</v>
      </c>
    </row>
    <row r="398" spans="1:19" ht="15.75" customHeight="1" x14ac:dyDescent="0.2">
      <c r="A398" s="29">
        <f t="shared" si="189"/>
        <v>4</v>
      </c>
      <c r="B398" s="37">
        <v>139.82</v>
      </c>
      <c r="C398" s="29">
        <v>638</v>
      </c>
      <c r="D398" s="31">
        <f t="shared" si="179"/>
        <v>25.258661880630179</v>
      </c>
      <c r="E398" s="31">
        <f>(40/20) * 20</f>
        <v>40</v>
      </c>
      <c r="F398" s="31">
        <f t="shared" si="180"/>
        <v>25520</v>
      </c>
      <c r="G398" s="31">
        <f t="shared" si="181"/>
        <v>1010.3464752252071</v>
      </c>
      <c r="H398" s="34">
        <f t="shared" si="182"/>
        <v>4.4068806700491248</v>
      </c>
      <c r="I398" s="31">
        <f t="shared" si="183"/>
        <v>1.7182224539488238E-2</v>
      </c>
      <c r="J398" s="35">
        <f t="shared" si="184"/>
        <v>3387.2029561043987</v>
      </c>
      <c r="K398" s="31">
        <f t="shared" si="185"/>
        <v>66218572.656034328</v>
      </c>
      <c r="L398" s="31">
        <f t="shared" si="186"/>
        <v>473598.71732251701</v>
      </c>
      <c r="M398" s="31">
        <f t="shared" si="187"/>
        <v>2087093.0327286599</v>
      </c>
      <c r="N398" s="35">
        <f t="shared" si="188"/>
        <v>14926.999232789729</v>
      </c>
      <c r="O398" s="15">
        <f t="shared" si="190"/>
        <v>955.14511873350978</v>
      </c>
      <c r="P398" s="16">
        <f t="shared" si="191"/>
        <v>16470</v>
      </c>
      <c r="Q398" s="17">
        <f t="shared" si="192"/>
        <v>5.7993024816849412E-2</v>
      </c>
      <c r="R398" s="17">
        <f t="shared" si="193"/>
        <v>2.4051183490500054E-3</v>
      </c>
      <c r="S398" s="28">
        <f t="shared" si="194"/>
        <v>4.2166935991697541</v>
      </c>
    </row>
    <row r="399" spans="1:19" ht="15.75" customHeight="1" x14ac:dyDescent="0.2">
      <c r="A399" s="29">
        <f t="shared" si="189"/>
        <v>5</v>
      </c>
      <c r="B399" s="36">
        <v>165.95</v>
      </c>
      <c r="C399" s="29">
        <v>19</v>
      </c>
      <c r="D399" s="31">
        <f t="shared" si="179"/>
        <v>4.358898943540674</v>
      </c>
      <c r="E399" s="31">
        <v>10000</v>
      </c>
      <c r="F399" s="31">
        <f t="shared" si="180"/>
        <v>190000</v>
      </c>
      <c r="G399" s="31">
        <f t="shared" si="181"/>
        <v>43588.989435406736</v>
      </c>
      <c r="H399" s="34">
        <f t="shared" si="182"/>
        <v>5.2787536009528289</v>
      </c>
      <c r="I399" s="31">
        <f t="shared" si="183"/>
        <v>9.956642849982382E-2</v>
      </c>
      <c r="J399" s="35">
        <f t="shared" si="184"/>
        <v>100.87281530718424</v>
      </c>
      <c r="K399" s="31">
        <f t="shared" si="185"/>
        <v>2777977.0620527077</v>
      </c>
      <c r="L399" s="31">
        <f t="shared" si="186"/>
        <v>16739.843700227222</v>
      </c>
      <c r="M399" s="31">
        <f t="shared" si="187"/>
        <v>88365.510211961984</v>
      </c>
      <c r="N399" s="35">
        <f t="shared" si="188"/>
        <v>532.48273704104849</v>
      </c>
      <c r="O399" s="15">
        <f t="shared" si="190"/>
        <v>6294.6804439341768</v>
      </c>
      <c r="P399" s="16">
        <f t="shared" si="191"/>
        <v>107760</v>
      </c>
      <c r="Q399" s="17">
        <f t="shared" si="192"/>
        <v>5.841388682195784E-2</v>
      </c>
      <c r="R399" s="17">
        <f t="shared" si="193"/>
        <v>3.7202766874621547E-3</v>
      </c>
      <c r="S399" s="28">
        <f t="shared" si="194"/>
        <v>5.0324575827149296</v>
      </c>
    </row>
    <row r="400" spans="1:19" ht="15.75" customHeight="1" x14ac:dyDescent="0.2">
      <c r="A400" s="29">
        <f t="shared" si="189"/>
        <v>6</v>
      </c>
      <c r="B400" s="36">
        <v>192.2</v>
      </c>
      <c r="C400" s="29">
        <v>135</v>
      </c>
      <c r="D400" s="31">
        <f t="shared" si="179"/>
        <v>11.61895003862225</v>
      </c>
      <c r="E400" s="31">
        <v>10000</v>
      </c>
      <c r="F400" s="31">
        <f t="shared" si="180"/>
        <v>1350000</v>
      </c>
      <c r="G400" s="31">
        <f t="shared" si="181"/>
        <v>116189.5003862225</v>
      </c>
      <c r="H400" s="34">
        <f t="shared" si="182"/>
        <v>6.1303337684950066</v>
      </c>
      <c r="I400" s="31">
        <f t="shared" si="183"/>
        <v>3.7352772716755973E-2</v>
      </c>
      <c r="J400" s="35">
        <f t="shared" si="184"/>
        <v>716.7278982352567</v>
      </c>
      <c r="K400" s="31">
        <f t="shared" si="185"/>
        <v>26476530.612244897</v>
      </c>
      <c r="L400" s="31">
        <f t="shared" si="186"/>
        <v>137755.10204081633</v>
      </c>
      <c r="M400" s="31">
        <f t="shared" si="187"/>
        <v>844484.75382329174</v>
      </c>
      <c r="N400" s="35">
        <f t="shared" si="188"/>
        <v>4393.7812373740471</v>
      </c>
      <c r="O400" s="15">
        <f t="shared" si="190"/>
        <v>44190.476190476191</v>
      </c>
      <c r="P400" s="16">
        <f t="shared" si="191"/>
        <v>770000</v>
      </c>
      <c r="Q400" s="17">
        <f t="shared" si="192"/>
        <v>5.7390228818800251E-2</v>
      </c>
      <c r="R400" s="17">
        <f t="shared" si="193"/>
        <v>4.038250793252326E-3</v>
      </c>
      <c r="S400" s="28">
        <f t="shared" si="194"/>
        <v>5.8864907251724823</v>
      </c>
    </row>
    <row r="401" spans="1:19" ht="15.75" customHeight="1" x14ac:dyDescent="0.2">
      <c r="A401" s="29">
        <f t="shared" si="189"/>
        <v>7</v>
      </c>
      <c r="B401" s="37">
        <v>216.45</v>
      </c>
      <c r="C401" s="29">
        <f>64+67</f>
        <v>131</v>
      </c>
      <c r="D401" s="31">
        <f t="shared" si="179"/>
        <v>11.445523142259598</v>
      </c>
      <c r="E401" s="31">
        <f>(16/2) * 10000</f>
        <v>80000</v>
      </c>
      <c r="F401" s="31">
        <f t="shared" si="180"/>
        <v>10480000</v>
      </c>
      <c r="G401" s="31">
        <f t="shared" si="181"/>
        <v>915641.85138076777</v>
      </c>
      <c r="H401" s="34">
        <f t="shared" si="182"/>
        <v>7.0203612826477082</v>
      </c>
      <c r="I401" s="31">
        <f t="shared" si="183"/>
        <v>3.7918756059089044E-2</v>
      </c>
      <c r="J401" s="35">
        <f t="shared" si="184"/>
        <v>695.49151606532314</v>
      </c>
      <c r="K401" s="31">
        <f t="shared" si="185"/>
        <v>32584196.561298814</v>
      </c>
      <c r="L401" s="31">
        <f t="shared" si="186"/>
        <v>150539.1386523392</v>
      </c>
      <c r="M401" s="31">
        <f t="shared" si="187"/>
        <v>1056839.1405180171</v>
      </c>
      <c r="N401" s="35">
        <f t="shared" si="188"/>
        <v>4882.6017117949514</v>
      </c>
      <c r="O401" s="15">
        <f t="shared" si="190"/>
        <v>376494.84536082472</v>
      </c>
      <c r="P401" s="16">
        <f t="shared" si="191"/>
        <v>5915000</v>
      </c>
      <c r="Q401" s="17">
        <f t="shared" si="192"/>
        <v>6.3650861430401481E-2</v>
      </c>
      <c r="R401" s="17">
        <f t="shared" si="193"/>
        <v>2.0450884525749003E-3</v>
      </c>
      <c r="S401" s="28">
        <f t="shared" si="194"/>
        <v>6.7719547489639496</v>
      </c>
    </row>
    <row r="402" spans="1:19" ht="15.75" customHeight="1" x14ac:dyDescent="0.2">
      <c r="A402" s="30"/>
      <c r="B402" s="36"/>
      <c r="C402" s="30"/>
      <c r="D402" s="31"/>
      <c r="E402" s="31"/>
      <c r="F402" s="31"/>
      <c r="G402" s="31"/>
      <c r="H402" s="34"/>
      <c r="I402" s="30"/>
      <c r="J402" s="35"/>
      <c r="K402" s="31"/>
      <c r="L402" s="31"/>
      <c r="M402" s="31"/>
      <c r="N402" s="35"/>
      <c r="O402" s="15"/>
      <c r="P402" s="16"/>
      <c r="Q402" s="17"/>
      <c r="R402" s="17"/>
      <c r="S402" s="28"/>
    </row>
    <row r="403" spans="1:19" ht="15.75" customHeight="1" x14ac:dyDescent="0.25">
      <c r="A403" s="41"/>
      <c r="B403" s="38"/>
      <c r="C403" s="30"/>
      <c r="D403" s="31"/>
      <c r="E403" s="31"/>
      <c r="F403" s="31"/>
      <c r="G403" s="31"/>
      <c r="H403" s="34"/>
      <c r="I403" s="30"/>
      <c r="J403" s="35"/>
      <c r="K403" s="31"/>
      <c r="L403" s="31"/>
      <c r="M403" s="31"/>
      <c r="N403" s="35"/>
      <c r="O403" s="15"/>
      <c r="P403" s="16"/>
      <c r="Q403" s="17"/>
      <c r="R403" s="17"/>
      <c r="S403" s="28"/>
    </row>
    <row r="404" spans="1:19" ht="15.75" customHeight="1" x14ac:dyDescent="0.2">
      <c r="A404" s="30"/>
      <c r="B404" s="39"/>
      <c r="C404" s="30"/>
      <c r="D404" s="31"/>
      <c r="E404" s="31"/>
      <c r="F404" s="31"/>
      <c r="G404" s="31"/>
      <c r="H404" s="34"/>
      <c r="I404" s="30"/>
      <c r="J404" s="35"/>
      <c r="K404" s="31"/>
      <c r="L404" s="31"/>
      <c r="M404" s="31"/>
      <c r="N404" s="35"/>
      <c r="O404" s="35"/>
      <c r="P404" s="31"/>
    </row>
    <row r="405" spans="1:19" ht="15.75" customHeight="1" x14ac:dyDescent="0.2">
      <c r="A405" s="30"/>
      <c r="B405" s="30"/>
      <c r="C405" s="30"/>
      <c r="D405" s="31"/>
      <c r="E405" s="31"/>
      <c r="F405" s="31"/>
      <c r="G405" s="31"/>
      <c r="H405" s="34"/>
      <c r="I405" s="30"/>
      <c r="J405" s="35"/>
      <c r="K405" s="31"/>
      <c r="L405" s="31"/>
      <c r="M405" s="31"/>
      <c r="N405" s="35"/>
      <c r="O405" s="35"/>
      <c r="P405" s="31"/>
    </row>
    <row r="406" spans="1:19" ht="15.75" customHeight="1" x14ac:dyDescent="0.2">
      <c r="A406" s="30"/>
      <c r="B406" s="30"/>
      <c r="C406" s="30"/>
      <c r="D406" s="31"/>
      <c r="E406" s="31"/>
      <c r="F406" s="31"/>
      <c r="G406" s="31"/>
      <c r="H406" s="34"/>
      <c r="I406" s="30"/>
      <c r="J406" s="35"/>
      <c r="K406" s="31"/>
      <c r="L406" s="31"/>
      <c r="M406" s="31"/>
      <c r="N406" s="35"/>
      <c r="O406" s="35"/>
      <c r="P406" s="31"/>
    </row>
    <row r="407" spans="1:19" ht="15.75" customHeight="1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5"/>
      <c r="P407" s="31"/>
    </row>
    <row r="408" spans="1:19" ht="15.75" customHeight="1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5"/>
      <c r="P408" s="31"/>
    </row>
    <row r="409" spans="1:19" ht="15.75" customHeight="1" x14ac:dyDescent="0.2">
      <c r="A409" s="30"/>
      <c r="B409" s="30"/>
      <c r="C409" s="30"/>
      <c r="D409" s="30"/>
      <c r="E409" s="29"/>
      <c r="F409" s="29" t="s">
        <v>91</v>
      </c>
      <c r="G409" s="30"/>
      <c r="H409" s="30"/>
      <c r="I409" s="30"/>
      <c r="J409" s="30"/>
      <c r="K409" s="30"/>
      <c r="L409" s="30"/>
      <c r="M409" s="30"/>
      <c r="N409" s="30"/>
      <c r="O409" s="35"/>
      <c r="P409" s="31"/>
    </row>
    <row r="410" spans="1:19" ht="15.75" customHeight="1" x14ac:dyDescent="0.2">
      <c r="A410" s="29" t="s">
        <v>47</v>
      </c>
      <c r="B410" s="30"/>
      <c r="C410" s="30"/>
      <c r="D410" s="30"/>
      <c r="E410" s="29"/>
      <c r="F410" s="29" t="s">
        <v>45</v>
      </c>
      <c r="G410" s="29" t="s">
        <v>46</v>
      </c>
      <c r="H410" s="31">
        <f>SUM(J395:J396)*SUM(K395:K396)-(SUM(L395:L396))^2</f>
        <v>9225324.5184623003</v>
      </c>
      <c r="I410" s="30"/>
      <c r="J410" s="30"/>
      <c r="K410" s="30"/>
      <c r="L410" s="30"/>
      <c r="M410" s="30"/>
      <c r="N410" s="30"/>
      <c r="O410" s="35"/>
      <c r="P410" s="31"/>
    </row>
    <row r="411" spans="1:19" ht="15.75" customHeight="1" x14ac:dyDescent="0.2">
      <c r="A411" s="29" t="s">
        <v>50</v>
      </c>
      <c r="B411" s="30"/>
      <c r="C411" s="30"/>
      <c r="D411" s="30"/>
      <c r="E411" s="29"/>
      <c r="F411" s="29" t="s">
        <v>48</v>
      </c>
      <c r="G411" s="29" t="s">
        <v>49</v>
      </c>
      <c r="H411" s="31">
        <f>(1/H410)*((SUM(J395:J396)*SUM(M395:M396))-(SUM(L395:L396)*SUM(N395:N396)))</f>
        <v>1.188575903691644E-2</v>
      </c>
      <c r="I411" s="30"/>
      <c r="J411" s="30"/>
      <c r="K411" s="30"/>
      <c r="L411" s="30"/>
      <c r="M411" s="30"/>
      <c r="N411" s="30"/>
      <c r="O411" s="35"/>
      <c r="P411" s="31"/>
    </row>
    <row r="412" spans="1:19" ht="15.75" customHeight="1" x14ac:dyDescent="0.2">
      <c r="A412" s="30"/>
      <c r="B412" s="30"/>
      <c r="C412" s="30"/>
      <c r="D412" s="30"/>
      <c r="E412" s="30"/>
      <c r="F412" s="30"/>
      <c r="G412" s="29" t="s">
        <v>51</v>
      </c>
      <c r="H412" s="31">
        <f>SQRT((1/H410)*(SUM(J395:J396)))</f>
        <v>6.4370323626705009E-3</v>
      </c>
      <c r="I412" s="30"/>
      <c r="J412" s="30"/>
      <c r="K412" s="30"/>
      <c r="L412" s="30"/>
      <c r="M412" s="30"/>
      <c r="N412" s="30"/>
      <c r="O412" s="35"/>
      <c r="P412" s="31"/>
    </row>
    <row r="413" spans="1:19" ht="15.75" customHeight="1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5"/>
      <c r="P413" s="31"/>
    </row>
    <row r="414" spans="1:19" ht="15.75" customHeight="1" x14ac:dyDescent="0.2">
      <c r="A414" s="30"/>
      <c r="B414" s="30"/>
      <c r="C414" s="30"/>
      <c r="D414" s="30"/>
      <c r="E414" s="29"/>
      <c r="F414" s="29" t="s">
        <v>52</v>
      </c>
      <c r="G414" s="29" t="s">
        <v>46</v>
      </c>
      <c r="H414" s="31">
        <f>SUM(J399:J400)*SUM(K399:K400)-(SUM(L399:L400))^2</f>
        <v>49818089.31055069</v>
      </c>
      <c r="I414" s="30"/>
      <c r="J414" s="30"/>
      <c r="K414" s="30"/>
      <c r="L414" s="30"/>
      <c r="M414" s="30"/>
      <c r="N414" s="30"/>
      <c r="O414" s="35"/>
      <c r="P414" s="31"/>
    </row>
    <row r="415" spans="1:19" ht="15.75" customHeight="1" x14ac:dyDescent="0.2">
      <c r="A415" s="30"/>
      <c r="B415" s="30"/>
      <c r="C415" s="30"/>
      <c r="D415" s="30"/>
      <c r="E415" s="29"/>
      <c r="F415" s="29" t="s">
        <v>48</v>
      </c>
      <c r="G415" s="29" t="s">
        <v>49</v>
      </c>
      <c r="H415" s="31">
        <f>(1/H414)*((SUM(J399:J400)*SUM(M399:M400))-(SUM(L399:L400)*SUM(N399:N400)))</f>
        <v>3.2441149239699825E-2</v>
      </c>
      <c r="I415" s="30"/>
      <c r="J415" s="30"/>
      <c r="K415" s="30"/>
      <c r="L415" s="30"/>
      <c r="M415" s="30"/>
      <c r="N415" s="30"/>
      <c r="O415" s="30"/>
      <c r="P415" s="30"/>
    </row>
    <row r="416" spans="1:19" ht="15.75" customHeight="1" x14ac:dyDescent="0.2">
      <c r="A416" s="30"/>
      <c r="B416" s="30"/>
      <c r="C416" s="30"/>
      <c r="D416" s="30"/>
      <c r="E416" s="30"/>
      <c r="F416" s="30"/>
      <c r="G416" s="29" t="s">
        <v>51</v>
      </c>
      <c r="H416" s="31">
        <f>SQRT((1/H414)*(SUM(J399:J400)))</f>
        <v>4.0511385597212955E-3</v>
      </c>
      <c r="I416" s="30"/>
      <c r="J416" s="30"/>
      <c r="K416" s="30"/>
      <c r="L416" s="30"/>
      <c r="M416" s="30"/>
      <c r="N416" s="30"/>
      <c r="O416" s="30"/>
      <c r="P416" s="30"/>
    </row>
    <row r="417" spans="1:19" ht="15.75" customHeight="1" x14ac:dyDescent="0.2">
      <c r="A417" s="30"/>
      <c r="B417" s="30"/>
      <c r="C417" s="30"/>
      <c r="D417" s="30"/>
      <c r="E417" s="30"/>
      <c r="F417" s="30"/>
      <c r="G417" s="29"/>
      <c r="H417" s="29"/>
      <c r="I417" s="40"/>
      <c r="J417" s="29"/>
      <c r="K417" s="30"/>
      <c r="L417" s="30"/>
      <c r="M417" s="30"/>
      <c r="N417" s="30"/>
      <c r="O417" s="30"/>
      <c r="P417" s="30"/>
    </row>
    <row r="418" spans="1:19" ht="15.75" customHeight="1" x14ac:dyDescent="0.2">
      <c r="A418" s="29" t="s">
        <v>96</v>
      </c>
      <c r="B418" s="30"/>
      <c r="C418" s="30"/>
      <c r="D418" s="31"/>
      <c r="E418" s="29"/>
      <c r="F418" s="30"/>
      <c r="G418" s="30"/>
      <c r="H418" s="30"/>
      <c r="I418" s="1" t="s">
        <v>97</v>
      </c>
      <c r="J418" s="30"/>
      <c r="K418" s="30"/>
      <c r="L418" s="30"/>
      <c r="M418" s="30"/>
      <c r="N418" s="30"/>
      <c r="O418" s="30"/>
      <c r="P418" s="30"/>
    </row>
    <row r="419" spans="1:19" ht="24.75" customHeight="1" x14ac:dyDescent="0.2">
      <c r="A419" s="29" t="s">
        <v>24</v>
      </c>
      <c r="B419" s="32" t="s">
        <v>83</v>
      </c>
      <c r="C419" s="29" t="s">
        <v>84</v>
      </c>
      <c r="D419" s="31" t="s">
        <v>85</v>
      </c>
      <c r="E419" s="32" t="s">
        <v>86</v>
      </c>
      <c r="F419" s="29" t="s">
        <v>55</v>
      </c>
      <c r="G419" s="29" t="s">
        <v>30</v>
      </c>
      <c r="H419" s="29" t="s">
        <v>31</v>
      </c>
      <c r="I419" s="29" t="s">
        <v>32</v>
      </c>
      <c r="J419" s="29" t="s">
        <v>87</v>
      </c>
      <c r="K419" s="29" t="s">
        <v>88</v>
      </c>
      <c r="L419" s="29" t="s">
        <v>35</v>
      </c>
      <c r="M419" s="29" t="s">
        <v>89</v>
      </c>
      <c r="N419" s="29" t="s">
        <v>90</v>
      </c>
      <c r="O419" s="1" t="s">
        <v>38</v>
      </c>
      <c r="P419" s="12" t="s">
        <v>39</v>
      </c>
      <c r="Q419" s="13" t="s">
        <v>40</v>
      </c>
      <c r="R419" s="12" t="s">
        <v>41</v>
      </c>
      <c r="S419" s="27" t="s">
        <v>79</v>
      </c>
    </row>
    <row r="420" spans="1:19" ht="15.75" customHeight="1" x14ac:dyDescent="0.2">
      <c r="A420" s="29">
        <v>1</v>
      </c>
      <c r="B420" s="33">
        <v>65.709999999999994</v>
      </c>
      <c r="C420" s="29">
        <v>18</v>
      </c>
      <c r="D420" s="31">
        <f t="shared" ref="D420:D426" si="195">SQRT(C420)</f>
        <v>4.2426406871192848</v>
      </c>
      <c r="E420" s="31">
        <v>20</v>
      </c>
      <c r="F420" s="31">
        <f t="shared" ref="F420:F426" si="196">C420*E420</f>
        <v>360</v>
      </c>
      <c r="G420" s="31">
        <f t="shared" ref="G420:G426" si="197">D420*E420</f>
        <v>84.852813742385692</v>
      </c>
      <c r="H420" s="34">
        <f t="shared" ref="H420:H426" si="198">LOG10(F420)</f>
        <v>2.5563025007672873</v>
      </c>
      <c r="I420" s="31">
        <f t="shared" ref="I420:I426" si="199">0.434 * G420/F420</f>
        <v>0.10229478101165387</v>
      </c>
      <c r="J420" s="35">
        <f t="shared" ref="J420:J426" si="200">(1/I420^2)</f>
        <v>95.563719764700892</v>
      </c>
      <c r="K420" s="31">
        <f t="shared" ref="K420:K426" si="201">B420^2 * J420</f>
        <v>412625.42101127648</v>
      </c>
      <c r="L420" s="31">
        <f t="shared" ref="L420:L426" si="202">B420 * J420</f>
        <v>6279.4920257384947</v>
      </c>
      <c r="M420" s="31">
        <f t="shared" ref="M420:M426" si="203">B420*H420*J420</f>
        <v>16052.281168943553</v>
      </c>
      <c r="N420" s="35">
        <f t="shared" ref="N420:N426" si="204">H420*J420</f>
        <v>244.28977581712914</v>
      </c>
    </row>
    <row r="421" spans="1:19" ht="15.75" customHeight="1" x14ac:dyDescent="0.2">
      <c r="A421" s="29">
        <f t="shared" ref="A421:A426" si="205">A420+1</f>
        <v>2</v>
      </c>
      <c r="B421" s="35">
        <v>83.55</v>
      </c>
      <c r="C421" s="29">
        <v>41</v>
      </c>
      <c r="D421" s="31">
        <f t="shared" si="195"/>
        <v>6.4031242374328485</v>
      </c>
      <c r="E421" s="31">
        <v>20</v>
      </c>
      <c r="F421" s="31">
        <f t="shared" si="196"/>
        <v>820</v>
      </c>
      <c r="G421" s="31">
        <f t="shared" si="197"/>
        <v>128.06248474865697</v>
      </c>
      <c r="H421" s="34">
        <f t="shared" si="198"/>
        <v>2.9138138523837167</v>
      </c>
      <c r="I421" s="31">
        <f t="shared" si="199"/>
        <v>6.7779412659655022E-2</v>
      </c>
      <c r="J421" s="35">
        <f t="shared" si="200"/>
        <v>217.67291724181874</v>
      </c>
      <c r="K421" s="31">
        <f t="shared" si="201"/>
        <v>1519488.1102805331</v>
      </c>
      <c r="L421" s="31">
        <f t="shared" si="202"/>
        <v>18186.572235553955</v>
      </c>
      <c r="M421" s="31">
        <f t="shared" si="203"/>
        <v>52992.286107334214</v>
      </c>
      <c r="N421" s="35">
        <f t="shared" si="204"/>
        <v>634.25836154798583</v>
      </c>
      <c r="O421" s="15">
        <f t="shared" ref="O421:O426" si="206">(F421-F420)/(B421-B420)</f>
        <v>25.784753363228695</v>
      </c>
      <c r="P421" s="16">
        <f t="shared" ref="P421:P426" si="207">0.5 *( F421+F420)</f>
        <v>590</v>
      </c>
      <c r="Q421" s="17">
        <f t="shared" ref="Q421:Q426" si="208">O421/P421</f>
        <v>4.3702971802082533E-2</v>
      </c>
      <c r="R421" s="17">
        <f t="shared" ref="R421:R426" si="209">SQRT((16/(B421-B420)^2)*(1/(F421+F420)^4)*((F420^2 * G421^2)+(F421^2*G420^2 )))</f>
        <v>1.3440496271711415E-2</v>
      </c>
      <c r="S421" s="28">
        <f>LOG10(P421)</f>
        <v>2.7708520116421442</v>
      </c>
    </row>
    <row r="422" spans="1:19" ht="15.75" customHeight="1" x14ac:dyDescent="0.2">
      <c r="A422" s="29">
        <f t="shared" si="205"/>
        <v>3</v>
      </c>
      <c r="B422" s="36">
        <v>107.13</v>
      </c>
      <c r="C422" s="29">
        <v>279</v>
      </c>
      <c r="D422" s="31">
        <f t="shared" si="195"/>
        <v>16.703293088490067</v>
      </c>
      <c r="E422" s="31">
        <v>20</v>
      </c>
      <c r="F422" s="31">
        <f t="shared" si="196"/>
        <v>5580</v>
      </c>
      <c r="G422" s="31">
        <f t="shared" si="197"/>
        <v>334.06586176980136</v>
      </c>
      <c r="H422" s="34">
        <f t="shared" si="198"/>
        <v>3.7466341989375787</v>
      </c>
      <c r="I422" s="31">
        <f t="shared" si="199"/>
        <v>2.5982900359873436E-2</v>
      </c>
      <c r="J422" s="35">
        <f t="shared" si="200"/>
        <v>1481.2376563528637</v>
      </c>
      <c r="K422" s="31">
        <f t="shared" si="201"/>
        <v>16999922.992100064</v>
      </c>
      <c r="L422" s="31">
        <f t="shared" si="202"/>
        <v>158684.99012508229</v>
      </c>
      <c r="M422" s="31">
        <f t="shared" si="203"/>
        <v>594534.61086070526</v>
      </c>
      <c r="N422" s="35">
        <f t="shared" si="204"/>
        <v>5549.655660045788</v>
      </c>
      <c r="O422" s="15">
        <f t="shared" si="206"/>
        <v>201.86598812553012</v>
      </c>
      <c r="P422" s="16">
        <f t="shared" si="207"/>
        <v>3200</v>
      </c>
      <c r="Q422" s="17">
        <f t="shared" si="208"/>
        <v>6.3083121289228161E-2</v>
      </c>
      <c r="R422" s="17">
        <f t="shared" si="209"/>
        <v>3.1694598389586173E-3</v>
      </c>
      <c r="S422" s="28">
        <f t="shared" ref="S422:S426" si="210">LOG10(P422)</f>
        <v>3.5051499783199058</v>
      </c>
    </row>
    <row r="423" spans="1:19" ht="15.75" customHeight="1" x14ac:dyDescent="0.2">
      <c r="A423" s="29">
        <f t="shared" si="205"/>
        <v>4</v>
      </c>
      <c r="B423" s="37">
        <v>138</v>
      </c>
      <c r="C423" s="29">
        <v>7</v>
      </c>
      <c r="D423" s="31">
        <f t="shared" si="195"/>
        <v>2.6457513110645907</v>
      </c>
      <c r="E423" s="31">
        <f t="shared" ref="E423:E424" si="211">(1/4)*10000</f>
        <v>2500</v>
      </c>
      <c r="F423" s="31">
        <f t="shared" si="196"/>
        <v>17500</v>
      </c>
      <c r="G423" s="31">
        <f t="shared" si="197"/>
        <v>6614.3782776614771</v>
      </c>
      <c r="H423" s="34">
        <f t="shared" si="198"/>
        <v>4.2430380486862944</v>
      </c>
      <c r="I423" s="31">
        <f t="shared" si="199"/>
        <v>0.16403658128600462</v>
      </c>
      <c r="J423" s="35">
        <f t="shared" si="200"/>
        <v>37.163668797383679</v>
      </c>
      <c r="K423" s="31">
        <f t="shared" si="201"/>
        <v>707744.90857737476</v>
      </c>
      <c r="L423" s="31">
        <f t="shared" si="202"/>
        <v>5128.5862940389479</v>
      </c>
      <c r="M423" s="31">
        <f t="shared" si="203"/>
        <v>21760.786781578292</v>
      </c>
      <c r="N423" s="35">
        <f t="shared" si="204"/>
        <v>157.68686073607458</v>
      </c>
      <c r="O423" s="15">
        <f t="shared" si="206"/>
        <v>386.13540654356973</v>
      </c>
      <c r="P423" s="16">
        <f t="shared" si="207"/>
        <v>11540</v>
      </c>
      <c r="Q423" s="17">
        <f t="shared" si="208"/>
        <v>3.3460607152822334E-2</v>
      </c>
      <c r="R423" s="17">
        <f t="shared" si="209"/>
        <v>9.0898328129221245E-3</v>
      </c>
      <c r="S423" s="28">
        <f t="shared" si="210"/>
        <v>4.062205808819713</v>
      </c>
    </row>
    <row r="424" spans="1:19" ht="15.75" customHeight="1" x14ac:dyDescent="0.2">
      <c r="A424" s="29">
        <f t="shared" si="205"/>
        <v>5</v>
      </c>
      <c r="B424" s="36">
        <v>164.26</v>
      </c>
      <c r="C424" s="29">
        <v>70</v>
      </c>
      <c r="D424" s="31">
        <f t="shared" si="195"/>
        <v>8.3666002653407556</v>
      </c>
      <c r="E424" s="31">
        <f t="shared" si="211"/>
        <v>2500</v>
      </c>
      <c r="F424" s="31">
        <f t="shared" si="196"/>
        <v>175000</v>
      </c>
      <c r="G424" s="31">
        <f t="shared" si="197"/>
        <v>20916.50066335189</v>
      </c>
      <c r="H424" s="34">
        <f t="shared" si="198"/>
        <v>5.2430380486862944</v>
      </c>
      <c r="I424" s="31">
        <f t="shared" si="199"/>
        <v>5.1872921645112688E-2</v>
      </c>
      <c r="J424" s="35">
        <f t="shared" si="200"/>
        <v>371.63668797383667</v>
      </c>
      <c r="K424" s="31">
        <f t="shared" si="201"/>
        <v>10027258.659134826</v>
      </c>
      <c r="L424" s="31">
        <f t="shared" si="202"/>
        <v>61045.042366582406</v>
      </c>
      <c r="M424" s="31">
        <f t="shared" si="203"/>
        <v>320061.47981165838</v>
      </c>
      <c r="N424" s="35">
        <f t="shared" si="204"/>
        <v>1948.5052953345819</v>
      </c>
      <c r="O424" s="15">
        <f t="shared" si="206"/>
        <v>5997.7151561310002</v>
      </c>
      <c r="P424" s="16">
        <f t="shared" si="207"/>
        <v>96250</v>
      </c>
      <c r="Q424" s="17">
        <f t="shared" si="208"/>
        <v>6.2313923700062342E-2</v>
      </c>
      <c r="R424" s="17">
        <f t="shared" si="209"/>
        <v>4.9903065163501171E-3</v>
      </c>
      <c r="S424" s="28">
        <f t="shared" si="210"/>
        <v>4.9834007381805385</v>
      </c>
    </row>
    <row r="425" spans="1:19" ht="15.75" customHeight="1" x14ac:dyDescent="0.2">
      <c r="A425" s="29">
        <f t="shared" si="205"/>
        <v>6</v>
      </c>
      <c r="B425" s="36">
        <v>190.46</v>
      </c>
      <c r="C425" s="29">
        <v>152</v>
      </c>
      <c r="D425" s="31">
        <f t="shared" si="195"/>
        <v>12.328828005937952</v>
      </c>
      <c r="E425" s="31">
        <v>10000</v>
      </c>
      <c r="F425" s="31">
        <f t="shared" si="196"/>
        <v>1520000</v>
      </c>
      <c r="G425" s="31">
        <f t="shared" si="197"/>
        <v>123288.28005937953</v>
      </c>
      <c r="H425" s="34">
        <f t="shared" si="198"/>
        <v>6.1818435879447726</v>
      </c>
      <c r="I425" s="31">
        <f t="shared" si="199"/>
        <v>3.5202048385375467E-2</v>
      </c>
      <c r="J425" s="35">
        <f t="shared" si="200"/>
        <v>806.98252245747437</v>
      </c>
      <c r="K425" s="31">
        <f t="shared" si="201"/>
        <v>29273300.363142148</v>
      </c>
      <c r="L425" s="31">
        <f t="shared" si="202"/>
        <v>153697.89122725057</v>
      </c>
      <c r="M425" s="31">
        <f t="shared" si="203"/>
        <v>950136.32336381206</v>
      </c>
      <c r="N425" s="35">
        <f t="shared" si="204"/>
        <v>4988.6397320372362</v>
      </c>
      <c r="O425" s="15">
        <f t="shared" si="206"/>
        <v>51335.877862595386</v>
      </c>
      <c r="P425" s="16">
        <f t="shared" si="207"/>
        <v>847500</v>
      </c>
      <c r="Q425" s="17">
        <f t="shared" si="208"/>
        <v>6.0573307212501933E-2</v>
      </c>
      <c r="R425" s="17">
        <f t="shared" si="209"/>
        <v>2.0417689959214853E-3</v>
      </c>
      <c r="S425" s="28">
        <f t="shared" si="210"/>
        <v>5.92813970687512</v>
      </c>
    </row>
    <row r="426" spans="1:19" ht="15.75" customHeight="1" x14ac:dyDescent="0.2">
      <c r="A426" s="29">
        <f t="shared" si="205"/>
        <v>7</v>
      </c>
      <c r="B426" s="37">
        <v>214.66</v>
      </c>
      <c r="C426" s="29">
        <v>86</v>
      </c>
      <c r="D426" s="31">
        <f t="shared" si="195"/>
        <v>9.2736184954957039</v>
      </c>
      <c r="E426" s="31">
        <f>(16/2) * 10000</f>
        <v>80000</v>
      </c>
      <c r="F426" s="31">
        <f t="shared" si="196"/>
        <v>6880000</v>
      </c>
      <c r="G426" s="31">
        <f t="shared" si="197"/>
        <v>741889.47963965626</v>
      </c>
      <c r="H426" s="34">
        <f t="shared" si="198"/>
        <v>6.8375884382355112</v>
      </c>
      <c r="I426" s="31">
        <f t="shared" si="199"/>
        <v>4.6799423570292271E-2</v>
      </c>
      <c r="J426" s="35">
        <f t="shared" si="200"/>
        <v>456.58221665357092</v>
      </c>
      <c r="K426" s="31">
        <f t="shared" si="201"/>
        <v>21038813.42564081</v>
      </c>
      <c r="L426" s="31">
        <f t="shared" si="202"/>
        <v>98009.938626855539</v>
      </c>
      <c r="M426" s="31">
        <f t="shared" si="203"/>
        <v>670151.62318715942</v>
      </c>
      <c r="N426" s="35">
        <f t="shared" si="204"/>
        <v>3121.9212856943977</v>
      </c>
      <c r="O426" s="15">
        <f t="shared" si="206"/>
        <v>221487.60330578522</v>
      </c>
      <c r="P426" s="16">
        <f t="shared" si="207"/>
        <v>4200000</v>
      </c>
      <c r="Q426" s="17">
        <f t="shared" si="208"/>
        <v>5.2735143644234574E-2</v>
      </c>
      <c r="R426" s="17">
        <f t="shared" si="209"/>
        <v>3.305487645844556E-3</v>
      </c>
      <c r="S426" s="28">
        <f t="shared" si="210"/>
        <v>6.6232492903979008</v>
      </c>
    </row>
    <row r="427" spans="1:19" ht="15.75" customHeight="1" x14ac:dyDescent="0.2">
      <c r="A427" s="30"/>
      <c r="B427" s="36"/>
      <c r="C427" s="30"/>
      <c r="D427" s="31"/>
      <c r="E427" s="31"/>
      <c r="F427" s="31"/>
      <c r="G427" s="31"/>
      <c r="H427" s="34"/>
      <c r="I427" s="30"/>
      <c r="J427" s="35"/>
      <c r="K427" s="31"/>
      <c r="L427" s="31"/>
      <c r="M427" s="31"/>
      <c r="N427" s="35"/>
      <c r="O427" s="30"/>
      <c r="P427" s="30"/>
    </row>
    <row r="428" spans="1:19" ht="15.75" customHeight="1" x14ac:dyDescent="0.25">
      <c r="A428" s="41"/>
      <c r="B428" s="38"/>
      <c r="C428" s="30"/>
      <c r="D428" s="31"/>
      <c r="E428" s="31"/>
      <c r="F428" s="31"/>
      <c r="G428" s="31"/>
      <c r="H428" s="34"/>
      <c r="I428" s="30"/>
      <c r="J428" s="35"/>
      <c r="K428" s="31"/>
      <c r="L428" s="31"/>
      <c r="M428" s="31"/>
      <c r="N428" s="35"/>
      <c r="O428" s="35"/>
      <c r="P428" s="30"/>
    </row>
    <row r="429" spans="1:19" ht="15.75" customHeight="1" x14ac:dyDescent="0.2">
      <c r="A429" s="30"/>
      <c r="B429" s="39"/>
      <c r="C429" s="30"/>
      <c r="D429" s="31"/>
      <c r="E429" s="31"/>
      <c r="F429" s="31"/>
      <c r="G429" s="31"/>
      <c r="H429" s="34"/>
      <c r="I429" s="30"/>
      <c r="J429" s="35"/>
      <c r="K429" s="31"/>
      <c r="L429" s="31"/>
      <c r="M429" s="31"/>
      <c r="N429" s="35"/>
      <c r="O429" s="35"/>
      <c r="P429" s="30"/>
    </row>
    <row r="430" spans="1:19" ht="15.75" customHeight="1" x14ac:dyDescent="0.2">
      <c r="A430" s="30"/>
      <c r="B430" s="30"/>
      <c r="C430" s="30"/>
      <c r="D430" s="31"/>
      <c r="E430" s="31"/>
      <c r="F430" s="31"/>
      <c r="G430" s="31"/>
      <c r="H430" s="34"/>
      <c r="I430" s="30"/>
      <c r="J430" s="35"/>
      <c r="K430" s="31"/>
      <c r="L430" s="31"/>
      <c r="M430" s="31"/>
      <c r="N430" s="35"/>
      <c r="O430" s="35"/>
      <c r="P430" s="30"/>
    </row>
    <row r="431" spans="1:19" ht="15.75" customHeight="1" x14ac:dyDescent="0.2">
      <c r="A431" s="30"/>
      <c r="B431" s="30"/>
      <c r="C431" s="30"/>
      <c r="D431" s="31"/>
      <c r="E431" s="31"/>
      <c r="F431" s="31"/>
      <c r="G431" s="31"/>
      <c r="H431" s="34"/>
      <c r="I431" s="30"/>
      <c r="J431" s="35"/>
      <c r="K431" s="31"/>
      <c r="L431" s="31"/>
      <c r="M431" s="31"/>
      <c r="N431" s="35"/>
      <c r="O431" s="35"/>
      <c r="P431" s="30"/>
    </row>
    <row r="432" spans="1:19" ht="15.75" customHeight="1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5"/>
      <c r="P432" s="30"/>
    </row>
    <row r="433" spans="1:19" ht="15.75" customHeight="1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5"/>
      <c r="P433" s="30"/>
    </row>
    <row r="434" spans="1:19" ht="15.75" customHeight="1" x14ac:dyDescent="0.2">
      <c r="A434" s="30"/>
      <c r="B434" s="30"/>
      <c r="C434" s="30"/>
      <c r="D434" s="30"/>
      <c r="E434" s="29"/>
      <c r="F434" s="29" t="s">
        <v>91</v>
      </c>
      <c r="G434" s="30"/>
      <c r="H434" s="30"/>
      <c r="I434" s="30"/>
      <c r="J434" s="30"/>
      <c r="K434" s="30"/>
      <c r="L434" s="30"/>
      <c r="M434" s="30"/>
      <c r="N434" s="30"/>
      <c r="O434" s="35"/>
      <c r="P434" s="30"/>
    </row>
    <row r="435" spans="1:19" ht="15.75" customHeight="1" x14ac:dyDescent="0.2">
      <c r="A435" s="29" t="s">
        <v>47</v>
      </c>
      <c r="B435" s="30"/>
      <c r="C435" s="30"/>
      <c r="D435" s="30"/>
      <c r="E435" s="29"/>
      <c r="F435" s="29" t="s">
        <v>45</v>
      </c>
      <c r="G435" s="29" t="s">
        <v>46</v>
      </c>
      <c r="H435" s="31">
        <f>SUM(J420:J421)*SUM(K420:K421)-(SUM(L420:L421))^2</f>
        <v>6620444.4189456701</v>
      </c>
      <c r="I435" s="30"/>
      <c r="J435" s="30"/>
      <c r="K435" s="30"/>
      <c r="L435" s="30"/>
      <c r="M435" s="30"/>
      <c r="N435" s="30"/>
      <c r="O435" s="35"/>
      <c r="P435" s="30"/>
    </row>
    <row r="436" spans="1:19" ht="15.75" customHeight="1" x14ac:dyDescent="0.2">
      <c r="A436" s="29" t="s">
        <v>50</v>
      </c>
      <c r="B436" s="30"/>
      <c r="C436" s="30"/>
      <c r="D436" s="30"/>
      <c r="E436" s="29"/>
      <c r="F436" s="29" t="s">
        <v>48</v>
      </c>
      <c r="G436" s="29" t="s">
        <v>49</v>
      </c>
      <c r="H436" s="31">
        <f>(1/H435)*((SUM(J420:J421)*SUM(M420:M421))-(SUM(L420:L421)*SUM(N420:N421)))</f>
        <v>2.00398739695309E-2</v>
      </c>
      <c r="I436" s="30"/>
      <c r="J436" s="30"/>
      <c r="K436" s="30"/>
      <c r="L436" s="30"/>
      <c r="M436" s="30"/>
      <c r="N436" s="30"/>
      <c r="O436" s="35"/>
      <c r="P436" s="30"/>
    </row>
    <row r="437" spans="1:19" ht="15.75" customHeight="1" x14ac:dyDescent="0.2">
      <c r="A437" s="30"/>
      <c r="B437" s="30"/>
      <c r="C437" s="30"/>
      <c r="D437" s="30"/>
      <c r="E437" s="30"/>
      <c r="F437" s="30"/>
      <c r="G437" s="29" t="s">
        <v>51</v>
      </c>
      <c r="H437" s="31">
        <f>SQRT((1/H435)*(SUM(J420:J421)))</f>
        <v>6.8784835719759574E-3</v>
      </c>
      <c r="I437" s="30"/>
      <c r="J437" s="30"/>
      <c r="K437" s="30"/>
      <c r="L437" s="30"/>
      <c r="M437" s="30"/>
      <c r="N437" s="30"/>
      <c r="O437" s="35"/>
      <c r="P437" s="30"/>
    </row>
    <row r="438" spans="1:19" ht="15.75" customHeight="1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5"/>
      <c r="P438" s="30"/>
    </row>
    <row r="439" spans="1:19" ht="15.75" customHeight="1" x14ac:dyDescent="0.2">
      <c r="A439" s="30"/>
      <c r="B439" s="30"/>
      <c r="C439" s="30"/>
      <c r="D439" s="30"/>
      <c r="E439" s="29"/>
      <c r="F439" s="29" t="s">
        <v>52</v>
      </c>
      <c r="G439" s="29" t="s">
        <v>46</v>
      </c>
      <c r="H439" s="31">
        <f>SUM(J424:J426)*SUM(K424:K426)-(SUM(L424:L426))^2</f>
        <v>852668853.95106506</v>
      </c>
      <c r="I439" s="30"/>
      <c r="J439" s="30"/>
      <c r="K439" s="30"/>
      <c r="L439" s="30"/>
      <c r="M439" s="30"/>
      <c r="N439" s="30"/>
      <c r="O439" s="35"/>
      <c r="P439" s="30"/>
    </row>
    <row r="440" spans="1:19" ht="15.75" customHeight="1" x14ac:dyDescent="0.2">
      <c r="A440" s="30"/>
      <c r="B440" s="30"/>
      <c r="C440" s="30"/>
      <c r="D440" s="30"/>
      <c r="E440" s="29"/>
      <c r="F440" s="29" t="s">
        <v>48</v>
      </c>
      <c r="G440" s="29" t="s">
        <v>49</v>
      </c>
      <c r="H440" s="31">
        <f>(1/H439)*((SUM(J424:J426)*SUM(M424:M426))-(SUM(L424:L426)*SUM(N424:N426)))</f>
        <v>3.1501408357077681E-2</v>
      </c>
      <c r="I440" s="30"/>
      <c r="J440" s="30"/>
      <c r="K440" s="30"/>
      <c r="L440" s="30"/>
      <c r="M440" s="30"/>
      <c r="N440" s="30"/>
      <c r="O440" s="30"/>
      <c r="P440" s="30"/>
    </row>
    <row r="441" spans="1:19" ht="15.75" customHeight="1" x14ac:dyDescent="0.2">
      <c r="A441" s="30"/>
      <c r="B441" s="30"/>
      <c r="C441" s="30"/>
      <c r="D441" s="30"/>
      <c r="E441" s="30"/>
      <c r="F441" s="30"/>
      <c r="G441" s="29" t="s">
        <v>51</v>
      </c>
      <c r="H441" s="31">
        <f>SQRT((1/H439)*(SUM(J424:J426)))</f>
        <v>1.3848267021662499E-3</v>
      </c>
      <c r="I441" s="30"/>
      <c r="J441" s="30"/>
      <c r="K441" s="30"/>
      <c r="L441" s="30"/>
      <c r="M441" s="30"/>
      <c r="N441" s="30"/>
      <c r="O441" s="30"/>
      <c r="P441" s="30"/>
    </row>
    <row r="442" spans="1:19" ht="15.75" customHeight="1" x14ac:dyDescent="0.2">
      <c r="A442" s="30"/>
      <c r="B442" s="30"/>
      <c r="C442" s="30"/>
      <c r="D442" s="30"/>
      <c r="E442" s="30"/>
      <c r="F442" s="30"/>
      <c r="G442" s="42"/>
      <c r="H442" s="42"/>
      <c r="I442" s="42"/>
      <c r="J442" s="29"/>
      <c r="K442" s="30"/>
      <c r="L442" s="30"/>
      <c r="M442" s="30"/>
      <c r="N442" s="30"/>
      <c r="O442" s="30"/>
      <c r="P442" s="30"/>
    </row>
    <row r="443" spans="1:19" ht="15.75" customHeight="1" x14ac:dyDescent="0.2">
      <c r="A443" s="29" t="s">
        <v>98</v>
      </c>
      <c r="B443" s="41"/>
      <c r="C443" s="30"/>
      <c r="D443" s="31"/>
      <c r="E443" s="29"/>
      <c r="F443" s="30"/>
      <c r="G443" s="30"/>
      <c r="H443" s="30"/>
      <c r="I443" s="1" t="s">
        <v>99</v>
      </c>
      <c r="J443" s="30"/>
      <c r="K443" s="30"/>
      <c r="L443" s="30"/>
      <c r="M443" s="30"/>
      <c r="N443" s="30"/>
      <c r="O443" s="30"/>
      <c r="P443" s="30"/>
    </row>
    <row r="444" spans="1:19" ht="26.25" customHeight="1" x14ac:dyDescent="0.2">
      <c r="A444" s="29" t="s">
        <v>24</v>
      </c>
      <c r="B444" s="32" t="s">
        <v>83</v>
      </c>
      <c r="C444" s="29" t="s">
        <v>84</v>
      </c>
      <c r="D444" s="31" t="s">
        <v>85</v>
      </c>
      <c r="E444" s="32" t="s">
        <v>86</v>
      </c>
      <c r="F444" s="29" t="s">
        <v>55</v>
      </c>
      <c r="G444" s="29" t="s">
        <v>30</v>
      </c>
      <c r="H444" s="29" t="s">
        <v>31</v>
      </c>
      <c r="I444" s="29" t="s">
        <v>32</v>
      </c>
      <c r="J444" s="29" t="s">
        <v>87</v>
      </c>
      <c r="K444" s="29" t="s">
        <v>88</v>
      </c>
      <c r="L444" s="29" t="s">
        <v>35</v>
      </c>
      <c r="M444" s="29" t="s">
        <v>89</v>
      </c>
      <c r="N444" s="29" t="s">
        <v>90</v>
      </c>
      <c r="O444" s="1" t="s">
        <v>38</v>
      </c>
      <c r="P444" s="12" t="s">
        <v>39</v>
      </c>
      <c r="Q444" s="13" t="s">
        <v>40</v>
      </c>
      <c r="R444" s="12" t="s">
        <v>41</v>
      </c>
      <c r="S444" s="27" t="s">
        <v>79</v>
      </c>
    </row>
    <row r="445" spans="1:19" ht="15.75" customHeight="1" x14ac:dyDescent="0.2">
      <c r="A445" s="29">
        <v>1</v>
      </c>
      <c r="B445" s="33">
        <v>47.15</v>
      </c>
      <c r="C445" s="29">
        <v>25</v>
      </c>
      <c r="D445" s="31">
        <f t="shared" ref="D445:D453" si="212">SQRT(C445)</f>
        <v>5</v>
      </c>
      <c r="E445" s="31">
        <v>20</v>
      </c>
      <c r="F445" s="31">
        <f t="shared" ref="F445:F453" si="213">C445*E445</f>
        <v>500</v>
      </c>
      <c r="G445" s="31">
        <f t="shared" ref="G445:G453" si="214">D445*E445</f>
        <v>100</v>
      </c>
      <c r="H445" s="34">
        <f t="shared" ref="H445:H453" si="215">LOG10(F445)</f>
        <v>2.6989700043360187</v>
      </c>
      <c r="I445" s="31">
        <f t="shared" ref="I445:I453" si="216">0.434 * G445/F445</f>
        <v>8.6800000000000002E-2</v>
      </c>
      <c r="J445" s="35">
        <f t="shared" ref="J445:J453" si="217">(1/I445^2)</f>
        <v>132.72738856208457</v>
      </c>
      <c r="K445" s="31">
        <f t="shared" ref="K445:K453" si="218">B445^2 * J445</f>
        <v>295069.24387861288</v>
      </c>
      <c r="L445" s="31">
        <f t="shared" ref="L445:L453" si="219">B445 * J445</f>
        <v>6258.0963707022875</v>
      </c>
      <c r="M445" s="31">
        <f t="shared" ref="M445:M453" si="220">B445*H445*J445</f>
        <v>16890.414388769575</v>
      </c>
      <c r="N445" s="35">
        <f t="shared" ref="N445:N453" si="221">H445*J445</f>
        <v>358.22724048291786</v>
      </c>
    </row>
    <row r="446" spans="1:19" ht="15.75" customHeight="1" x14ac:dyDescent="0.2">
      <c r="A446" s="29">
        <f t="shared" ref="A446:A451" si="222">A445+1</f>
        <v>2</v>
      </c>
      <c r="B446" s="35">
        <v>81.260000000000005</v>
      </c>
      <c r="C446" s="29">
        <v>97</v>
      </c>
      <c r="D446" s="31">
        <f t="shared" si="212"/>
        <v>9.8488578017961039</v>
      </c>
      <c r="E446" s="31">
        <v>20</v>
      </c>
      <c r="F446" s="31">
        <f t="shared" si="213"/>
        <v>1940</v>
      </c>
      <c r="G446" s="31">
        <f t="shared" si="214"/>
        <v>196.97715603592206</v>
      </c>
      <c r="H446" s="34">
        <f t="shared" si="215"/>
        <v>3.287801729930226</v>
      </c>
      <c r="I446" s="31">
        <f t="shared" si="216"/>
        <v>4.4066023566799062E-2</v>
      </c>
      <c r="J446" s="35">
        <f t="shared" si="217"/>
        <v>514.98226762088825</v>
      </c>
      <c r="K446" s="31">
        <f t="shared" si="218"/>
        <v>3400524.5237741312</v>
      </c>
      <c r="L446" s="31">
        <f t="shared" si="219"/>
        <v>41847.45906687338</v>
      </c>
      <c r="M446" s="31">
        <f t="shared" si="220"/>
        <v>137586.14831325063</v>
      </c>
      <c r="N446" s="35">
        <f t="shared" si="221"/>
        <v>1693.1595903673469</v>
      </c>
      <c r="O446" s="15">
        <f t="shared" ref="O446:O451" si="223">(F446-F445)/(B446-B445)</f>
        <v>42.216358839050123</v>
      </c>
      <c r="P446" s="16">
        <f t="shared" ref="P446:P451" si="224">0.5 *( F446+F445)</f>
        <v>1220</v>
      </c>
      <c r="Q446" s="17">
        <f t="shared" ref="Q446:Q451" si="225">O446/P446</f>
        <v>3.4603572818893542E-2</v>
      </c>
      <c r="R446" s="17">
        <f t="shared" ref="R446:R451" si="226">SQRT((16/(B446-B445)^2)*(1/(F446+F445)^4)*((F445^2 * G446^2)+(F446^2*G445^2 )))</f>
        <v>4.2854299193654539E-3</v>
      </c>
      <c r="S446" s="28">
        <f>LOG10(P446)</f>
        <v>3.0863598306747484</v>
      </c>
    </row>
    <row r="447" spans="1:19" ht="15.75" customHeight="1" x14ac:dyDescent="0.2">
      <c r="A447" s="29">
        <f t="shared" si="222"/>
        <v>3</v>
      </c>
      <c r="B447" s="36">
        <v>107.13</v>
      </c>
      <c r="C447" s="29">
        <v>279</v>
      </c>
      <c r="D447" s="31">
        <f t="shared" si="212"/>
        <v>16.703293088490067</v>
      </c>
      <c r="E447" s="31">
        <v>20</v>
      </c>
      <c r="F447" s="31">
        <f t="shared" si="213"/>
        <v>5580</v>
      </c>
      <c r="G447" s="31">
        <f t="shared" si="214"/>
        <v>334.06586176980136</v>
      </c>
      <c r="H447" s="34">
        <f t="shared" si="215"/>
        <v>3.7466341989375787</v>
      </c>
      <c r="I447" s="31">
        <f t="shared" si="216"/>
        <v>2.5982900359873436E-2</v>
      </c>
      <c r="J447" s="35">
        <f t="shared" si="217"/>
        <v>1481.2376563528637</v>
      </c>
      <c r="K447" s="31">
        <f t="shared" si="218"/>
        <v>16999922.992100064</v>
      </c>
      <c r="L447" s="31">
        <f t="shared" si="219"/>
        <v>158684.99012508229</v>
      </c>
      <c r="M447" s="31">
        <f t="shared" si="220"/>
        <v>594534.61086070526</v>
      </c>
      <c r="N447" s="35">
        <f t="shared" si="221"/>
        <v>5549.655660045788</v>
      </c>
      <c r="O447" s="15">
        <f t="shared" si="223"/>
        <v>140.70351758793976</v>
      </c>
      <c r="P447" s="16">
        <f t="shared" si="224"/>
        <v>3760</v>
      </c>
      <c r="Q447" s="17">
        <f t="shared" si="225"/>
        <v>3.7421148294664829E-2</v>
      </c>
      <c r="R447" s="17">
        <f t="shared" si="226"/>
        <v>3.4887493131113409E-3</v>
      </c>
      <c r="S447" s="28">
        <f t="shared" ref="S447:S451" si="227">LOG10(P447)</f>
        <v>3.5751878449276608</v>
      </c>
    </row>
    <row r="448" spans="1:19" ht="15.75" customHeight="1" x14ac:dyDescent="0.2">
      <c r="A448" s="29">
        <f t="shared" si="222"/>
        <v>4</v>
      </c>
      <c r="B448" s="37">
        <v>100.38</v>
      </c>
      <c r="C448" s="29">
        <v>260</v>
      </c>
      <c r="D448" s="31">
        <f t="shared" si="212"/>
        <v>16.124515496597098</v>
      </c>
      <c r="E448" s="31">
        <v>20</v>
      </c>
      <c r="F448" s="31">
        <f t="shared" si="213"/>
        <v>5200</v>
      </c>
      <c r="G448" s="31">
        <f t="shared" si="214"/>
        <v>322.49030993194197</v>
      </c>
      <c r="H448" s="34">
        <f t="shared" si="215"/>
        <v>3.716003343634799</v>
      </c>
      <c r="I448" s="31">
        <f t="shared" si="216"/>
        <v>2.6915537405858236E-2</v>
      </c>
      <c r="J448" s="35">
        <f t="shared" si="217"/>
        <v>1380.3648410456792</v>
      </c>
      <c r="K448" s="31">
        <f t="shared" si="218"/>
        <v>13908755.46305931</v>
      </c>
      <c r="L448" s="31">
        <f t="shared" si="219"/>
        <v>138561.02274416527</v>
      </c>
      <c r="M448" s="31">
        <f t="shared" si="220"/>
        <v>514893.22381477559</v>
      </c>
      <c r="N448" s="35">
        <f t="shared" si="221"/>
        <v>5129.4403647616618</v>
      </c>
      <c r="O448" s="15">
        <f t="shared" si="223"/>
        <v>56.296296296296298</v>
      </c>
      <c r="P448" s="16">
        <f t="shared" si="224"/>
        <v>5390</v>
      </c>
      <c r="Q448" s="17">
        <f t="shared" si="225"/>
        <v>1.0444581873153303E-2</v>
      </c>
      <c r="R448" s="17">
        <f t="shared" si="226"/>
        <v>1.2754453251791279E-2</v>
      </c>
      <c r="S448" s="28">
        <f t="shared" si="227"/>
        <v>3.7315887651867388</v>
      </c>
    </row>
    <row r="449" spans="1:19" ht="15.75" customHeight="1" x14ac:dyDescent="0.2">
      <c r="A449" s="29">
        <f t="shared" si="222"/>
        <v>5</v>
      </c>
      <c r="B449" s="36">
        <v>126.33</v>
      </c>
      <c r="C449" s="29">
        <v>14</v>
      </c>
      <c r="D449" s="31">
        <f t="shared" si="212"/>
        <v>3.7416573867739413</v>
      </c>
      <c r="E449" s="31">
        <f>(1/8)*10000</f>
        <v>1250</v>
      </c>
      <c r="F449" s="31">
        <f t="shared" si="213"/>
        <v>17500</v>
      </c>
      <c r="G449" s="31">
        <f t="shared" si="214"/>
        <v>4677.0717334674264</v>
      </c>
      <c r="H449" s="34">
        <f t="shared" si="215"/>
        <v>4.2430380486862944</v>
      </c>
      <c r="I449" s="31">
        <f t="shared" si="216"/>
        <v>0.11599137898999218</v>
      </c>
      <c r="J449" s="35">
        <f t="shared" si="217"/>
        <v>74.327337594767357</v>
      </c>
      <c r="K449" s="31">
        <f t="shared" si="218"/>
        <v>1186209.9672959715</v>
      </c>
      <c r="L449" s="31">
        <f t="shared" si="219"/>
        <v>9389.7725583469601</v>
      </c>
      <c r="M449" s="31">
        <f t="shared" si="220"/>
        <v>39841.162233576601</v>
      </c>
      <c r="N449" s="35">
        <f t="shared" si="221"/>
        <v>315.37372147214916</v>
      </c>
      <c r="O449" s="15">
        <f t="shared" si="223"/>
        <v>473.98843930635832</v>
      </c>
      <c r="P449" s="16">
        <f t="shared" si="224"/>
        <v>11350</v>
      </c>
      <c r="Q449" s="17">
        <f t="shared" si="225"/>
        <v>4.1761095974128484E-2</v>
      </c>
      <c r="R449" s="17">
        <f t="shared" si="226"/>
        <v>7.4685603841323457E-3</v>
      </c>
      <c r="S449" s="28">
        <f t="shared" si="227"/>
        <v>4.0549958615291413</v>
      </c>
    </row>
    <row r="450" spans="1:19" ht="15.75" customHeight="1" x14ac:dyDescent="0.2">
      <c r="A450" s="29">
        <f t="shared" si="222"/>
        <v>6</v>
      </c>
      <c r="B450" s="36">
        <v>152.55000000000001</v>
      </c>
      <c r="C450" s="29">
        <v>30</v>
      </c>
      <c r="D450" s="31">
        <f t="shared" si="212"/>
        <v>5.4772255750516612</v>
      </c>
      <c r="E450" s="31">
        <f>(1/4)*10000</f>
        <v>2500</v>
      </c>
      <c r="F450" s="31">
        <f t="shared" si="213"/>
        <v>75000</v>
      </c>
      <c r="G450" s="31">
        <f t="shared" si="214"/>
        <v>13693.063937629153</v>
      </c>
      <c r="H450" s="34">
        <f t="shared" si="215"/>
        <v>4.8750612633917001</v>
      </c>
      <c r="I450" s="31">
        <f t="shared" si="216"/>
        <v>7.9237196652414035E-2</v>
      </c>
      <c r="J450" s="35">
        <f t="shared" si="217"/>
        <v>159.27286627450147</v>
      </c>
      <c r="K450" s="31">
        <f t="shared" si="218"/>
        <v>3706518.9056892269</v>
      </c>
      <c r="L450" s="31">
        <f t="shared" si="219"/>
        <v>24297.075750175201</v>
      </c>
      <c r="M450" s="31">
        <f t="shared" si="220"/>
        <v>118449.73280337294</v>
      </c>
      <c r="N450" s="35">
        <f t="shared" si="221"/>
        <v>776.46498068418839</v>
      </c>
      <c r="O450" s="15">
        <f t="shared" si="223"/>
        <v>2192.9824561403498</v>
      </c>
      <c r="P450" s="16">
        <f t="shared" si="224"/>
        <v>46250</v>
      </c>
      <c r="Q450" s="17">
        <f t="shared" si="225"/>
        <v>4.7415836889521078E-2</v>
      </c>
      <c r="R450" s="17">
        <f t="shared" si="226"/>
        <v>7.5743408303695012E-3</v>
      </c>
      <c r="S450" s="28">
        <f t="shared" si="227"/>
        <v>4.6651117370750512</v>
      </c>
    </row>
    <row r="451" spans="1:19" ht="15.75" customHeight="1" x14ac:dyDescent="0.2">
      <c r="A451" s="29">
        <f t="shared" si="222"/>
        <v>7</v>
      </c>
      <c r="B451" s="37">
        <v>176.76</v>
      </c>
      <c r="C451" s="29">
        <v>144</v>
      </c>
      <c r="D451" s="31">
        <f t="shared" si="212"/>
        <v>12</v>
      </c>
      <c r="E451" s="31">
        <f>(1/3)*10000</f>
        <v>3333.333333333333</v>
      </c>
      <c r="F451" s="31">
        <f t="shared" si="213"/>
        <v>479999.99999999994</v>
      </c>
      <c r="G451" s="31">
        <f t="shared" si="214"/>
        <v>40000</v>
      </c>
      <c r="H451" s="34">
        <f t="shared" si="215"/>
        <v>5.6812412373755867</v>
      </c>
      <c r="I451" s="31">
        <f t="shared" si="216"/>
        <v>3.6166666666666673E-2</v>
      </c>
      <c r="J451" s="35">
        <f t="shared" si="217"/>
        <v>764.50975811760679</v>
      </c>
      <c r="K451" s="31">
        <f t="shared" si="218"/>
        <v>23886417.498778898</v>
      </c>
      <c r="L451" s="31">
        <f t="shared" si="219"/>
        <v>135134.74484486817</v>
      </c>
      <c r="M451" s="31">
        <f t="shared" si="220"/>
        <v>767733.08501489309</v>
      </c>
      <c r="N451" s="35">
        <f t="shared" si="221"/>
        <v>4343.3643641937833</v>
      </c>
      <c r="O451" s="15">
        <f t="shared" si="223"/>
        <v>16728.624535315997</v>
      </c>
      <c r="P451" s="16">
        <f t="shared" si="224"/>
        <v>277500</v>
      </c>
      <c r="Q451" s="17">
        <f t="shared" si="225"/>
        <v>6.0283331658796388E-2</v>
      </c>
      <c r="R451" s="17">
        <f t="shared" si="226"/>
        <v>3.8753817267619651E-3</v>
      </c>
      <c r="S451" s="28">
        <f t="shared" si="227"/>
        <v>5.4432629874586951</v>
      </c>
    </row>
    <row r="452" spans="1:19" ht="15.75" customHeight="1" x14ac:dyDescent="0.2">
      <c r="A452" s="29">
        <v>8</v>
      </c>
      <c r="B452" s="36">
        <v>194.86</v>
      </c>
      <c r="C452" s="29">
        <v>92</v>
      </c>
      <c r="D452" s="31">
        <f t="shared" si="212"/>
        <v>9.5916630466254382</v>
      </c>
      <c r="E452" s="31">
        <f>(16/8)*10000</f>
        <v>20000</v>
      </c>
      <c r="F452" s="31">
        <f t="shared" si="213"/>
        <v>1840000</v>
      </c>
      <c r="G452" s="31">
        <f t="shared" si="214"/>
        <v>191833.26093250877</v>
      </c>
      <c r="H452" s="34">
        <f t="shared" si="215"/>
        <v>6.2648178230095368</v>
      </c>
      <c r="I452" s="31">
        <f t="shared" si="216"/>
        <v>4.5247627850385219E-2</v>
      </c>
      <c r="J452" s="35">
        <f t="shared" si="217"/>
        <v>488.43678990847133</v>
      </c>
      <c r="K452" s="31">
        <f t="shared" si="218"/>
        <v>18546149.860901706</v>
      </c>
      <c r="L452" s="31">
        <f t="shared" si="219"/>
        <v>95176.792881564732</v>
      </c>
      <c r="M452" s="31">
        <f t="shared" si="220"/>
        <v>596265.268381314</v>
      </c>
      <c r="N452" s="35">
        <f t="shared" si="221"/>
        <v>3059.9675068321558</v>
      </c>
      <c r="O452" s="15">
        <f t="shared" ref="O452:O453" si="228">(F452-F451)/(B452-B451)</f>
        <v>75138.121546961236</v>
      </c>
      <c r="P452" s="16">
        <f t="shared" ref="P452:P453" si="229">0.5 *( F452+F451)</f>
        <v>1160000</v>
      </c>
      <c r="Q452" s="17">
        <f t="shared" ref="Q452:Q453" si="230">O452/P452</f>
        <v>6.4774242712897612E-2</v>
      </c>
      <c r="R452" s="17">
        <f t="shared" ref="R452:R453" si="231">SQRT((16/(B452-B451)^2)*(1/(F452+F451)^4)*((F451^2 * G452^2)+(F452^2*G451^2 )))</f>
        <v>4.8399998571534378E-3</v>
      </c>
      <c r="S452" s="28">
        <f t="shared" ref="S452:S453" si="232">LOG10(P452)</f>
        <v>6.0644579892269181</v>
      </c>
    </row>
    <row r="453" spans="1:19" ht="15.75" customHeight="1" x14ac:dyDescent="0.25">
      <c r="A453" s="43">
        <v>9</v>
      </c>
      <c r="B453" s="38">
        <v>218.95</v>
      </c>
      <c r="C453" s="29">
        <v>34</v>
      </c>
      <c r="D453" s="31">
        <f t="shared" si="212"/>
        <v>5.8309518948453007</v>
      </c>
      <c r="E453" s="31">
        <f>16 * 10000</f>
        <v>160000</v>
      </c>
      <c r="F453" s="31">
        <f t="shared" si="213"/>
        <v>5440000</v>
      </c>
      <c r="G453" s="31">
        <f t="shared" si="214"/>
        <v>932952.30317524809</v>
      </c>
      <c r="H453" s="34">
        <f t="shared" si="215"/>
        <v>6.7355988996981795</v>
      </c>
      <c r="I453" s="31">
        <f t="shared" si="216"/>
        <v>7.4430385951848838E-2</v>
      </c>
      <c r="J453" s="35">
        <f t="shared" si="217"/>
        <v>180.509248444435</v>
      </c>
      <c r="K453" s="31">
        <f t="shared" si="218"/>
        <v>8653451.3633757345</v>
      </c>
      <c r="L453" s="31">
        <f t="shared" si="219"/>
        <v>39522.49994690904</v>
      </c>
      <c r="M453" s="31">
        <f t="shared" si="220"/>
        <v>266207.7071557219</v>
      </c>
      <c r="N453" s="35">
        <f t="shared" si="221"/>
        <v>1215.8378952076816</v>
      </c>
      <c r="O453" s="15">
        <f t="shared" si="228"/>
        <v>149439.60149439616</v>
      </c>
      <c r="P453" s="16">
        <f t="shared" si="229"/>
        <v>3640000</v>
      </c>
      <c r="Q453" s="17">
        <f t="shared" si="230"/>
        <v>4.1054835575383558E-2</v>
      </c>
      <c r="R453" s="17">
        <f t="shared" si="231"/>
        <v>6.2940335820269892E-3</v>
      </c>
      <c r="S453" s="28">
        <f t="shared" si="232"/>
        <v>6.5611013836490564</v>
      </c>
    </row>
    <row r="454" spans="1:19" ht="15.75" customHeight="1" x14ac:dyDescent="0.2">
      <c r="A454" s="30"/>
      <c r="B454" s="39"/>
      <c r="C454" s="30"/>
      <c r="D454" s="31"/>
      <c r="E454" s="31"/>
      <c r="F454" s="31"/>
      <c r="G454" s="31"/>
      <c r="H454" s="34"/>
      <c r="I454" s="30"/>
      <c r="J454" s="35"/>
      <c r="K454" s="31"/>
      <c r="L454" s="31"/>
      <c r="M454" s="31"/>
      <c r="N454" s="35"/>
      <c r="O454" s="35"/>
      <c r="P454" s="30"/>
    </row>
    <row r="455" spans="1:19" ht="15.75" customHeight="1" x14ac:dyDescent="0.2">
      <c r="A455" s="30"/>
      <c r="B455" s="30"/>
      <c r="C455" s="30"/>
      <c r="D455" s="31"/>
      <c r="E455" s="31"/>
      <c r="F455" s="31"/>
      <c r="G455" s="31"/>
      <c r="H455" s="34"/>
      <c r="I455" s="30"/>
      <c r="J455" s="35"/>
      <c r="K455" s="31"/>
      <c r="L455" s="31"/>
      <c r="M455" s="31"/>
      <c r="N455" s="35"/>
      <c r="O455" s="35"/>
      <c r="P455" s="30"/>
    </row>
    <row r="456" spans="1:19" ht="15.75" customHeight="1" x14ac:dyDescent="0.2">
      <c r="A456" s="30"/>
      <c r="B456" s="30"/>
      <c r="C456" s="30"/>
      <c r="D456" s="31"/>
      <c r="E456" s="31"/>
      <c r="F456" s="31"/>
      <c r="G456" s="31"/>
      <c r="H456" s="34"/>
      <c r="I456" s="30"/>
      <c r="J456" s="35"/>
      <c r="K456" s="31"/>
      <c r="L456" s="31"/>
      <c r="M456" s="31"/>
      <c r="N456" s="35"/>
      <c r="O456" s="35"/>
      <c r="P456" s="30"/>
    </row>
    <row r="457" spans="1:19" ht="15.75" customHeight="1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5"/>
      <c r="P457" s="30"/>
    </row>
    <row r="458" spans="1:19" ht="15.75" customHeight="1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5"/>
      <c r="P458" s="30"/>
    </row>
    <row r="459" spans="1:19" ht="15.75" customHeight="1" x14ac:dyDescent="0.2">
      <c r="A459" s="30"/>
      <c r="B459" s="30"/>
      <c r="C459" s="30"/>
      <c r="D459" s="30"/>
      <c r="E459" s="29"/>
      <c r="F459" s="29" t="s">
        <v>91</v>
      </c>
      <c r="G459" s="30"/>
      <c r="H459" s="30"/>
      <c r="I459" s="30"/>
      <c r="J459" s="30"/>
      <c r="K459" s="30"/>
      <c r="L459" s="30"/>
      <c r="M459" s="30"/>
      <c r="N459" s="30"/>
      <c r="O459" s="35"/>
      <c r="P459" s="30"/>
    </row>
    <row r="460" spans="1:19" ht="15.75" customHeight="1" x14ac:dyDescent="0.2">
      <c r="A460" s="29" t="s">
        <v>47</v>
      </c>
      <c r="B460" s="30"/>
      <c r="C460" s="30"/>
      <c r="D460" s="30"/>
      <c r="E460" s="29"/>
      <c r="F460" s="29" t="s">
        <v>45</v>
      </c>
      <c r="G460" s="29" t="s">
        <v>46</v>
      </c>
      <c r="H460" s="31">
        <f>SUM(J445:J446)*SUM(K445:K446)-(SUM(L445:L446))^2</f>
        <v>79527304.680630207</v>
      </c>
      <c r="I460" s="30"/>
      <c r="J460" s="30"/>
      <c r="K460" s="30"/>
      <c r="L460" s="30"/>
      <c r="M460" s="30"/>
      <c r="N460" s="30"/>
      <c r="O460" s="35"/>
      <c r="P460" s="30"/>
    </row>
    <row r="461" spans="1:19" ht="15.75" customHeight="1" x14ac:dyDescent="0.2">
      <c r="A461" s="29" t="s">
        <v>50</v>
      </c>
      <c r="B461" s="30"/>
      <c r="C461" s="30"/>
      <c r="D461" s="30"/>
      <c r="E461" s="29"/>
      <c r="F461" s="29" t="s">
        <v>48</v>
      </c>
      <c r="G461" s="29" t="s">
        <v>49</v>
      </c>
      <c r="H461" s="31">
        <f>(1/H460)*((SUM(J445:J446)*SUM(M445:M446))-(SUM(L445:L446)*SUM(N445:N446)))</f>
        <v>1.7262730155209741E-2</v>
      </c>
      <c r="I461" s="30"/>
      <c r="J461" s="30"/>
      <c r="K461" s="30"/>
      <c r="L461" s="30"/>
      <c r="M461" s="30"/>
      <c r="N461" s="30"/>
      <c r="O461" s="35"/>
      <c r="P461" s="30"/>
    </row>
    <row r="462" spans="1:19" ht="15.75" customHeight="1" x14ac:dyDescent="0.2">
      <c r="A462" s="30"/>
      <c r="B462" s="30"/>
      <c r="C462" s="30"/>
      <c r="D462" s="30"/>
      <c r="E462" s="30"/>
      <c r="F462" s="30"/>
      <c r="G462" s="29" t="s">
        <v>51</v>
      </c>
      <c r="H462" s="31">
        <f>SQRT((1/H460)*(SUM(J445:J446)))</f>
        <v>2.853855988784384E-3</v>
      </c>
      <c r="I462" s="30"/>
      <c r="J462" s="30"/>
      <c r="K462" s="30"/>
      <c r="L462" s="30"/>
      <c r="M462" s="30"/>
      <c r="N462" s="30"/>
      <c r="O462" s="35"/>
      <c r="P462" s="30"/>
    </row>
    <row r="463" spans="1:19" ht="15.75" customHeight="1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5"/>
      <c r="P463" s="30"/>
    </row>
    <row r="464" spans="1:19" ht="15.75" customHeight="1" x14ac:dyDescent="0.2">
      <c r="A464" s="30"/>
      <c r="B464" s="30"/>
      <c r="C464" s="30"/>
      <c r="D464" s="30"/>
      <c r="E464" s="29"/>
      <c r="F464" s="29" t="s">
        <v>52</v>
      </c>
      <c r="G464" s="29" t="s">
        <v>46</v>
      </c>
      <c r="H464" s="31">
        <f>SUM(J450:J453)*SUM(K450:K453)-(SUM(L450:L453))^2</f>
        <v>756533302.07991028</v>
      </c>
      <c r="I464" s="30"/>
      <c r="J464" s="30"/>
      <c r="K464" s="30"/>
      <c r="L464" s="30"/>
      <c r="M464" s="30"/>
      <c r="N464" s="30"/>
      <c r="O464" s="35"/>
      <c r="P464" s="30"/>
    </row>
    <row r="465" spans="1:19" ht="15.75" customHeight="1" x14ac:dyDescent="0.2">
      <c r="A465" s="30"/>
      <c r="B465" s="30"/>
      <c r="C465" s="30"/>
      <c r="D465" s="30"/>
      <c r="E465" s="29"/>
      <c r="F465" s="29" t="s">
        <v>48</v>
      </c>
      <c r="G465" s="29" t="s">
        <v>49</v>
      </c>
      <c r="H465" s="31">
        <f>(1/H464)*((SUM(J450:J453)*SUM(M450:M453))-(SUM(L450:L453)*SUM(N450:N453)))</f>
        <v>2.8532377703858421E-2</v>
      </c>
      <c r="I465" s="30"/>
      <c r="J465" s="30"/>
      <c r="K465" s="30"/>
      <c r="L465" s="30"/>
      <c r="M465" s="30"/>
      <c r="N465" s="30"/>
      <c r="O465" s="30"/>
      <c r="P465" s="30"/>
    </row>
    <row r="466" spans="1:19" ht="15.75" customHeight="1" x14ac:dyDescent="0.2">
      <c r="A466" s="30"/>
      <c r="B466" s="30"/>
      <c r="C466" s="30"/>
      <c r="D466" s="30"/>
      <c r="E466" s="30"/>
      <c r="F466" s="30"/>
      <c r="G466" s="29" t="s">
        <v>51</v>
      </c>
      <c r="H466" s="31">
        <f>SQRT((1/H464)*(SUM(J450:J453)))</f>
        <v>1.4509647869066222E-3</v>
      </c>
      <c r="I466" s="30"/>
      <c r="J466" s="30"/>
      <c r="K466" s="30"/>
      <c r="L466" s="30"/>
      <c r="M466" s="30"/>
      <c r="N466" s="30"/>
      <c r="O466" s="30"/>
      <c r="P466" s="30"/>
    </row>
    <row r="467" spans="1:19" ht="15.75" customHeight="1" x14ac:dyDescent="0.2">
      <c r="A467" s="30"/>
      <c r="B467" s="30"/>
      <c r="C467" s="30"/>
      <c r="D467" s="30"/>
      <c r="E467" s="30"/>
      <c r="F467" s="30"/>
      <c r="G467" s="42"/>
      <c r="H467" s="42"/>
      <c r="I467" s="42"/>
      <c r="J467" s="29"/>
      <c r="K467" s="30"/>
      <c r="L467" s="30"/>
      <c r="M467" s="30"/>
      <c r="N467" s="30"/>
      <c r="O467" s="30"/>
      <c r="P467" s="30"/>
    </row>
    <row r="468" spans="1:19" ht="15.75" customHeight="1" x14ac:dyDescent="0.2">
      <c r="A468" s="29" t="s">
        <v>100</v>
      </c>
      <c r="B468" s="41"/>
      <c r="C468" s="30"/>
      <c r="D468" s="44"/>
      <c r="E468" s="29"/>
      <c r="F468" s="30"/>
      <c r="G468" s="30"/>
      <c r="H468" s="30"/>
      <c r="I468" s="29" t="s">
        <v>101</v>
      </c>
      <c r="J468" s="30"/>
      <c r="K468" s="30"/>
      <c r="L468" s="30"/>
      <c r="M468" s="30"/>
      <c r="N468" s="30"/>
      <c r="O468" s="30"/>
      <c r="P468" s="30"/>
    </row>
    <row r="469" spans="1:19" ht="26.25" customHeight="1" x14ac:dyDescent="0.2">
      <c r="A469" s="29" t="s">
        <v>24</v>
      </c>
      <c r="B469" s="32" t="s">
        <v>83</v>
      </c>
      <c r="C469" s="29" t="s">
        <v>84</v>
      </c>
      <c r="D469" s="31" t="s">
        <v>85</v>
      </c>
      <c r="E469" s="32" t="s">
        <v>86</v>
      </c>
      <c r="F469" s="29" t="s">
        <v>55</v>
      </c>
      <c r="G469" s="29" t="s">
        <v>30</v>
      </c>
      <c r="H469" s="29" t="s">
        <v>31</v>
      </c>
      <c r="I469" s="29" t="s">
        <v>32</v>
      </c>
      <c r="J469" s="29" t="s">
        <v>87</v>
      </c>
      <c r="K469" s="29" t="s">
        <v>88</v>
      </c>
      <c r="L469" s="29" t="s">
        <v>35</v>
      </c>
      <c r="M469" s="29" t="s">
        <v>89</v>
      </c>
      <c r="N469" s="29" t="s">
        <v>90</v>
      </c>
      <c r="O469" s="1" t="s">
        <v>38</v>
      </c>
      <c r="P469" s="12" t="s">
        <v>39</v>
      </c>
      <c r="Q469" s="13" t="s">
        <v>40</v>
      </c>
      <c r="R469" s="12" t="s">
        <v>41</v>
      </c>
      <c r="S469" s="27" t="s">
        <v>79</v>
      </c>
    </row>
    <row r="470" spans="1:19" ht="15.75" customHeight="1" x14ac:dyDescent="0.2">
      <c r="A470" s="29">
        <v>1</v>
      </c>
      <c r="B470" s="33">
        <v>62.17</v>
      </c>
      <c r="C470" s="29">
        <v>27</v>
      </c>
      <c r="D470" s="31">
        <f t="shared" ref="D470:D476" si="233">SQRT(C470)</f>
        <v>5.196152422706632</v>
      </c>
      <c r="E470" s="31">
        <f>(40/30)*20</f>
        <v>26.666666666666664</v>
      </c>
      <c r="F470" s="31">
        <f t="shared" ref="F470:F476" si="234">C470*E470</f>
        <v>719.99999999999989</v>
      </c>
      <c r="G470" s="31">
        <f t="shared" ref="G470:G476" si="235">D470*E470</f>
        <v>138.56406460551017</v>
      </c>
      <c r="H470" s="34">
        <f t="shared" ref="H470:H476" si="236">LOG10(F470)</f>
        <v>2.8573324964312685</v>
      </c>
      <c r="I470" s="31">
        <f t="shared" ref="I470:I476" si="237">0.434 * G470/F470</f>
        <v>8.3523338942765868E-2</v>
      </c>
      <c r="J470" s="35">
        <f t="shared" ref="J470:J476" si="238">(1/I470^2)</f>
        <v>143.3455796470513</v>
      </c>
      <c r="K470" s="31">
        <f t="shared" ref="K470:K476" si="239">B470^2 * J470</f>
        <v>554046.27566947683</v>
      </c>
      <c r="L470" s="31">
        <f t="shared" ref="L470:L476" si="240">B470 * J470</f>
        <v>8911.7946866571801</v>
      </c>
      <c r="M470" s="31">
        <f t="shared" ref="M470:M476" si="241">B470*H470*J470</f>
        <v>25463.960559709074</v>
      </c>
      <c r="N470" s="35">
        <f t="shared" ref="N470:N476" si="242">H470*J470</f>
        <v>409.58598294529634</v>
      </c>
    </row>
    <row r="471" spans="1:19" ht="15.75" customHeight="1" x14ac:dyDescent="0.2">
      <c r="A471" s="29">
        <f t="shared" ref="A471:A476" si="243">A470+1</f>
        <v>2</v>
      </c>
      <c r="B471" s="35">
        <v>96.15</v>
      </c>
      <c r="C471" s="29">
        <v>83</v>
      </c>
      <c r="D471" s="31">
        <f t="shared" si="233"/>
        <v>9.1104335791442992</v>
      </c>
      <c r="E471" s="31">
        <v>20</v>
      </c>
      <c r="F471" s="31">
        <f t="shared" si="234"/>
        <v>1660</v>
      </c>
      <c r="G471" s="31">
        <f t="shared" si="235"/>
        <v>182.20867158288598</v>
      </c>
      <c r="H471" s="34">
        <f t="shared" si="236"/>
        <v>3.220108088040055</v>
      </c>
      <c r="I471" s="31">
        <f t="shared" si="237"/>
        <v>4.7637688835525611E-2</v>
      </c>
      <c r="J471" s="35">
        <f t="shared" si="238"/>
        <v>440.65493002612072</v>
      </c>
      <c r="K471" s="31">
        <f t="shared" si="239"/>
        <v>4073776.6118414067</v>
      </c>
      <c r="L471" s="31">
        <f t="shared" si="240"/>
        <v>42368.97152201151</v>
      </c>
      <c r="M471" s="31">
        <f t="shared" si="241"/>
        <v>136432.66787996804</v>
      </c>
      <c r="N471" s="35">
        <f t="shared" si="242"/>
        <v>1418.9565042118359</v>
      </c>
      <c r="O471" s="15">
        <f t="shared" ref="O471:O476" si="244">(F471-F470)/(B471-B470)</f>
        <v>27.663331371394939</v>
      </c>
      <c r="P471" s="16">
        <f t="shared" ref="P471:P476" si="245">0.5 *( F471+F470)</f>
        <v>1190</v>
      </c>
      <c r="Q471" s="17">
        <f t="shared" ref="Q471:Q476" si="246">O471/P471</f>
        <v>2.3246496950752048E-2</v>
      </c>
      <c r="R471" s="17">
        <f t="shared" ref="R471:R476" si="247">SQRT((16/(B471-B470)^2)*(1/(F471+F470)^4)*((F470^2 * G471^2)+(F471^2*G470^2 )))</f>
        <v>5.502989719338095E-3</v>
      </c>
      <c r="S471" s="28">
        <f>LOG10(P471)</f>
        <v>3.0755469613925306</v>
      </c>
    </row>
    <row r="472" spans="1:19" ht="15.75" customHeight="1" x14ac:dyDescent="0.2">
      <c r="A472" s="29">
        <f t="shared" si="243"/>
        <v>3</v>
      </c>
      <c r="B472" s="36">
        <v>115.22</v>
      </c>
      <c r="C472" s="29">
        <v>287</v>
      </c>
      <c r="D472" s="31">
        <f t="shared" si="233"/>
        <v>16.941074346097416</v>
      </c>
      <c r="E472" s="31">
        <f>(40/30)*20</f>
        <v>26.666666666666664</v>
      </c>
      <c r="F472" s="31">
        <f t="shared" si="234"/>
        <v>7653.333333333333</v>
      </c>
      <c r="G472" s="31">
        <f t="shared" si="235"/>
        <v>451.76198256259772</v>
      </c>
      <c r="H472" s="34">
        <f t="shared" si="236"/>
        <v>3.8838506290062735</v>
      </c>
      <c r="I472" s="31">
        <f t="shared" si="237"/>
        <v>2.5618209986781455E-2</v>
      </c>
      <c r="J472" s="35">
        <f t="shared" si="238"/>
        <v>1523.7104206927313</v>
      </c>
      <c r="K472" s="31">
        <f t="shared" si="239"/>
        <v>20228243.808532786</v>
      </c>
      <c r="L472" s="31">
        <f t="shared" si="240"/>
        <v>175561.91467221649</v>
      </c>
      <c r="M472" s="31">
        <f t="shared" si="241"/>
        <v>681856.25272923382</v>
      </c>
      <c r="N472" s="35">
        <f t="shared" si="242"/>
        <v>5917.8636758308785</v>
      </c>
      <c r="O472" s="15">
        <f t="shared" si="244"/>
        <v>314.28072015381935</v>
      </c>
      <c r="P472" s="16">
        <f t="shared" si="245"/>
        <v>4656.6666666666661</v>
      </c>
      <c r="Q472" s="17">
        <f t="shared" si="246"/>
        <v>6.7490491085286916E-2</v>
      </c>
      <c r="R472" s="17">
        <f t="shared" si="247"/>
        <v>3.8289402445786705E-3</v>
      </c>
      <c r="S472" s="28">
        <f t="shared" ref="S472:S476" si="248">LOG10(P472)</f>
        <v>3.6680751513945196</v>
      </c>
    </row>
    <row r="473" spans="1:19" ht="15.75" customHeight="1" x14ac:dyDescent="0.2">
      <c r="A473" s="29">
        <f t="shared" si="243"/>
        <v>4</v>
      </c>
      <c r="B473" s="37">
        <v>141.22</v>
      </c>
      <c r="C473" s="29">
        <v>16</v>
      </c>
      <c r="D473" s="31">
        <f t="shared" si="233"/>
        <v>4</v>
      </c>
      <c r="E473" s="31">
        <f>(1/4)*10000</f>
        <v>2500</v>
      </c>
      <c r="F473" s="31">
        <f t="shared" si="234"/>
        <v>40000</v>
      </c>
      <c r="G473" s="31">
        <f t="shared" si="235"/>
        <v>10000</v>
      </c>
      <c r="H473" s="34">
        <f t="shared" si="236"/>
        <v>4.6020599913279625</v>
      </c>
      <c r="I473" s="31">
        <f t="shared" si="237"/>
        <v>0.1085</v>
      </c>
      <c r="J473" s="35">
        <f t="shared" si="238"/>
        <v>84.945528679734124</v>
      </c>
      <c r="K473" s="31">
        <f t="shared" si="239"/>
        <v>1694076.187644673</v>
      </c>
      <c r="L473" s="31">
        <f t="shared" si="240"/>
        <v>11996.007560152053</v>
      </c>
      <c r="M473" s="31">
        <f t="shared" si="241"/>
        <v>55206.34644824353</v>
      </c>
      <c r="N473" s="35">
        <f t="shared" si="242"/>
        <v>390.92441897920639</v>
      </c>
      <c r="O473" s="15">
        <f t="shared" si="244"/>
        <v>1244.1025641025642</v>
      </c>
      <c r="P473" s="16">
        <f t="shared" si="245"/>
        <v>23826.666666666668</v>
      </c>
      <c r="Q473" s="17">
        <f t="shared" si="246"/>
        <v>5.22147130988765E-2</v>
      </c>
      <c r="R473" s="17">
        <f t="shared" si="247"/>
        <v>5.327593356603386E-3</v>
      </c>
      <c r="S473" s="28">
        <f t="shared" si="248"/>
        <v>4.377063289113944</v>
      </c>
    </row>
    <row r="474" spans="1:19" ht="15.75" customHeight="1" x14ac:dyDescent="0.2">
      <c r="A474" s="29">
        <f t="shared" si="243"/>
        <v>5</v>
      </c>
      <c r="B474" s="36">
        <v>167.4</v>
      </c>
      <c r="C474" s="29">
        <f>(20+22)</f>
        <v>42</v>
      </c>
      <c r="D474" s="31">
        <f t="shared" si="233"/>
        <v>6.4807406984078604</v>
      </c>
      <c r="E474" s="31">
        <f>(1/2)*10000</f>
        <v>5000</v>
      </c>
      <c r="F474" s="31">
        <f t="shared" si="234"/>
        <v>210000</v>
      </c>
      <c r="G474" s="31">
        <f t="shared" si="235"/>
        <v>32403.703492039302</v>
      </c>
      <c r="H474" s="34">
        <f t="shared" si="236"/>
        <v>5.3222192947339195</v>
      </c>
      <c r="I474" s="31">
        <f t="shared" si="237"/>
        <v>6.696765388354789E-2</v>
      </c>
      <c r="J474" s="35">
        <f t="shared" si="238"/>
        <v>222.98201278430207</v>
      </c>
      <c r="K474" s="31">
        <f t="shared" si="239"/>
        <v>6248571.4285714291</v>
      </c>
      <c r="L474" s="31">
        <f t="shared" si="240"/>
        <v>37327.188940092165</v>
      </c>
      <c r="M474" s="31">
        <f t="shared" si="241"/>
        <v>198663.48519513709</v>
      </c>
      <c r="N474" s="35">
        <f t="shared" si="242"/>
        <v>1186.7591708192181</v>
      </c>
      <c r="O474" s="15">
        <f t="shared" si="244"/>
        <v>6493.506493506492</v>
      </c>
      <c r="P474" s="16">
        <f t="shared" si="245"/>
        <v>125000</v>
      </c>
      <c r="Q474" s="17">
        <f t="shared" si="246"/>
        <v>5.1948051948051938E-2</v>
      </c>
      <c r="R474" s="17">
        <f t="shared" si="247"/>
        <v>6.032800698794469E-3</v>
      </c>
      <c r="S474" s="28">
        <f t="shared" si="248"/>
        <v>5.0969100130080562</v>
      </c>
    </row>
    <row r="475" spans="1:19" ht="15.75" customHeight="1" x14ac:dyDescent="0.2">
      <c r="A475" s="29">
        <f t="shared" si="243"/>
        <v>6</v>
      </c>
      <c r="B475" s="36">
        <v>191.6</v>
      </c>
      <c r="C475" s="29">
        <v>161</v>
      </c>
      <c r="D475" s="31">
        <f t="shared" si="233"/>
        <v>12.68857754044952</v>
      </c>
      <c r="E475" s="31">
        <v>10000</v>
      </c>
      <c r="F475" s="31">
        <f t="shared" si="234"/>
        <v>1610000</v>
      </c>
      <c r="G475" s="31">
        <f t="shared" si="235"/>
        <v>126885.7754044952</v>
      </c>
      <c r="H475" s="34">
        <f t="shared" si="236"/>
        <v>6.20682587603185</v>
      </c>
      <c r="I475" s="31">
        <f t="shared" si="237"/>
        <v>3.4203991630776968E-2</v>
      </c>
      <c r="J475" s="35">
        <f t="shared" si="238"/>
        <v>854.76438233982446</v>
      </c>
      <c r="K475" s="31">
        <f t="shared" si="239"/>
        <v>31378879.143749066</v>
      </c>
      <c r="L475" s="31">
        <f t="shared" si="240"/>
        <v>163772.85565631036</v>
      </c>
      <c r="M475" s="31">
        <f t="shared" si="241"/>
        <v>1016509.5982792163</v>
      </c>
      <c r="N475" s="35">
        <f t="shared" si="242"/>
        <v>5305.3736862172045</v>
      </c>
      <c r="O475" s="15">
        <f t="shared" si="244"/>
        <v>57851.239669421513</v>
      </c>
      <c r="P475" s="16">
        <f t="shared" si="245"/>
        <v>910000</v>
      </c>
      <c r="Q475" s="17">
        <f t="shared" si="246"/>
        <v>6.3572790845518146E-2</v>
      </c>
      <c r="R475" s="17">
        <f t="shared" si="247"/>
        <v>2.9231927701725479E-3</v>
      </c>
      <c r="S475" s="28">
        <f t="shared" si="248"/>
        <v>5.9590413923210939</v>
      </c>
    </row>
    <row r="476" spans="1:19" ht="15.75" customHeight="1" x14ac:dyDescent="0.2">
      <c r="A476" s="29">
        <f t="shared" si="243"/>
        <v>7</v>
      </c>
      <c r="B476" s="37">
        <v>209.8</v>
      </c>
      <c r="C476" s="29">
        <v>117</v>
      </c>
      <c r="D476" s="31">
        <f t="shared" si="233"/>
        <v>10.816653826391969</v>
      </c>
      <c r="E476" s="31">
        <f>(16/2) * 10000</f>
        <v>80000</v>
      </c>
      <c r="F476" s="31">
        <f t="shared" si="234"/>
        <v>9360000</v>
      </c>
      <c r="G476" s="31">
        <f t="shared" si="235"/>
        <v>865332.30611135752</v>
      </c>
      <c r="H476" s="34">
        <f t="shared" si="236"/>
        <v>6.971275848738105</v>
      </c>
      <c r="I476" s="31">
        <f t="shared" si="237"/>
        <v>4.0123314193624908E-2</v>
      </c>
      <c r="J476" s="35">
        <f t="shared" si="238"/>
        <v>621.16417847055573</v>
      </c>
      <c r="K476" s="31">
        <f t="shared" si="239"/>
        <v>27341187.326127123</v>
      </c>
      <c r="L476" s="31">
        <f t="shared" si="240"/>
        <v>130320.2446431226</v>
      </c>
      <c r="M476" s="31">
        <f t="shared" si="241"/>
        <v>908498.37408224202</v>
      </c>
      <c r="N476" s="35">
        <f t="shared" si="242"/>
        <v>4330.3068354730312</v>
      </c>
      <c r="O476" s="15">
        <f t="shared" si="244"/>
        <v>425824.17582417541</v>
      </c>
      <c r="P476" s="16">
        <f t="shared" si="245"/>
        <v>5485000</v>
      </c>
      <c r="Q476" s="17">
        <f t="shared" si="246"/>
        <v>7.7634307351718404E-2</v>
      </c>
      <c r="R476" s="17">
        <f t="shared" si="247"/>
        <v>3.3434405242552395E-3</v>
      </c>
      <c r="S476" s="28">
        <f t="shared" si="248"/>
        <v>6.7391766319107296</v>
      </c>
    </row>
    <row r="477" spans="1:19" ht="15.75" customHeight="1" x14ac:dyDescent="0.2">
      <c r="A477" s="30"/>
      <c r="B477" s="36"/>
      <c r="C477" s="30"/>
      <c r="D477" s="31"/>
      <c r="E477" s="31"/>
      <c r="F477" s="31"/>
      <c r="G477" s="31"/>
      <c r="H477" s="34"/>
      <c r="I477" s="30"/>
      <c r="J477" s="35"/>
      <c r="K477" s="31"/>
      <c r="L477" s="31"/>
      <c r="M477" s="31"/>
      <c r="N477" s="35"/>
      <c r="O477" s="15"/>
      <c r="P477" s="16"/>
      <c r="Q477" s="17"/>
      <c r="R477" s="17"/>
      <c r="S477" s="28"/>
    </row>
    <row r="478" spans="1:19" ht="15.75" customHeight="1" x14ac:dyDescent="0.25">
      <c r="A478" s="43"/>
      <c r="B478" s="38"/>
      <c r="C478" s="30"/>
      <c r="D478" s="31"/>
      <c r="E478" s="31"/>
      <c r="F478" s="31"/>
      <c r="G478" s="31"/>
      <c r="H478" s="34"/>
      <c r="I478" s="30"/>
      <c r="J478" s="35"/>
      <c r="K478" s="31"/>
      <c r="L478" s="31"/>
      <c r="M478" s="31"/>
      <c r="N478" s="35"/>
      <c r="O478" s="15"/>
      <c r="P478" s="16"/>
      <c r="Q478" s="17"/>
      <c r="R478" s="17"/>
      <c r="S478" s="28"/>
    </row>
    <row r="479" spans="1:19" ht="15.75" customHeight="1" x14ac:dyDescent="0.2">
      <c r="A479" s="30"/>
      <c r="B479" s="39"/>
      <c r="C479" s="30"/>
      <c r="D479" s="31"/>
      <c r="E479" s="31"/>
      <c r="F479" s="31"/>
      <c r="G479" s="31"/>
      <c r="H479" s="34"/>
      <c r="I479" s="30"/>
      <c r="J479" s="35"/>
      <c r="K479" s="31"/>
      <c r="L479" s="31"/>
      <c r="M479" s="31"/>
      <c r="N479" s="35"/>
      <c r="O479" s="35"/>
      <c r="P479" s="30"/>
    </row>
    <row r="480" spans="1:19" ht="15.75" customHeight="1" x14ac:dyDescent="0.2">
      <c r="A480" s="30"/>
      <c r="B480" s="30"/>
      <c r="C480" s="30"/>
      <c r="D480" s="31"/>
      <c r="E480" s="31"/>
      <c r="F480" s="31"/>
      <c r="G480" s="31"/>
      <c r="H480" s="34"/>
      <c r="I480" s="30"/>
      <c r="J480" s="35"/>
      <c r="K480" s="31"/>
      <c r="L480" s="31"/>
      <c r="M480" s="31"/>
      <c r="N480" s="35"/>
      <c r="O480" s="35"/>
      <c r="P480" s="30"/>
    </row>
    <row r="481" spans="1:19" ht="15.75" customHeight="1" x14ac:dyDescent="0.2">
      <c r="A481" s="30"/>
      <c r="B481" s="30"/>
      <c r="C481" s="30"/>
      <c r="D481" s="31"/>
      <c r="E481" s="31"/>
      <c r="F481" s="31"/>
      <c r="G481" s="31"/>
      <c r="H481" s="34"/>
      <c r="I481" s="30"/>
      <c r="J481" s="35"/>
      <c r="K481" s="31"/>
      <c r="L481" s="31"/>
      <c r="M481" s="31"/>
      <c r="N481" s="35"/>
      <c r="O481" s="35"/>
      <c r="P481" s="30"/>
    </row>
    <row r="482" spans="1:19" ht="15.75" customHeight="1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5"/>
      <c r="P482" s="30"/>
    </row>
    <row r="483" spans="1:19" ht="15.75" customHeight="1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5"/>
      <c r="P483" s="30"/>
    </row>
    <row r="484" spans="1:19" ht="15.75" customHeight="1" x14ac:dyDescent="0.2">
      <c r="A484" s="30"/>
      <c r="B484" s="30"/>
      <c r="C484" s="30"/>
      <c r="D484" s="30"/>
      <c r="E484" s="29"/>
      <c r="F484" s="29" t="s">
        <v>91</v>
      </c>
      <c r="G484" s="30"/>
      <c r="H484" s="30"/>
      <c r="I484" s="30"/>
      <c r="J484" s="30"/>
      <c r="K484" s="30"/>
      <c r="L484" s="30"/>
      <c r="M484" s="30"/>
      <c r="N484" s="30"/>
      <c r="O484" s="35"/>
      <c r="P484" s="30"/>
    </row>
    <row r="485" spans="1:19" ht="15.75" customHeight="1" x14ac:dyDescent="0.2">
      <c r="A485" s="29" t="s">
        <v>47</v>
      </c>
      <c r="B485" s="30"/>
      <c r="C485" s="30"/>
      <c r="D485" s="30"/>
      <c r="E485" s="29"/>
      <c r="F485" s="29" t="s">
        <v>45</v>
      </c>
      <c r="G485" s="29" t="s">
        <v>46</v>
      </c>
      <c r="H485" s="31">
        <f>SUM(J470:J473)*SUM(K470:K473)-(SUM(L470:L473))^2</f>
        <v>1171423186.2689743</v>
      </c>
      <c r="I485" s="30"/>
      <c r="J485" s="30"/>
      <c r="K485" s="30"/>
      <c r="L485" s="30"/>
      <c r="M485" s="30"/>
      <c r="N485" s="30"/>
      <c r="O485" s="35"/>
      <c r="P485" s="30"/>
    </row>
    <row r="486" spans="1:19" ht="15.75" customHeight="1" x14ac:dyDescent="0.2">
      <c r="A486" s="29" t="s">
        <v>50</v>
      </c>
      <c r="B486" s="30"/>
      <c r="C486" s="30"/>
      <c r="D486" s="30"/>
      <c r="E486" s="29"/>
      <c r="F486" s="29" t="s">
        <v>48</v>
      </c>
      <c r="G486" s="29" t="s">
        <v>49</v>
      </c>
      <c r="H486" s="31">
        <f>(1/H485)*((SUM(J470:J473)*SUM(M470:M473))-(SUM(L470:L473)*SUM(N470:N473)))</f>
        <v>2.3560565958357316E-2</v>
      </c>
      <c r="I486" s="30"/>
      <c r="J486" s="30"/>
      <c r="K486" s="30"/>
      <c r="L486" s="30"/>
      <c r="M486" s="30"/>
      <c r="N486" s="30"/>
      <c r="O486" s="35"/>
      <c r="P486" s="30"/>
    </row>
    <row r="487" spans="1:19" ht="15.75" customHeight="1" x14ac:dyDescent="0.2">
      <c r="A487" s="30"/>
      <c r="B487" s="30"/>
      <c r="C487" s="30"/>
      <c r="D487" s="30"/>
      <c r="E487" s="30"/>
      <c r="F487" s="30"/>
      <c r="G487" s="29" t="s">
        <v>51</v>
      </c>
      <c r="H487" s="31">
        <f>SQRT((1/H485)*(SUM(J470:J473)))</f>
        <v>1.368133220428052E-3</v>
      </c>
      <c r="I487" s="30"/>
      <c r="J487" s="30"/>
      <c r="K487" s="30"/>
      <c r="L487" s="30"/>
      <c r="M487" s="30"/>
      <c r="N487" s="30"/>
      <c r="O487" s="35"/>
      <c r="P487" s="30"/>
    </row>
    <row r="488" spans="1:19" ht="15.75" customHeight="1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5"/>
      <c r="P488" s="30"/>
    </row>
    <row r="489" spans="1:19" ht="15.75" customHeight="1" x14ac:dyDescent="0.2">
      <c r="A489" s="30"/>
      <c r="B489" s="30"/>
      <c r="C489" s="30"/>
      <c r="D489" s="30"/>
      <c r="E489" s="29"/>
      <c r="F489" s="29" t="s">
        <v>52</v>
      </c>
      <c r="G489" s="29" t="s">
        <v>46</v>
      </c>
      <c r="H489" s="31">
        <f>SUM(J474:J476)*SUM(K474:K476)-(SUM(L474:L476))^2</f>
        <v>536497758.10638428</v>
      </c>
      <c r="I489" s="30"/>
      <c r="J489" s="30"/>
      <c r="K489" s="30"/>
      <c r="L489" s="30"/>
      <c r="M489" s="30"/>
      <c r="N489" s="30"/>
      <c r="O489" s="35"/>
      <c r="P489" s="30"/>
    </row>
    <row r="490" spans="1:19" ht="15.75" customHeight="1" x14ac:dyDescent="0.2">
      <c r="A490" s="30"/>
      <c r="B490" s="30"/>
      <c r="C490" s="30"/>
      <c r="D490" s="30"/>
      <c r="E490" s="29"/>
      <c r="F490" s="29" t="s">
        <v>48</v>
      </c>
      <c r="G490" s="29" t="s">
        <v>49</v>
      </c>
      <c r="H490" s="31">
        <f>(1/H489)*((SUM(J474:J476)*SUM(M474:M476))-(SUM(L474:L476)*SUM(N474:N476)))</f>
        <v>3.9425702336554055E-2</v>
      </c>
      <c r="I490" s="30"/>
      <c r="J490" s="30"/>
      <c r="K490" s="30"/>
      <c r="L490" s="30"/>
      <c r="M490" s="30"/>
      <c r="N490" s="30"/>
      <c r="O490" s="30"/>
      <c r="P490" s="30"/>
    </row>
    <row r="491" spans="1:19" ht="15.75" customHeight="1" x14ac:dyDescent="0.2">
      <c r="A491" s="30"/>
      <c r="B491" s="30"/>
      <c r="C491" s="30"/>
      <c r="D491" s="30"/>
      <c r="E491" s="30"/>
      <c r="F491" s="30"/>
      <c r="G491" s="29" t="s">
        <v>51</v>
      </c>
      <c r="H491" s="31">
        <f>SQRT((1/H489)*(SUM(J474:J476)))</f>
        <v>1.7795135690046085E-3</v>
      </c>
      <c r="I491" s="30"/>
      <c r="J491" s="30"/>
      <c r="K491" s="30"/>
      <c r="L491" s="30"/>
      <c r="M491" s="30"/>
      <c r="N491" s="30"/>
      <c r="O491" s="30"/>
      <c r="P491" s="30"/>
    </row>
    <row r="492" spans="1:19" ht="15.75" customHeight="1" x14ac:dyDescent="0.2">
      <c r="A492" s="30"/>
      <c r="B492" s="30"/>
      <c r="C492" s="30"/>
      <c r="D492" s="30"/>
      <c r="E492" s="30"/>
      <c r="F492" s="30"/>
      <c r="G492" s="42"/>
      <c r="H492" s="42"/>
      <c r="I492" s="42"/>
      <c r="J492" s="29"/>
      <c r="K492" s="30"/>
      <c r="L492" s="30"/>
      <c r="M492" s="30"/>
      <c r="N492" s="30"/>
      <c r="O492" s="30"/>
      <c r="P492" s="30"/>
    </row>
    <row r="493" spans="1:19" ht="15.75" customHeight="1" x14ac:dyDescent="0.2">
      <c r="A493" s="29" t="s">
        <v>102</v>
      </c>
      <c r="B493" s="41"/>
      <c r="C493" s="30"/>
      <c r="D493" s="44"/>
      <c r="E493" s="29"/>
      <c r="F493" s="30"/>
      <c r="G493" s="30"/>
      <c r="H493" s="30"/>
      <c r="I493" s="29" t="s">
        <v>101</v>
      </c>
      <c r="J493" s="30"/>
      <c r="K493" s="30"/>
      <c r="L493" s="30"/>
      <c r="M493" s="30"/>
      <c r="N493" s="30"/>
      <c r="O493" s="30"/>
      <c r="P493" s="30"/>
    </row>
    <row r="494" spans="1:19" ht="27.75" customHeight="1" x14ac:dyDescent="0.2">
      <c r="A494" s="29" t="s">
        <v>24</v>
      </c>
      <c r="B494" s="32" t="s">
        <v>83</v>
      </c>
      <c r="C494" s="29" t="s">
        <v>84</v>
      </c>
      <c r="D494" s="31" t="s">
        <v>85</v>
      </c>
      <c r="E494" s="32" t="s">
        <v>86</v>
      </c>
      <c r="F494" s="29" t="s">
        <v>55</v>
      </c>
      <c r="G494" s="29" t="s">
        <v>30</v>
      </c>
      <c r="H494" s="29" t="s">
        <v>31</v>
      </c>
      <c r="I494" s="29" t="s">
        <v>32</v>
      </c>
      <c r="J494" s="29" t="s">
        <v>87</v>
      </c>
      <c r="K494" s="29" t="s">
        <v>88</v>
      </c>
      <c r="L494" s="29" t="s">
        <v>35</v>
      </c>
      <c r="M494" s="29" t="s">
        <v>89</v>
      </c>
      <c r="N494" s="29" t="s">
        <v>90</v>
      </c>
      <c r="O494" s="1" t="s">
        <v>38</v>
      </c>
      <c r="P494" s="12" t="s">
        <v>39</v>
      </c>
      <c r="Q494" s="13" t="s">
        <v>40</v>
      </c>
      <c r="R494" s="12" t="s">
        <v>41</v>
      </c>
      <c r="S494" s="27" t="s">
        <v>79</v>
      </c>
    </row>
    <row r="495" spans="1:19" ht="15.75" customHeight="1" x14ac:dyDescent="0.2">
      <c r="A495" s="29">
        <v>1</v>
      </c>
      <c r="B495" s="33">
        <v>63.7</v>
      </c>
      <c r="C495" s="29">
        <v>18</v>
      </c>
      <c r="D495" s="31">
        <f t="shared" ref="D495:D501" si="249">SQRT(C495)</f>
        <v>4.2426406871192848</v>
      </c>
      <c r="E495" s="31">
        <f>(40/30)*20</f>
        <v>26.666666666666664</v>
      </c>
      <c r="F495" s="31">
        <f t="shared" ref="F495:F501" si="250">C495*E495</f>
        <v>479.99999999999994</v>
      </c>
      <c r="G495" s="31">
        <f t="shared" ref="G495:G501" si="251">D495*E495</f>
        <v>113.13708498984758</v>
      </c>
      <c r="H495" s="34">
        <f t="shared" ref="H495:H501" si="252">LOG10(F495)</f>
        <v>2.6812412373755872</v>
      </c>
      <c r="I495" s="31">
        <f t="shared" ref="I495:I501" si="253">0.434 * G495/F495</f>
        <v>0.10229478101165387</v>
      </c>
      <c r="J495" s="35">
        <f t="shared" ref="J495:J501" si="254">(1/I495^2)</f>
        <v>95.563719764700892</v>
      </c>
      <c r="K495" s="31">
        <f t="shared" ref="K495:K501" si="255">B495^2 * J495</f>
        <v>387767.95005202922</v>
      </c>
      <c r="L495" s="31">
        <f t="shared" ref="L495:L501" si="256">B495 * J495</f>
        <v>6087.4089490114475</v>
      </c>
      <c r="M495" s="31">
        <f t="shared" ref="M495:M501" si="257">B495*H495*J495</f>
        <v>16321.811902858673</v>
      </c>
      <c r="N495" s="35">
        <f t="shared" ref="N495:N501" si="258">H495*J495</f>
        <v>256.2293862301205</v>
      </c>
    </row>
    <row r="496" spans="1:19" ht="15.75" customHeight="1" x14ac:dyDescent="0.2">
      <c r="A496" s="29">
        <f t="shared" ref="A496:A501" si="259">A495+1</f>
        <v>2</v>
      </c>
      <c r="B496" s="35">
        <v>97.62</v>
      </c>
      <c r="C496" s="29">
        <v>54</v>
      </c>
      <c r="D496" s="31">
        <f t="shared" si="249"/>
        <v>7.3484692283495345</v>
      </c>
      <c r="E496" s="31">
        <f t="shared" ref="E496:E497" si="260">(40/20) * 20</f>
        <v>40</v>
      </c>
      <c r="F496" s="31">
        <f t="shared" si="250"/>
        <v>2160</v>
      </c>
      <c r="G496" s="31">
        <f t="shared" si="251"/>
        <v>293.9387691339814</v>
      </c>
      <c r="H496" s="34">
        <f t="shared" si="252"/>
        <v>3.3344537511509307</v>
      </c>
      <c r="I496" s="31">
        <f t="shared" si="253"/>
        <v>5.9059919353772188E-2</v>
      </c>
      <c r="J496" s="35">
        <f t="shared" si="254"/>
        <v>286.69115929410265</v>
      </c>
      <c r="K496" s="31">
        <f t="shared" si="255"/>
        <v>2732070.5345197394</v>
      </c>
      <c r="L496" s="31">
        <f t="shared" si="256"/>
        <v>27986.790970290302</v>
      </c>
      <c r="M496" s="31">
        <f t="shared" si="257"/>
        <v>93320.660133561498</v>
      </c>
      <c r="N496" s="35">
        <f t="shared" si="258"/>
        <v>955.95841153002959</v>
      </c>
      <c r="O496" s="15">
        <f t="shared" ref="O496:O501" si="261">(F496-F495)/(B496-B495)</f>
        <v>49.528301886792448</v>
      </c>
      <c r="P496" s="16">
        <f t="shared" ref="P496:P501" si="262">0.5 *( F496+F495)</f>
        <v>1320</v>
      </c>
      <c r="Q496" s="17">
        <f t="shared" ref="Q496:Q501" si="263">O496/P496</f>
        <v>3.7521440823327611E-2</v>
      </c>
      <c r="R496" s="17">
        <f t="shared" ref="R496:R501" si="264">SQRT((16/(B496-B495)^2)*(1/(F496+F495)^4)*((F495^2 * G496^2)+(F496^2*G495^2 )))</f>
        <v>4.7744615288928295E-3</v>
      </c>
      <c r="S496" s="28">
        <f>LOG10(P496)</f>
        <v>3.12057393120585</v>
      </c>
    </row>
    <row r="497" spans="1:19" ht="15.75" customHeight="1" x14ac:dyDescent="0.2">
      <c r="A497" s="29">
        <f t="shared" si="259"/>
        <v>3</v>
      </c>
      <c r="B497" s="36">
        <v>116.7</v>
      </c>
      <c r="C497" s="29">
        <v>168</v>
      </c>
      <c r="D497" s="31">
        <f t="shared" si="249"/>
        <v>12.961481396815721</v>
      </c>
      <c r="E497" s="31">
        <f t="shared" si="260"/>
        <v>40</v>
      </c>
      <c r="F497" s="31">
        <f t="shared" si="250"/>
        <v>6720</v>
      </c>
      <c r="G497" s="31">
        <f t="shared" si="251"/>
        <v>518.45925587262877</v>
      </c>
      <c r="H497" s="34">
        <f t="shared" si="252"/>
        <v>3.8273692730538253</v>
      </c>
      <c r="I497" s="31">
        <f t="shared" si="253"/>
        <v>3.3483826941773938E-2</v>
      </c>
      <c r="J497" s="35">
        <f t="shared" si="254"/>
        <v>891.92805113720863</v>
      </c>
      <c r="K497" s="31">
        <f t="shared" si="255"/>
        <v>12147070.01635202</v>
      </c>
      <c r="L497" s="31">
        <f t="shared" si="256"/>
        <v>104088.00356771225</v>
      </c>
      <c r="M497" s="31">
        <f t="shared" si="257"/>
        <v>398383.22654857882</v>
      </c>
      <c r="N497" s="35">
        <f t="shared" si="258"/>
        <v>3413.7380166973335</v>
      </c>
      <c r="O497" s="15">
        <f t="shared" si="261"/>
        <v>238.99371069182391</v>
      </c>
      <c r="P497" s="16">
        <f t="shared" si="262"/>
        <v>4440</v>
      </c>
      <c r="Q497" s="17">
        <f t="shared" si="263"/>
        <v>5.3827412317978357E-2</v>
      </c>
      <c r="R497" s="17">
        <f t="shared" si="264"/>
        <v>6.0367568009907996E-3</v>
      </c>
      <c r="S497" s="28">
        <f t="shared" ref="S497:S501" si="265">LOG10(P497)</f>
        <v>3.6473829701146196</v>
      </c>
    </row>
    <row r="498" spans="1:19" ht="15.75" customHeight="1" x14ac:dyDescent="0.2">
      <c r="A498" s="29">
        <f t="shared" si="259"/>
        <v>4</v>
      </c>
      <c r="B498" s="37">
        <v>142.65</v>
      </c>
      <c r="C498" s="29">
        <v>17</v>
      </c>
      <c r="D498" s="31">
        <f t="shared" si="249"/>
        <v>4.1231056256176606</v>
      </c>
      <c r="E498" s="31">
        <f>(1/4)*10000</f>
        <v>2500</v>
      </c>
      <c r="F498" s="31">
        <f t="shared" si="250"/>
        <v>42500</v>
      </c>
      <c r="G498" s="31">
        <f t="shared" si="251"/>
        <v>10307.764064044151</v>
      </c>
      <c r="H498" s="34">
        <f t="shared" si="252"/>
        <v>4.6283889300503116</v>
      </c>
      <c r="I498" s="31">
        <f t="shared" si="253"/>
        <v>0.10526046126576852</v>
      </c>
      <c r="J498" s="35">
        <f t="shared" si="254"/>
        <v>90.254624222217487</v>
      </c>
      <c r="K498" s="31">
        <f t="shared" si="255"/>
        <v>1836593.3790269489</v>
      </c>
      <c r="L498" s="31">
        <f t="shared" si="256"/>
        <v>12874.822145299326</v>
      </c>
      <c r="M498" s="31">
        <f t="shared" si="257"/>
        <v>59589.684293670005</v>
      </c>
      <c r="N498" s="35">
        <f t="shared" si="258"/>
        <v>417.73350363596211</v>
      </c>
      <c r="O498" s="15">
        <f t="shared" si="261"/>
        <v>1378.805394990366</v>
      </c>
      <c r="P498" s="16">
        <f t="shared" si="262"/>
        <v>24610</v>
      </c>
      <c r="Q498" s="17">
        <f t="shared" si="263"/>
        <v>5.6026224908182286E-2</v>
      </c>
      <c r="R498" s="17">
        <f t="shared" si="264"/>
        <v>4.6249216109601546E-3</v>
      </c>
      <c r="S498" s="28">
        <f t="shared" si="265"/>
        <v>4.3911116137028028</v>
      </c>
    </row>
    <row r="499" spans="1:19" ht="15.75" customHeight="1" x14ac:dyDescent="0.2">
      <c r="A499" s="29">
        <f t="shared" si="259"/>
        <v>5</v>
      </c>
      <c r="B499" s="36">
        <v>168.87</v>
      </c>
      <c r="C499" s="29">
        <f>19+18</f>
        <v>37</v>
      </c>
      <c r="D499" s="31">
        <f t="shared" si="249"/>
        <v>6.0827625302982193</v>
      </c>
      <c r="E499" s="31">
        <f>(1/2)*10000</f>
        <v>5000</v>
      </c>
      <c r="F499" s="31">
        <f t="shared" si="250"/>
        <v>185000</v>
      </c>
      <c r="G499" s="31">
        <f t="shared" si="251"/>
        <v>30413.812651491098</v>
      </c>
      <c r="H499" s="34">
        <f t="shared" si="252"/>
        <v>5.2671717284030137</v>
      </c>
      <c r="I499" s="31">
        <f t="shared" si="253"/>
        <v>7.134916049052506E-2</v>
      </c>
      <c r="J499" s="35">
        <f t="shared" si="254"/>
        <v>196.43653507188517</v>
      </c>
      <c r="K499" s="31">
        <f t="shared" si="255"/>
        <v>5601795.7766144965</v>
      </c>
      <c r="L499" s="31">
        <f t="shared" si="256"/>
        <v>33172.237677589248</v>
      </c>
      <c r="M499" s="31">
        <f t="shared" si="257"/>
        <v>174723.87246326334</v>
      </c>
      <c r="N499" s="35">
        <f t="shared" si="258"/>
        <v>1034.6649639560806</v>
      </c>
      <c r="O499" s="15">
        <f t="shared" si="261"/>
        <v>5434.782608695652</v>
      </c>
      <c r="P499" s="16">
        <f t="shared" si="262"/>
        <v>113750</v>
      </c>
      <c r="Q499" s="17">
        <f t="shared" si="263"/>
        <v>4.7778308647873864E-2</v>
      </c>
      <c r="R499" s="17">
        <f t="shared" si="264"/>
        <v>6.7904212602840873E-3</v>
      </c>
      <c r="S499" s="28">
        <f t="shared" si="265"/>
        <v>5.0559514053291501</v>
      </c>
    </row>
    <row r="500" spans="1:19" ht="15.75" customHeight="1" x14ac:dyDescent="0.2">
      <c r="A500" s="29">
        <f t="shared" si="259"/>
        <v>6</v>
      </c>
      <c r="B500" s="36">
        <v>193.04</v>
      </c>
      <c r="C500" s="29">
        <v>161</v>
      </c>
      <c r="D500" s="31">
        <f t="shared" si="249"/>
        <v>12.68857754044952</v>
      </c>
      <c r="E500" s="31">
        <v>10000</v>
      </c>
      <c r="F500" s="31">
        <f t="shared" si="250"/>
        <v>1610000</v>
      </c>
      <c r="G500" s="31">
        <f t="shared" si="251"/>
        <v>126885.7754044952</v>
      </c>
      <c r="H500" s="34">
        <f t="shared" si="252"/>
        <v>6.20682587603185</v>
      </c>
      <c r="I500" s="31">
        <f t="shared" si="253"/>
        <v>3.4203991630776968E-2</v>
      </c>
      <c r="J500" s="35">
        <f t="shared" si="254"/>
        <v>854.76438233982446</v>
      </c>
      <c r="K500" s="31">
        <f t="shared" si="255"/>
        <v>31852317.407462459</v>
      </c>
      <c r="L500" s="31">
        <f t="shared" si="256"/>
        <v>165003.7163668797</v>
      </c>
      <c r="M500" s="31">
        <f t="shared" si="257"/>
        <v>1024149.336387369</v>
      </c>
      <c r="N500" s="35">
        <f t="shared" si="258"/>
        <v>5305.3736862172045</v>
      </c>
      <c r="O500" s="15">
        <f t="shared" si="261"/>
        <v>58957.385188249929</v>
      </c>
      <c r="P500" s="16">
        <f t="shared" si="262"/>
        <v>897500</v>
      </c>
      <c r="Q500" s="17">
        <f t="shared" si="263"/>
        <v>6.5690679875487393E-2</v>
      </c>
      <c r="R500" s="17">
        <f t="shared" si="264"/>
        <v>2.7891433429057307E-3</v>
      </c>
      <c r="S500" s="28">
        <f t="shared" si="265"/>
        <v>5.9530344572503564</v>
      </c>
    </row>
    <row r="501" spans="1:19" ht="15.75" customHeight="1" x14ac:dyDescent="0.2">
      <c r="A501" s="29">
        <f t="shared" si="259"/>
        <v>7</v>
      </c>
      <c r="B501" s="37">
        <v>211.24</v>
      </c>
      <c r="C501" s="29">
        <v>117</v>
      </c>
      <c r="D501" s="31">
        <f t="shared" si="249"/>
        <v>10.816653826391969</v>
      </c>
      <c r="E501" s="31">
        <f>(16/2) * 10000</f>
        <v>80000</v>
      </c>
      <c r="F501" s="31">
        <f t="shared" si="250"/>
        <v>9360000</v>
      </c>
      <c r="G501" s="31">
        <f t="shared" si="251"/>
        <v>865332.30611135752</v>
      </c>
      <c r="H501" s="34">
        <f t="shared" si="252"/>
        <v>6.971275848738105</v>
      </c>
      <c r="I501" s="31">
        <f t="shared" si="253"/>
        <v>4.0123314193624908E-2</v>
      </c>
      <c r="J501" s="35">
        <f t="shared" si="254"/>
        <v>621.16417847055573</v>
      </c>
      <c r="K501" s="31">
        <f t="shared" si="255"/>
        <v>27717797.676739793</v>
      </c>
      <c r="L501" s="31">
        <f t="shared" si="256"/>
        <v>131214.72106012021</v>
      </c>
      <c r="M501" s="31">
        <f t="shared" si="257"/>
        <v>914734.01592532312</v>
      </c>
      <c r="N501" s="35">
        <f t="shared" si="258"/>
        <v>4330.3068354730312</v>
      </c>
      <c r="O501" s="15">
        <f t="shared" si="261"/>
        <v>425824.17582417541</v>
      </c>
      <c r="P501" s="16">
        <f t="shared" si="262"/>
        <v>5485000</v>
      </c>
      <c r="Q501" s="17">
        <f t="shared" si="263"/>
        <v>7.7634307351718404E-2</v>
      </c>
      <c r="R501" s="17">
        <f t="shared" si="264"/>
        <v>3.3434405242552395E-3</v>
      </c>
      <c r="S501" s="28">
        <f t="shared" si="265"/>
        <v>6.7391766319107296</v>
      </c>
    </row>
    <row r="502" spans="1:19" ht="15.75" customHeight="1" x14ac:dyDescent="0.2">
      <c r="A502" s="30"/>
      <c r="B502" s="36"/>
      <c r="C502" s="30"/>
      <c r="D502" s="31"/>
      <c r="E502" s="31"/>
      <c r="F502" s="31"/>
      <c r="G502" s="31"/>
      <c r="H502" s="34"/>
      <c r="I502" s="30"/>
      <c r="J502" s="35"/>
      <c r="K502" s="31"/>
      <c r="L502" s="31"/>
      <c r="M502" s="31"/>
      <c r="N502" s="35"/>
      <c r="O502" s="30"/>
      <c r="P502" s="30"/>
    </row>
    <row r="503" spans="1:19" ht="15.75" customHeight="1" x14ac:dyDescent="0.25">
      <c r="A503" s="43"/>
      <c r="B503" s="38"/>
      <c r="C503" s="30"/>
      <c r="D503" s="31"/>
      <c r="E503" s="31"/>
      <c r="F503" s="31"/>
      <c r="G503" s="31"/>
      <c r="H503" s="34"/>
      <c r="I503" s="30"/>
      <c r="J503" s="35"/>
      <c r="K503" s="31"/>
      <c r="L503" s="31"/>
      <c r="M503" s="31"/>
      <c r="N503" s="35"/>
      <c r="O503" s="30"/>
      <c r="P503" s="30"/>
    </row>
    <row r="504" spans="1:19" ht="15.75" customHeight="1" x14ac:dyDescent="0.2">
      <c r="A504" s="30"/>
      <c r="B504" s="39"/>
      <c r="C504" s="30"/>
      <c r="D504" s="31"/>
      <c r="E504" s="31"/>
      <c r="F504" s="31"/>
      <c r="G504" s="31"/>
      <c r="H504" s="34"/>
      <c r="I504" s="30"/>
      <c r="J504" s="35"/>
      <c r="K504" s="31"/>
      <c r="L504" s="31"/>
      <c r="M504" s="31"/>
      <c r="N504" s="35"/>
      <c r="O504" s="30"/>
      <c r="P504" s="30"/>
    </row>
    <row r="505" spans="1:19" ht="15.75" customHeight="1" x14ac:dyDescent="0.2">
      <c r="A505" s="30"/>
      <c r="B505" s="30"/>
      <c r="C505" s="30"/>
      <c r="D505" s="31"/>
      <c r="E505" s="31"/>
      <c r="F505" s="31"/>
      <c r="G505" s="31"/>
      <c r="H505" s="34"/>
      <c r="I505" s="30"/>
      <c r="J505" s="35"/>
      <c r="K505" s="31"/>
      <c r="L505" s="31"/>
      <c r="M505" s="31"/>
      <c r="N505" s="35"/>
      <c r="O505" s="30"/>
      <c r="P505" s="30"/>
    </row>
    <row r="506" spans="1:19" ht="15.75" customHeight="1" x14ac:dyDescent="0.2">
      <c r="A506" s="30"/>
      <c r="B506" s="30"/>
      <c r="C506" s="30"/>
      <c r="D506" s="31"/>
      <c r="E506" s="31"/>
      <c r="F506" s="31"/>
      <c r="G506" s="31"/>
      <c r="H506" s="34"/>
      <c r="I506" s="30"/>
      <c r="J506" s="35"/>
      <c r="K506" s="31"/>
      <c r="L506" s="31"/>
      <c r="M506" s="31"/>
      <c r="N506" s="35"/>
      <c r="O506" s="30"/>
      <c r="P506" s="30"/>
    </row>
    <row r="507" spans="1:19" ht="15.75" customHeight="1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</row>
    <row r="508" spans="1:19" ht="15.75" customHeight="1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</row>
    <row r="509" spans="1:19" ht="15.75" customHeight="1" x14ac:dyDescent="0.2">
      <c r="A509" s="30"/>
      <c r="B509" s="30"/>
      <c r="C509" s="30"/>
      <c r="D509" s="30"/>
      <c r="E509" s="29"/>
      <c r="F509" s="29" t="s">
        <v>91</v>
      </c>
      <c r="G509" s="30"/>
      <c r="H509" s="30"/>
      <c r="I509" s="30"/>
      <c r="J509" s="30"/>
      <c r="K509" s="30"/>
      <c r="L509" s="30"/>
      <c r="M509" s="30"/>
      <c r="N509" s="30"/>
      <c r="O509" s="30"/>
      <c r="P509" s="30"/>
    </row>
    <row r="510" spans="1:19" ht="15.75" customHeight="1" x14ac:dyDescent="0.2">
      <c r="A510" s="29" t="s">
        <v>47</v>
      </c>
      <c r="B510" s="30"/>
      <c r="C510" s="30"/>
      <c r="D510" s="30"/>
      <c r="E510" s="29"/>
      <c r="F510" s="29" t="s">
        <v>45</v>
      </c>
      <c r="G510" s="29" t="s">
        <v>46</v>
      </c>
      <c r="H510" s="31">
        <f>SUM(J495:J498)*SUM(K495:K498)-(SUM(L495:L498))^2</f>
        <v>524477165.21151352</v>
      </c>
      <c r="I510" s="30"/>
      <c r="J510" s="30"/>
      <c r="K510" s="30"/>
      <c r="L510" s="30"/>
      <c r="M510" s="30"/>
      <c r="N510" s="30"/>
      <c r="O510" s="30"/>
      <c r="P510" s="30"/>
    </row>
    <row r="511" spans="1:19" ht="15.75" customHeight="1" x14ac:dyDescent="0.2">
      <c r="A511" s="29" t="s">
        <v>50</v>
      </c>
      <c r="B511" s="30"/>
      <c r="C511" s="30"/>
      <c r="D511" s="30"/>
      <c r="E511" s="29"/>
      <c r="F511" s="29" t="s">
        <v>48</v>
      </c>
      <c r="G511" s="29" t="s">
        <v>49</v>
      </c>
      <c r="H511" s="31">
        <f>(1/H510)*((SUM(J495:J498)*SUM(M495:M498))-(SUM(L495:L498)*SUM(N495:N498)))</f>
        <v>2.4207809223653023E-2</v>
      </c>
      <c r="I511" s="30"/>
      <c r="J511" s="30"/>
      <c r="K511" s="30"/>
      <c r="L511" s="30"/>
      <c r="M511" s="30"/>
      <c r="N511" s="30"/>
      <c r="O511" s="30"/>
      <c r="P511" s="30"/>
    </row>
    <row r="512" spans="1:19" ht="15.75" customHeight="1" x14ac:dyDescent="0.2">
      <c r="A512" s="30"/>
      <c r="B512" s="30"/>
      <c r="C512" s="30"/>
      <c r="D512" s="30"/>
      <c r="E512" s="30"/>
      <c r="F512" s="30"/>
      <c r="G512" s="29" t="s">
        <v>51</v>
      </c>
      <c r="H512" s="31">
        <f>SQRT((1/H510)*(SUM(J495:J498)))</f>
        <v>1.6129226470382315E-3</v>
      </c>
      <c r="I512" s="30"/>
      <c r="J512" s="30"/>
      <c r="K512" s="30"/>
      <c r="L512" s="30"/>
      <c r="M512" s="30"/>
      <c r="N512" s="30"/>
      <c r="O512" s="30"/>
      <c r="P512" s="30"/>
    </row>
    <row r="513" spans="1:16" ht="15.75" customHeight="1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</row>
    <row r="514" spans="1:16" ht="15.75" customHeight="1" x14ac:dyDescent="0.2">
      <c r="A514" s="30"/>
      <c r="B514" s="30"/>
      <c r="C514" s="30"/>
      <c r="D514" s="30"/>
      <c r="E514" s="29"/>
      <c r="F514" s="29" t="s">
        <v>52</v>
      </c>
      <c r="G514" s="29" t="s">
        <v>46</v>
      </c>
      <c r="H514" s="31">
        <f>SUM(J499:J501)*SUM(K499:K501)-(SUM(L499:L501))^2</f>
        <v>493012109.7232666</v>
      </c>
      <c r="I514" s="30"/>
      <c r="J514" s="30"/>
      <c r="K514" s="30"/>
      <c r="L514" s="30"/>
      <c r="M514" s="30"/>
      <c r="N514" s="30"/>
      <c r="O514" s="30"/>
      <c r="P514" s="30"/>
    </row>
    <row r="515" spans="1:16" ht="15.75" customHeight="1" x14ac:dyDescent="0.2">
      <c r="A515" s="30"/>
      <c r="B515" s="30"/>
      <c r="C515" s="30"/>
      <c r="D515" s="30"/>
      <c r="E515" s="29"/>
      <c r="F515" s="29" t="s">
        <v>48</v>
      </c>
      <c r="G515" s="29" t="s">
        <v>49</v>
      </c>
      <c r="H515" s="31">
        <f>(1/H514)*((SUM(J499:J501)*SUM(M499:M501))-(SUM(L499:L501)*SUM(N499:N501)))</f>
        <v>4.0588548656292994E-2</v>
      </c>
      <c r="I515" s="30"/>
      <c r="J515" s="30"/>
      <c r="K515" s="30"/>
      <c r="L515" s="30"/>
      <c r="M515" s="30"/>
      <c r="N515" s="30"/>
      <c r="O515" s="30"/>
      <c r="P515" s="30"/>
    </row>
    <row r="516" spans="1:16" ht="15.75" customHeight="1" x14ac:dyDescent="0.2">
      <c r="A516" s="30"/>
      <c r="B516" s="30"/>
      <c r="C516" s="30"/>
      <c r="D516" s="30"/>
      <c r="E516" s="30"/>
      <c r="F516" s="30"/>
      <c r="G516" s="29" t="s">
        <v>51</v>
      </c>
      <c r="H516" s="31">
        <f>SQRT((1/H514)*(SUM(J499:J501)))</f>
        <v>1.8417757647463189E-3</v>
      </c>
      <c r="I516" s="30"/>
      <c r="J516" s="30"/>
      <c r="K516" s="30"/>
      <c r="L516" s="30"/>
      <c r="M516" s="30"/>
      <c r="N516" s="30"/>
      <c r="O516" s="30"/>
      <c r="P516" s="30"/>
    </row>
    <row r="517" spans="1:16" ht="15.75" customHeight="1" x14ac:dyDescent="0.2">
      <c r="A517" s="30"/>
      <c r="B517" s="30"/>
      <c r="C517" s="30"/>
      <c r="D517" s="30"/>
      <c r="E517" s="30"/>
      <c r="F517" s="30"/>
      <c r="G517" s="42"/>
      <c r="H517" s="42"/>
      <c r="I517" s="42"/>
      <c r="J517" s="29"/>
      <c r="K517" s="30"/>
      <c r="L517" s="30"/>
      <c r="M517" s="30"/>
      <c r="N517" s="30"/>
      <c r="O517" s="30"/>
      <c r="P517" s="30"/>
    </row>
    <row r="518" spans="1:16" ht="15.75" customHeight="1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</row>
    <row r="519" spans="1:16" ht="15.75" customHeight="1" x14ac:dyDescent="0.2">
      <c r="A519" s="29" t="s">
        <v>103</v>
      </c>
      <c r="B519" s="29"/>
      <c r="C519" s="29"/>
      <c r="D519" s="42" t="s">
        <v>63</v>
      </c>
      <c r="E519" s="29"/>
      <c r="F519" s="42" t="s">
        <v>64</v>
      </c>
      <c r="G519" s="29"/>
      <c r="H519" s="29"/>
      <c r="I519" s="29"/>
      <c r="J519" s="30"/>
      <c r="K519" s="30"/>
      <c r="L519" s="30"/>
      <c r="M519" s="30"/>
      <c r="N519" s="30"/>
      <c r="O519" s="30"/>
      <c r="P519" s="30"/>
    </row>
    <row r="520" spans="1:16" ht="15.75" customHeight="1" x14ac:dyDescent="0.2">
      <c r="A520" s="29"/>
      <c r="B520" s="29"/>
      <c r="C520" s="29"/>
      <c r="D520" s="29" t="s">
        <v>104</v>
      </c>
      <c r="E520" s="29"/>
      <c r="F520" s="29"/>
      <c r="G520" s="29"/>
      <c r="H520" s="29"/>
      <c r="I520" s="29"/>
      <c r="J520" s="30"/>
      <c r="K520" s="30"/>
      <c r="L520" s="30"/>
      <c r="M520" s="30"/>
      <c r="N520" s="30"/>
      <c r="O520" s="30"/>
      <c r="P520" s="30"/>
    </row>
    <row r="521" spans="1:16" ht="15.75" customHeight="1" x14ac:dyDescent="0.2">
      <c r="A521" s="29" t="s">
        <v>105</v>
      </c>
      <c r="B521" s="29"/>
      <c r="C521" s="29"/>
      <c r="D521" s="29"/>
      <c r="E521" s="29"/>
      <c r="F521" s="29"/>
      <c r="G521" s="29"/>
      <c r="H521" s="29"/>
      <c r="I521" s="29"/>
      <c r="J521" s="30"/>
      <c r="K521" s="30"/>
      <c r="L521" s="30"/>
      <c r="M521" s="30"/>
      <c r="N521" s="30"/>
      <c r="O521" s="30"/>
      <c r="P521" s="30"/>
    </row>
    <row r="522" spans="1:16" ht="15.75" customHeight="1" x14ac:dyDescent="0.2">
      <c r="A522" s="29" t="s">
        <v>2</v>
      </c>
      <c r="B522" s="29" t="s">
        <v>65</v>
      </c>
      <c r="C522" s="29" t="s">
        <v>66</v>
      </c>
      <c r="D522" s="29" t="s">
        <v>67</v>
      </c>
      <c r="E522" s="29" t="s">
        <v>66</v>
      </c>
      <c r="F522" s="29" t="s">
        <v>68</v>
      </c>
      <c r="G522" s="29" t="s">
        <v>66</v>
      </c>
      <c r="H522" s="45" t="s">
        <v>69</v>
      </c>
      <c r="I522" s="29" t="s">
        <v>70</v>
      </c>
      <c r="J522" s="29" t="s">
        <v>106</v>
      </c>
      <c r="K522" s="30"/>
      <c r="L522" s="30"/>
      <c r="M522" s="30"/>
      <c r="N522" s="30"/>
      <c r="O522" s="30"/>
      <c r="P522" s="30"/>
    </row>
    <row r="523" spans="1:16" ht="15.75" customHeight="1" x14ac:dyDescent="0.2">
      <c r="A523" s="45"/>
      <c r="B523" s="31"/>
      <c r="C523" s="46"/>
      <c r="D523" s="46"/>
      <c r="E523" s="46"/>
      <c r="F523" s="34"/>
      <c r="G523" s="47"/>
      <c r="H523" s="48"/>
      <c r="I523" s="48"/>
      <c r="J523" s="49"/>
      <c r="K523" s="30"/>
      <c r="L523" s="30"/>
      <c r="M523" s="30"/>
      <c r="N523" s="30"/>
      <c r="O523" s="30"/>
      <c r="P523" s="30"/>
    </row>
    <row r="524" spans="1:16" ht="15.75" customHeight="1" x14ac:dyDescent="0.2">
      <c r="A524" s="29" t="s">
        <v>107</v>
      </c>
      <c r="B524" s="31">
        <f ca="1">OFFSET(H361,0,0)</f>
        <v>8.2995853331148985E-3</v>
      </c>
      <c r="C524" s="46">
        <f ca="1">OFFSET(H361,1,0)</f>
        <v>1.1868385499732323E-3</v>
      </c>
      <c r="D524" s="46">
        <f ca="1">OFFSET(H361,4,0)</f>
        <v>2.4680879786966252E-2</v>
      </c>
      <c r="E524" s="46">
        <f ca="1">OFFSET(H361,5,0)</f>
        <v>7.9725478757140789E-4</v>
      </c>
      <c r="F524" s="34">
        <f t="shared" ref="F524:F530" ca="1" si="266">D524/B524</f>
        <v>2.9737485424110131</v>
      </c>
      <c r="G524" s="47">
        <f t="shared" ref="G524:G530" ca="1" si="267">F524* SQRT(((E524/D524)^2 + (C524/B524)^2))</f>
        <v>0.43595984362361712</v>
      </c>
      <c r="H524" s="48">
        <f t="shared" ref="H524:H530" ca="1" si="268">D524-B524</f>
        <v>1.6381294453851353E-2</v>
      </c>
      <c r="I524" s="48">
        <f t="shared" ref="I524:I530" ca="1" si="269">SQRT(C524^2 +E524^2)</f>
        <v>1.4297555525362004E-3</v>
      </c>
      <c r="J524" s="50">
        <f>$F$31</f>
        <v>0</v>
      </c>
      <c r="K524" s="30"/>
      <c r="L524" s="30"/>
      <c r="M524" s="30"/>
      <c r="N524" s="30"/>
      <c r="O524" s="30"/>
      <c r="P524" s="30"/>
    </row>
    <row r="525" spans="1:16" ht="15.75" customHeight="1" x14ac:dyDescent="0.2">
      <c r="A525" s="29" t="s">
        <v>108</v>
      </c>
      <c r="B525" s="31">
        <f ca="1">OFFSET(H386,0,0)</f>
        <v>2.1009017262880229E-2</v>
      </c>
      <c r="C525" s="46">
        <f ca="1">OFFSET(H386,1,0)</f>
        <v>2.5261117707454641E-3</v>
      </c>
      <c r="D525" s="46">
        <f ca="1">OFFSET(H386,4,0)</f>
        <v>2.3300250446185135E-2</v>
      </c>
      <c r="E525" s="46">
        <f ca="1">OFFSET(H386,5,0)</f>
        <v>1.6233824669278274E-3</v>
      </c>
      <c r="F525" s="34">
        <f t="shared" ca="1" si="266"/>
        <v>1.1090595126195251</v>
      </c>
      <c r="G525" s="47">
        <f t="shared" ca="1" si="267"/>
        <v>0.15412235316924741</v>
      </c>
      <c r="H525" s="48">
        <f t="shared" ca="1" si="268"/>
        <v>2.2912331833049061E-3</v>
      </c>
      <c r="I525" s="48">
        <f t="shared" ca="1" si="269"/>
        <v>3.0027672757354114E-3</v>
      </c>
      <c r="J525" s="49">
        <f>$F$56</f>
        <v>0</v>
      </c>
      <c r="K525" s="30"/>
      <c r="L525" s="30"/>
      <c r="M525" s="30"/>
      <c r="N525" s="30"/>
      <c r="O525" s="30"/>
      <c r="P525" s="30"/>
    </row>
    <row r="526" spans="1:16" ht="15.75" customHeight="1" x14ac:dyDescent="0.2">
      <c r="A526" s="29" t="s">
        <v>109</v>
      </c>
      <c r="B526" s="31">
        <f ca="1">OFFSET(H411,0,0)</f>
        <v>1.188575903691644E-2</v>
      </c>
      <c r="C526" s="46">
        <f ca="1">OFFSET(H411,1,0)</f>
        <v>6.4370323626705009E-3</v>
      </c>
      <c r="D526" s="46">
        <f ca="1">OFFSET(H411,4,0)</f>
        <v>3.2441149239699825E-2</v>
      </c>
      <c r="E526" s="46">
        <f ca="1">OFFSET(H411,5,0)</f>
        <v>4.0511385597212955E-3</v>
      </c>
      <c r="F526" s="34">
        <f t="shared" ca="1" si="266"/>
        <v>2.729413337334166</v>
      </c>
      <c r="G526" s="47">
        <f t="shared" ca="1" si="267"/>
        <v>1.5169691651536199</v>
      </c>
      <c r="H526" s="48">
        <f t="shared" ca="1" si="268"/>
        <v>2.0555390202783387E-2</v>
      </c>
      <c r="I526" s="48">
        <f t="shared" ca="1" si="269"/>
        <v>7.605728713813562E-3</v>
      </c>
      <c r="J526" s="49">
        <f>$F$81</f>
        <v>0</v>
      </c>
      <c r="K526" s="30"/>
      <c r="L526" s="30"/>
      <c r="M526" s="30"/>
      <c r="N526" s="30"/>
      <c r="O526" s="30"/>
      <c r="P526" s="30"/>
    </row>
    <row r="527" spans="1:16" ht="15.75" customHeight="1" x14ac:dyDescent="0.2">
      <c r="A527" s="29" t="s">
        <v>110</v>
      </c>
      <c r="B527" s="31">
        <f ca="1">OFFSET(H436,0,0)</f>
        <v>2.00398739695309E-2</v>
      </c>
      <c r="C527" s="46">
        <f ca="1">OFFSET(H436,1,0)</f>
        <v>6.8784835719759574E-3</v>
      </c>
      <c r="D527" s="46">
        <f ca="1">OFFSET(H436,4,0)</f>
        <v>3.1501408357077681E-2</v>
      </c>
      <c r="E527" s="46">
        <f ca="1">OFFSET(H436,5,0)</f>
        <v>1.3848267021662499E-3</v>
      </c>
      <c r="F527" s="34">
        <f t="shared" ca="1" si="266"/>
        <v>1.5719364505472027</v>
      </c>
      <c r="G527" s="47">
        <f t="shared" ca="1" si="267"/>
        <v>0.54395850385842137</v>
      </c>
      <c r="H527" s="48">
        <f t="shared" ca="1" si="268"/>
        <v>1.1461534387546782E-2</v>
      </c>
      <c r="I527" s="48">
        <f t="shared" ca="1" si="269"/>
        <v>7.0165006409873415E-3</v>
      </c>
      <c r="J527" s="50">
        <f>$F$106</f>
        <v>0</v>
      </c>
      <c r="K527" s="30"/>
      <c r="L527" s="30"/>
      <c r="M527" s="30"/>
      <c r="N527" s="30"/>
      <c r="O527" s="30"/>
      <c r="P527" s="30"/>
    </row>
    <row r="528" spans="1:16" ht="15.75" customHeight="1" x14ac:dyDescent="0.2">
      <c r="A528" s="29" t="s">
        <v>111</v>
      </c>
      <c r="B528" s="31">
        <f ca="1">OFFSET(H461,0,0)</f>
        <v>1.7262730155209741E-2</v>
      </c>
      <c r="C528" s="46">
        <f ca="1">OFFSET(H461,1,0)</f>
        <v>2.853855988784384E-3</v>
      </c>
      <c r="D528" s="46">
        <f ca="1">OFFSET(H461,4,0)</f>
        <v>2.8532377703858421E-2</v>
      </c>
      <c r="E528" s="46">
        <f ca="1">OFFSET(H461,5,0)</f>
        <v>1.4509647869066222E-3</v>
      </c>
      <c r="F528" s="34">
        <f t="shared" ca="1" si="266"/>
        <v>1.6528311250493364</v>
      </c>
      <c r="G528" s="47">
        <f t="shared" ca="1" si="267"/>
        <v>0.28587959928695661</v>
      </c>
      <c r="H528" s="48">
        <f t="shared" ca="1" si="268"/>
        <v>1.1269647548648679E-2</v>
      </c>
      <c r="I528" s="48">
        <f t="shared" ca="1" si="269"/>
        <v>3.2015297620924085E-3</v>
      </c>
      <c r="J528" s="49">
        <f>$F$131</f>
        <v>0</v>
      </c>
      <c r="K528" s="30"/>
      <c r="L528" s="30"/>
      <c r="M528" s="30"/>
      <c r="N528" s="30"/>
      <c r="O528" s="30"/>
      <c r="P528" s="30"/>
    </row>
    <row r="529" spans="1:16" ht="15.75" customHeight="1" x14ac:dyDescent="0.2">
      <c r="A529" s="29" t="s">
        <v>112</v>
      </c>
      <c r="B529" s="31">
        <f ca="1">OFFSET(H486,0,0)</f>
        <v>2.3560565958357316E-2</v>
      </c>
      <c r="C529" s="46">
        <f ca="1">OFFSET(H486,1,0)</f>
        <v>1.368133220428052E-3</v>
      </c>
      <c r="D529" s="46">
        <f ca="1">OFFSET(H486,4,0)</f>
        <v>3.9425702336554055E-2</v>
      </c>
      <c r="E529" s="46">
        <f ca="1">OFFSET(H486,5,0)</f>
        <v>1.7795135690046085E-3</v>
      </c>
      <c r="F529" s="34">
        <f t="shared" ca="1" si="266"/>
        <v>1.673376709466061</v>
      </c>
      <c r="G529" s="47">
        <f t="shared" ca="1" si="267"/>
        <v>0.12307261849336897</v>
      </c>
      <c r="H529" s="48">
        <f t="shared" ca="1" si="268"/>
        <v>1.586513637819674E-2</v>
      </c>
      <c r="I529" s="48">
        <f t="shared" ca="1" si="269"/>
        <v>2.2446507637292603E-3</v>
      </c>
      <c r="J529" s="49" t="str">
        <f>$F$156</f>
        <v>1) for lag phase</v>
      </c>
      <c r="K529" s="30"/>
      <c r="L529" s="30"/>
      <c r="M529" s="30"/>
      <c r="N529" s="30"/>
      <c r="O529" s="30"/>
      <c r="P529" s="30"/>
    </row>
    <row r="530" spans="1:16" ht="15.75" customHeight="1" x14ac:dyDescent="0.2">
      <c r="A530" s="29" t="s">
        <v>113</v>
      </c>
      <c r="B530" s="31">
        <f ca="1">OFFSET(H511,0,0)</f>
        <v>2.4207809223653023E-2</v>
      </c>
      <c r="C530" s="46">
        <f ca="1">OFFSET(H511,1,0)</f>
        <v>1.6129226470382315E-3</v>
      </c>
      <c r="D530" s="46">
        <f ca="1">OFFSET(H511,4,0)</f>
        <v>4.0588548656292994E-2</v>
      </c>
      <c r="E530" s="46">
        <f ca="1">OFFSET(H511,5,0)</f>
        <v>1.8417757647463189E-3</v>
      </c>
      <c r="F530" s="34">
        <f t="shared" ca="1" si="266"/>
        <v>1.6766717004955012</v>
      </c>
      <c r="G530" s="47">
        <f t="shared" ca="1" si="267"/>
        <v>0.13516058567216846</v>
      </c>
      <c r="H530" s="48">
        <f t="shared" ca="1" si="268"/>
        <v>1.6380739432639971E-2</v>
      </c>
      <c r="I530" s="48">
        <f t="shared" ca="1" si="269"/>
        <v>2.4481947293742185E-3</v>
      </c>
      <c r="J530" s="49">
        <f>$F$181</f>
        <v>0</v>
      </c>
      <c r="K530" s="30"/>
      <c r="L530" s="30"/>
      <c r="M530" s="30"/>
      <c r="N530" s="30"/>
      <c r="O530" s="30"/>
      <c r="P530" s="30"/>
    </row>
    <row r="531" spans="1:16" ht="15.75" customHeight="1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</row>
    <row r="532" spans="1:16" ht="15.75" customHeight="1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</row>
    <row r="533" spans="1:16" ht="15.75" customHeight="1" x14ac:dyDescent="0.2">
      <c r="A533" s="30"/>
      <c r="B533" s="30"/>
      <c r="C533" s="30" t="s">
        <v>114</v>
      </c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</row>
    <row r="534" spans="1:16" ht="15.75" customHeight="1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</row>
    <row r="535" spans="1:16" ht="15.75" customHeight="1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</row>
    <row r="536" spans="1:16" ht="15.75" customHeight="1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</row>
    <row r="537" spans="1:16" ht="15.75" customHeight="1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</row>
    <row r="538" spans="1:16" ht="15.75" customHeight="1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</row>
    <row r="539" spans="1:16" ht="15.75" customHeight="1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</row>
    <row r="540" spans="1:16" ht="15.75" customHeight="1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</row>
    <row r="541" spans="1:16" ht="15.75" customHeight="1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</row>
    <row r="542" spans="1:16" ht="15.75" customHeight="1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</row>
    <row r="543" spans="1:16" ht="15.75" customHeight="1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</row>
    <row r="544" spans="1:16" ht="15.75" customHeight="1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</row>
    <row r="545" spans="1:16" ht="15.75" customHeight="1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</row>
    <row r="546" spans="1:16" ht="15.75" customHeight="1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</row>
    <row r="547" spans="1:16" ht="15.75" customHeight="1" x14ac:dyDescent="0.2"/>
    <row r="548" spans="1:16" ht="15.75" customHeight="1" x14ac:dyDescent="0.2"/>
    <row r="549" spans="1:16" ht="15.75" customHeight="1" x14ac:dyDescent="0.2"/>
    <row r="550" spans="1:16" ht="15.75" customHeight="1" x14ac:dyDescent="0.2">
      <c r="C550" t="s">
        <v>116</v>
      </c>
    </row>
    <row r="551" spans="1:16" ht="15.75" customHeight="1" x14ac:dyDescent="0.2">
      <c r="C551" t="s">
        <v>118</v>
      </c>
    </row>
    <row r="552" spans="1:16" ht="15.75" customHeight="1" x14ac:dyDescent="0.2">
      <c r="C552" t="s">
        <v>117</v>
      </c>
    </row>
    <row r="553" spans="1:16" ht="15.75" customHeight="1" x14ac:dyDescent="0.2">
      <c r="C553" t="s">
        <v>119</v>
      </c>
    </row>
    <row r="554" spans="1:16" ht="15.75" customHeight="1" x14ac:dyDescent="0.2"/>
    <row r="555" spans="1:16" ht="15.75" customHeight="1" x14ac:dyDescent="0.2"/>
    <row r="556" spans="1:16" ht="15.75" customHeight="1" x14ac:dyDescent="0.2"/>
    <row r="557" spans="1:16" ht="15.75" customHeight="1" x14ac:dyDescent="0.2"/>
    <row r="558" spans="1:16" ht="15.75" customHeight="1" x14ac:dyDescent="0.2"/>
    <row r="559" spans="1:16" ht="15.75" customHeight="1" x14ac:dyDescent="0.2"/>
    <row r="560" spans="1:16" ht="15.75" customHeight="1" x14ac:dyDescent="0.2"/>
    <row r="561" spans="4:4" ht="15.75" customHeight="1" x14ac:dyDescent="0.2"/>
    <row r="562" spans="4:4" ht="15.75" customHeight="1" x14ac:dyDescent="0.2"/>
    <row r="563" spans="4:4" ht="15.75" customHeight="1" x14ac:dyDescent="0.2"/>
    <row r="564" spans="4:4" ht="15.75" customHeight="1" x14ac:dyDescent="0.2"/>
    <row r="565" spans="4:4" ht="15.75" customHeight="1" x14ac:dyDescent="0.2"/>
    <row r="566" spans="4:4" ht="15.75" customHeight="1" x14ac:dyDescent="0.2"/>
    <row r="567" spans="4:4" ht="15.75" customHeight="1" x14ac:dyDescent="0.2"/>
    <row r="568" spans="4:4" ht="15.75" customHeight="1" x14ac:dyDescent="0.2"/>
    <row r="569" spans="4:4" ht="15.75" customHeight="1" x14ac:dyDescent="0.2">
      <c r="D569" t="s">
        <v>120</v>
      </c>
    </row>
    <row r="570" spans="4:4" ht="15.75" customHeight="1" x14ac:dyDescent="0.2"/>
    <row r="571" spans="4:4" ht="15.75" customHeight="1" x14ac:dyDescent="0.2"/>
    <row r="572" spans="4:4" ht="15.75" customHeight="1" x14ac:dyDescent="0.2"/>
    <row r="573" spans="4:4" ht="15.75" customHeight="1" x14ac:dyDescent="0.2"/>
    <row r="574" spans="4:4" ht="15.75" customHeight="1" x14ac:dyDescent="0.2"/>
    <row r="575" spans="4:4" ht="15.75" customHeight="1" x14ac:dyDescent="0.2"/>
    <row r="576" spans="4:4" ht="15.75" customHeight="1" x14ac:dyDescent="0.2"/>
    <row r="577" spans="4:4" ht="15.75" customHeight="1" x14ac:dyDescent="0.2"/>
    <row r="578" spans="4:4" ht="15.75" customHeight="1" x14ac:dyDescent="0.2"/>
    <row r="579" spans="4:4" ht="15.75" customHeight="1" x14ac:dyDescent="0.2"/>
    <row r="580" spans="4:4" ht="15.75" customHeight="1" x14ac:dyDescent="0.2"/>
    <row r="581" spans="4:4" ht="15.75" customHeight="1" x14ac:dyDescent="0.2">
      <c r="D581" t="s">
        <v>121</v>
      </c>
    </row>
    <row r="582" spans="4:4" ht="15.75" customHeight="1" x14ac:dyDescent="0.2"/>
    <row r="583" spans="4:4" ht="15.75" customHeight="1" x14ac:dyDescent="0.2"/>
    <row r="584" spans="4:4" ht="15.75" customHeight="1" x14ac:dyDescent="0.2"/>
    <row r="585" spans="4:4" ht="15.75" customHeight="1" x14ac:dyDescent="0.2"/>
    <row r="586" spans="4:4" ht="15.75" customHeight="1" x14ac:dyDescent="0.2"/>
    <row r="587" spans="4:4" ht="15.75" customHeight="1" x14ac:dyDescent="0.2"/>
    <row r="588" spans="4:4" ht="15.75" customHeight="1" x14ac:dyDescent="0.2"/>
    <row r="589" spans="4:4" ht="15.75" customHeight="1" x14ac:dyDescent="0.2"/>
    <row r="590" spans="4:4" ht="15.75" customHeight="1" x14ac:dyDescent="0.2"/>
    <row r="591" spans="4:4" ht="15.75" customHeight="1" x14ac:dyDescent="0.2"/>
    <row r="592" spans="4:4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</cp:lastModifiedBy>
  <dcterms:created xsi:type="dcterms:W3CDTF">2021-08-20T22:27:22Z</dcterms:created>
  <dcterms:modified xsi:type="dcterms:W3CDTF">2022-01-16T23:34:20Z</dcterms:modified>
</cp:coreProperties>
</file>