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arl\Downloads\"/>
    </mc:Choice>
  </mc:AlternateContent>
  <xr:revisionPtr revIDLastSave="0" documentId="13_ncr:1_{532F1300-34BD-4E94-B3E4-1415BBF1286E}" xr6:coauthVersionLast="47" xr6:coauthVersionMax="47" xr10:uidLastSave="{00000000-0000-0000-0000-000000000000}"/>
  <bookViews>
    <workbookView xWindow="-120" yWindow="-120" windowWidth="20730" windowHeight="11160" xr2:uid="{2FF05885-FF2A-4C36-B362-50BDDC942957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7" i="1" l="1"/>
  <c r="D187" i="1"/>
  <c r="H186" i="1"/>
  <c r="F186" i="1"/>
  <c r="D186" i="1"/>
  <c r="G186" i="1" s="1"/>
  <c r="I186" i="1" s="1"/>
  <c r="J186" i="1" s="1"/>
  <c r="F185" i="1"/>
  <c r="H185" i="1" s="1"/>
  <c r="E185" i="1"/>
  <c r="D185" i="1"/>
  <c r="G185" i="1" s="1"/>
  <c r="I185" i="1" s="1"/>
  <c r="J185" i="1" s="1"/>
  <c r="C185" i="1"/>
  <c r="E184" i="1"/>
  <c r="D184" i="1"/>
  <c r="E183" i="1"/>
  <c r="D183" i="1"/>
  <c r="E182" i="1"/>
  <c r="D182" i="1"/>
  <c r="A182" i="1"/>
  <c r="A183" i="1" s="1"/>
  <c r="A184" i="1" s="1"/>
  <c r="A185" i="1" s="1"/>
  <c r="A186" i="1" s="1"/>
  <c r="A187" i="1" s="1"/>
  <c r="E181" i="1"/>
  <c r="D181" i="1"/>
  <c r="E162" i="1"/>
  <c r="F162" i="1" s="1"/>
  <c r="H162" i="1" s="1"/>
  <c r="D162" i="1"/>
  <c r="F161" i="1"/>
  <c r="H161" i="1" s="1"/>
  <c r="D161" i="1"/>
  <c r="G161" i="1" s="1"/>
  <c r="I161" i="1" s="1"/>
  <c r="J161" i="1" s="1"/>
  <c r="E160" i="1"/>
  <c r="C160" i="1"/>
  <c r="D160" i="1" s="1"/>
  <c r="G160" i="1" s="1"/>
  <c r="F159" i="1"/>
  <c r="H159" i="1" s="1"/>
  <c r="E159" i="1"/>
  <c r="D159" i="1"/>
  <c r="G159" i="1" s="1"/>
  <c r="F158" i="1"/>
  <c r="H158" i="1" s="1"/>
  <c r="E158" i="1"/>
  <c r="D158" i="1"/>
  <c r="G158" i="1" s="1"/>
  <c r="F157" i="1"/>
  <c r="H157" i="1" s="1"/>
  <c r="D157" i="1"/>
  <c r="G157" i="1" s="1"/>
  <c r="I157" i="1" s="1"/>
  <c r="J157" i="1" s="1"/>
  <c r="A157" i="1"/>
  <c r="A158" i="1" s="1"/>
  <c r="A159" i="1" s="1"/>
  <c r="A160" i="1" s="1"/>
  <c r="A161" i="1" s="1"/>
  <c r="A162" i="1" s="1"/>
  <c r="E156" i="1"/>
  <c r="D156" i="1"/>
  <c r="E139" i="1"/>
  <c r="F139" i="1" s="1"/>
  <c r="H139" i="1" s="1"/>
  <c r="D139" i="1"/>
  <c r="E138" i="1"/>
  <c r="D138" i="1"/>
  <c r="E137" i="1"/>
  <c r="F137" i="1" s="1"/>
  <c r="H137" i="1" s="1"/>
  <c r="D137" i="1"/>
  <c r="E136" i="1"/>
  <c r="F136" i="1" s="1"/>
  <c r="H136" i="1" s="1"/>
  <c r="D136" i="1"/>
  <c r="E135" i="1"/>
  <c r="F135" i="1" s="1"/>
  <c r="H135" i="1" s="1"/>
  <c r="D135" i="1"/>
  <c r="H134" i="1"/>
  <c r="F134" i="1"/>
  <c r="D134" i="1"/>
  <c r="G134" i="1" s="1"/>
  <c r="F133" i="1"/>
  <c r="H133" i="1" s="1"/>
  <c r="D133" i="1"/>
  <c r="G133" i="1" s="1"/>
  <c r="I133" i="1" s="1"/>
  <c r="J133" i="1" s="1"/>
  <c r="F132" i="1"/>
  <c r="H132" i="1" s="1"/>
  <c r="D132" i="1"/>
  <c r="G132" i="1" s="1"/>
  <c r="A132" i="1"/>
  <c r="A133" i="1" s="1"/>
  <c r="A134" i="1" s="1"/>
  <c r="A135" i="1" s="1"/>
  <c r="A136" i="1" s="1"/>
  <c r="A137" i="1" s="1"/>
  <c r="F131" i="1"/>
  <c r="H131" i="1" s="1"/>
  <c r="D131" i="1"/>
  <c r="G131" i="1" s="1"/>
  <c r="I131" i="1" s="1"/>
  <c r="J131" i="1" s="1"/>
  <c r="E112" i="1"/>
  <c r="F112" i="1" s="1"/>
  <c r="H112" i="1" s="1"/>
  <c r="D112" i="1"/>
  <c r="G112" i="1" s="1"/>
  <c r="I112" i="1" s="1"/>
  <c r="J112" i="1" s="1"/>
  <c r="F111" i="1"/>
  <c r="H111" i="1" s="1"/>
  <c r="D111" i="1"/>
  <c r="G111" i="1" s="1"/>
  <c r="I111" i="1" s="1"/>
  <c r="J111" i="1" s="1"/>
  <c r="F110" i="1"/>
  <c r="H110" i="1" s="1"/>
  <c r="E110" i="1"/>
  <c r="D110" i="1"/>
  <c r="G110" i="1" s="1"/>
  <c r="I110" i="1" s="1"/>
  <c r="J110" i="1" s="1"/>
  <c r="F109" i="1"/>
  <c r="H109" i="1" s="1"/>
  <c r="E109" i="1"/>
  <c r="D109" i="1"/>
  <c r="G109" i="1" s="1"/>
  <c r="I109" i="1" s="1"/>
  <c r="J109" i="1" s="1"/>
  <c r="K109" i="1" s="1"/>
  <c r="H108" i="1"/>
  <c r="F108" i="1"/>
  <c r="D108" i="1"/>
  <c r="G108" i="1" s="1"/>
  <c r="I108" i="1" s="1"/>
  <c r="J108" i="1" s="1"/>
  <c r="K108" i="1" s="1"/>
  <c r="F107" i="1"/>
  <c r="H107" i="1" s="1"/>
  <c r="D107" i="1"/>
  <c r="G107" i="1" s="1"/>
  <c r="I107" i="1" s="1"/>
  <c r="J107" i="1" s="1"/>
  <c r="L107" i="1" s="1"/>
  <c r="A107" i="1"/>
  <c r="A108" i="1" s="1"/>
  <c r="A109" i="1" s="1"/>
  <c r="A110" i="1" s="1"/>
  <c r="A111" i="1" s="1"/>
  <c r="A112" i="1" s="1"/>
  <c r="F106" i="1"/>
  <c r="H106" i="1" s="1"/>
  <c r="D106" i="1"/>
  <c r="G106" i="1" s="1"/>
  <c r="F87" i="1"/>
  <c r="H87" i="1" s="1"/>
  <c r="E87" i="1"/>
  <c r="C87" i="1"/>
  <c r="D87" i="1" s="1"/>
  <c r="G87" i="1" s="1"/>
  <c r="F86" i="1"/>
  <c r="H86" i="1" s="1"/>
  <c r="D86" i="1"/>
  <c r="G86" i="1" s="1"/>
  <c r="I86" i="1" s="1"/>
  <c r="J86" i="1" s="1"/>
  <c r="L86" i="1" s="1"/>
  <c r="F85" i="1"/>
  <c r="H85" i="1" s="1"/>
  <c r="D85" i="1"/>
  <c r="G85" i="1" s="1"/>
  <c r="I85" i="1" s="1"/>
  <c r="J85" i="1" s="1"/>
  <c r="E84" i="1"/>
  <c r="F84" i="1" s="1"/>
  <c r="H84" i="1" s="1"/>
  <c r="D84" i="1"/>
  <c r="I83" i="1"/>
  <c r="J83" i="1" s="1"/>
  <c r="F83" i="1"/>
  <c r="H83" i="1" s="1"/>
  <c r="D83" i="1"/>
  <c r="G83" i="1" s="1"/>
  <c r="H82" i="1"/>
  <c r="F82" i="1"/>
  <c r="D82" i="1"/>
  <c r="G82" i="1" s="1"/>
  <c r="I82" i="1" s="1"/>
  <c r="J82" i="1" s="1"/>
  <c r="A82" i="1"/>
  <c r="A83" i="1" s="1"/>
  <c r="A84" i="1" s="1"/>
  <c r="A85" i="1" s="1"/>
  <c r="A86" i="1" s="1"/>
  <c r="A87" i="1" s="1"/>
  <c r="E81" i="1"/>
  <c r="G81" i="1" s="1"/>
  <c r="D81" i="1"/>
  <c r="E64" i="1"/>
  <c r="F64" i="1" s="1"/>
  <c r="H64" i="1" s="1"/>
  <c r="D64" i="1"/>
  <c r="F63" i="1"/>
  <c r="H63" i="1" s="1"/>
  <c r="E63" i="1"/>
  <c r="D63" i="1"/>
  <c r="G63" i="1" s="1"/>
  <c r="I63" i="1" s="1"/>
  <c r="J63" i="1" s="1"/>
  <c r="F62" i="1"/>
  <c r="H62" i="1" s="1"/>
  <c r="E62" i="1"/>
  <c r="D62" i="1"/>
  <c r="G62" i="1" s="1"/>
  <c r="I62" i="1" s="1"/>
  <c r="J62" i="1" s="1"/>
  <c r="L62" i="1" s="1"/>
  <c r="F61" i="1"/>
  <c r="H61" i="1" s="1"/>
  <c r="E61" i="1"/>
  <c r="D61" i="1"/>
  <c r="G61" i="1" s="1"/>
  <c r="I61" i="1" s="1"/>
  <c r="J61" i="1" s="1"/>
  <c r="L61" i="1" s="1"/>
  <c r="G60" i="1"/>
  <c r="F60" i="1"/>
  <c r="H60" i="1" s="1"/>
  <c r="D60" i="1"/>
  <c r="E59" i="1"/>
  <c r="F59" i="1" s="1"/>
  <c r="H59" i="1" s="1"/>
  <c r="C59" i="1"/>
  <c r="D59" i="1" s="1"/>
  <c r="A59" i="1"/>
  <c r="A60" i="1" s="1"/>
  <c r="A61" i="1" s="1"/>
  <c r="A62" i="1" s="1"/>
  <c r="A63" i="1" s="1"/>
  <c r="G58" i="1"/>
  <c r="F58" i="1"/>
  <c r="H58" i="1" s="1"/>
  <c r="D58" i="1"/>
  <c r="F57" i="1"/>
  <c r="H57" i="1" s="1"/>
  <c r="D57" i="1"/>
  <c r="G57" i="1" s="1"/>
  <c r="A57" i="1"/>
  <c r="A58" i="1" s="1"/>
  <c r="H56" i="1"/>
  <c r="F56" i="1"/>
  <c r="D56" i="1"/>
  <c r="G56" i="1" s="1"/>
  <c r="I56" i="1" s="1"/>
  <c r="J56" i="1" s="1"/>
  <c r="F41" i="1"/>
  <c r="H41" i="1" s="1"/>
  <c r="D41" i="1"/>
  <c r="G41" i="1" s="1"/>
  <c r="F40" i="1"/>
  <c r="H40" i="1" s="1"/>
  <c r="D40" i="1"/>
  <c r="G40" i="1" s="1"/>
  <c r="I40" i="1" s="1"/>
  <c r="J40" i="1" s="1"/>
  <c r="E39" i="1"/>
  <c r="F39" i="1" s="1"/>
  <c r="H39" i="1" s="1"/>
  <c r="D39" i="1"/>
  <c r="G39" i="1" s="1"/>
  <c r="I39" i="1" s="1"/>
  <c r="J39" i="1" s="1"/>
  <c r="G38" i="1"/>
  <c r="I38" i="1" s="1"/>
  <c r="J38" i="1" s="1"/>
  <c r="L38" i="1" s="1"/>
  <c r="E38" i="1"/>
  <c r="F38" i="1" s="1"/>
  <c r="H38" i="1" s="1"/>
  <c r="D38" i="1"/>
  <c r="F37" i="1"/>
  <c r="H37" i="1" s="1"/>
  <c r="D37" i="1"/>
  <c r="G37" i="1" s="1"/>
  <c r="I37" i="1" s="1"/>
  <c r="J37" i="1" s="1"/>
  <c r="F36" i="1"/>
  <c r="H36" i="1" s="1"/>
  <c r="D36" i="1"/>
  <c r="G36" i="1" s="1"/>
  <c r="H35" i="1"/>
  <c r="N35" i="1" s="1"/>
  <c r="F35" i="1"/>
  <c r="D35" i="1"/>
  <c r="G35" i="1" s="1"/>
  <c r="I35" i="1" s="1"/>
  <c r="J35" i="1" s="1"/>
  <c r="G34" i="1"/>
  <c r="I34" i="1" s="1"/>
  <c r="J34" i="1" s="1"/>
  <c r="F34" i="1"/>
  <c r="H34" i="1" s="1"/>
  <c r="D34" i="1"/>
  <c r="F33" i="1"/>
  <c r="H33" i="1" s="1"/>
  <c r="D33" i="1"/>
  <c r="G33" i="1" s="1"/>
  <c r="I33" i="1" s="1"/>
  <c r="J33" i="1" s="1"/>
  <c r="F32" i="1"/>
  <c r="H32" i="1" s="1"/>
  <c r="D32" i="1"/>
  <c r="G32" i="1" s="1"/>
  <c r="A32" i="1"/>
  <c r="A33" i="1" s="1"/>
  <c r="A34" i="1" s="1"/>
  <c r="A35" i="1" s="1"/>
  <c r="A36" i="1" s="1"/>
  <c r="A37" i="1" s="1"/>
  <c r="A38" i="1" s="1"/>
  <c r="E31" i="1"/>
  <c r="F31" i="1" s="1"/>
  <c r="H31" i="1" s="1"/>
  <c r="D31" i="1"/>
  <c r="G31" i="1" s="1"/>
  <c r="I31" i="1" s="1"/>
  <c r="J31" i="1" s="1"/>
  <c r="E13" i="1"/>
  <c r="F13" i="1" s="1"/>
  <c r="H13" i="1" s="1"/>
  <c r="D13" i="1"/>
  <c r="G13" i="1" s="1"/>
  <c r="I13" i="1" s="1"/>
  <c r="J13" i="1" s="1"/>
  <c r="E12" i="1"/>
  <c r="F12" i="1" s="1"/>
  <c r="H12" i="1" s="1"/>
  <c r="D12" i="1"/>
  <c r="G12" i="1" s="1"/>
  <c r="I12" i="1" s="1"/>
  <c r="J12" i="1" s="1"/>
  <c r="E11" i="1"/>
  <c r="F11" i="1" s="1"/>
  <c r="H11" i="1" s="1"/>
  <c r="D11" i="1"/>
  <c r="G11" i="1" s="1"/>
  <c r="I11" i="1" s="1"/>
  <c r="J11" i="1" s="1"/>
  <c r="F10" i="1"/>
  <c r="H10" i="1" s="1"/>
  <c r="D10" i="1"/>
  <c r="G10" i="1" s="1"/>
  <c r="I10" i="1" s="1"/>
  <c r="J10" i="1" s="1"/>
  <c r="F9" i="1"/>
  <c r="H9" i="1" s="1"/>
  <c r="D9" i="1"/>
  <c r="G9" i="1" s="1"/>
  <c r="E8" i="1"/>
  <c r="F8" i="1" s="1"/>
  <c r="H8" i="1" s="1"/>
  <c r="D8" i="1"/>
  <c r="G8" i="1" s="1"/>
  <c r="E7" i="1"/>
  <c r="C7" i="1"/>
  <c r="A7" i="1"/>
  <c r="A8" i="1" s="1"/>
  <c r="A9" i="1" s="1"/>
  <c r="A10" i="1" s="1"/>
  <c r="A11" i="1" s="1"/>
  <c r="A12" i="1" s="1"/>
  <c r="A13" i="1" s="1"/>
  <c r="E6" i="1"/>
  <c r="F6" i="1" s="1"/>
  <c r="H6" i="1" s="1"/>
  <c r="D6" i="1"/>
  <c r="G6" i="1" s="1"/>
  <c r="I6" i="1" s="1"/>
  <c r="J6" i="1" s="1"/>
  <c r="K82" i="1" l="1"/>
  <c r="L82" i="1"/>
  <c r="L63" i="1"/>
  <c r="K63" i="1"/>
  <c r="L112" i="1"/>
  <c r="K112" i="1"/>
  <c r="F7" i="1"/>
  <c r="H7" i="1" s="1"/>
  <c r="I32" i="1"/>
  <c r="J32" i="1" s="1"/>
  <c r="L32" i="1" s="1"/>
  <c r="I36" i="1"/>
  <c r="J36" i="1" s="1"/>
  <c r="N36" i="1" s="1"/>
  <c r="G59" i="1"/>
  <c r="I59" i="1" s="1"/>
  <c r="J59" i="1" s="1"/>
  <c r="N59" i="1" s="1"/>
  <c r="G64" i="1"/>
  <c r="I64" i="1" s="1"/>
  <c r="J64" i="1" s="1"/>
  <c r="K64" i="1" s="1"/>
  <c r="F81" i="1"/>
  <c r="H81" i="1" s="1"/>
  <c r="G84" i="1"/>
  <c r="I84" i="1" s="1"/>
  <c r="J84" i="1" s="1"/>
  <c r="M84" i="1" s="1"/>
  <c r="I106" i="1"/>
  <c r="J106" i="1" s="1"/>
  <c r="I132" i="1"/>
  <c r="J132" i="1" s="1"/>
  <c r="K132" i="1" s="1"/>
  <c r="G139" i="1"/>
  <c r="I139" i="1" s="1"/>
  <c r="J139" i="1" s="1"/>
  <c r="M139" i="1" s="1"/>
  <c r="I158" i="1"/>
  <c r="J158" i="1" s="1"/>
  <c r="L158" i="1" s="1"/>
  <c r="I159" i="1"/>
  <c r="J159" i="1" s="1"/>
  <c r="I9" i="1"/>
  <c r="J9" i="1" s="1"/>
  <c r="N9" i="1" s="1"/>
  <c r="I41" i="1"/>
  <c r="J41" i="1" s="1"/>
  <c r="L41" i="1" s="1"/>
  <c r="I57" i="1"/>
  <c r="J57" i="1" s="1"/>
  <c r="M57" i="1" s="1"/>
  <c r="I58" i="1"/>
  <c r="J58" i="1" s="1"/>
  <c r="L58" i="1" s="1"/>
  <c r="I60" i="1"/>
  <c r="J60" i="1" s="1"/>
  <c r="G135" i="1"/>
  <c r="I135" i="1" s="1"/>
  <c r="J135" i="1" s="1"/>
  <c r="K135" i="1" s="1"/>
  <c r="G136" i="1"/>
  <c r="I136" i="1" s="1"/>
  <c r="J136" i="1" s="1"/>
  <c r="K136" i="1" s="1"/>
  <c r="G137" i="1"/>
  <c r="I137" i="1" s="1"/>
  <c r="J137" i="1" s="1"/>
  <c r="G162" i="1"/>
  <c r="I162" i="1" s="1"/>
  <c r="J162" i="1" s="1"/>
  <c r="N162" i="1" s="1"/>
  <c r="N13" i="1"/>
  <c r="M13" i="1"/>
  <c r="L33" i="1"/>
  <c r="K33" i="1"/>
  <c r="N34" i="1"/>
  <c r="L37" i="1"/>
  <c r="K37" i="1"/>
  <c r="L106" i="1"/>
  <c r="K106" i="1"/>
  <c r="N106" i="1"/>
  <c r="M11" i="1"/>
  <c r="N11" i="1"/>
  <c r="L10" i="1"/>
  <c r="K10" i="1"/>
  <c r="L12" i="1"/>
  <c r="K12" i="1"/>
  <c r="K31" i="1"/>
  <c r="L31" i="1"/>
  <c r="K35" i="1"/>
  <c r="L35" i="1"/>
  <c r="K39" i="1"/>
  <c r="L39" i="1"/>
  <c r="L40" i="1"/>
  <c r="K40" i="1"/>
  <c r="N64" i="1"/>
  <c r="M64" i="1"/>
  <c r="K6" i="1"/>
  <c r="L6" i="1"/>
  <c r="I8" i="1"/>
  <c r="J8" i="1" s="1"/>
  <c r="N8" i="1" s="1"/>
  <c r="N6" i="1"/>
  <c r="M6" i="1"/>
  <c r="K9" i="1"/>
  <c r="L9" i="1"/>
  <c r="M10" i="1"/>
  <c r="N10" i="1"/>
  <c r="M12" i="1"/>
  <c r="N12" i="1"/>
  <c r="N31" i="1"/>
  <c r="M31" i="1"/>
  <c r="N39" i="1"/>
  <c r="M39" i="1"/>
  <c r="K41" i="1"/>
  <c r="K57" i="1"/>
  <c r="L11" i="1"/>
  <c r="K11" i="1"/>
  <c r="L13" i="1"/>
  <c r="K13" i="1"/>
  <c r="M33" i="1"/>
  <c r="N33" i="1"/>
  <c r="L34" i="1"/>
  <c r="K34" i="1"/>
  <c r="M37" i="1"/>
  <c r="N37" i="1"/>
  <c r="K56" i="1"/>
  <c r="L60" i="1"/>
  <c r="L83" i="1"/>
  <c r="K83" i="1"/>
  <c r="K137" i="1"/>
  <c r="M9" i="1"/>
  <c r="M35" i="1"/>
  <c r="N38" i="1"/>
  <c r="M38" i="1"/>
  <c r="L56" i="1"/>
  <c r="N58" i="1"/>
  <c r="M58" i="1"/>
  <c r="K60" i="1"/>
  <c r="H75" i="1" s="1"/>
  <c r="N61" i="1"/>
  <c r="M61" i="1"/>
  <c r="K62" i="1"/>
  <c r="N63" i="1"/>
  <c r="M63" i="1"/>
  <c r="M83" i="1"/>
  <c r="N85" i="1"/>
  <c r="K86" i="1"/>
  <c r="K107" i="1"/>
  <c r="K110" i="1"/>
  <c r="L110" i="1"/>
  <c r="G156" i="1"/>
  <c r="F156" i="1"/>
  <c r="H156" i="1" s="1"/>
  <c r="K158" i="1"/>
  <c r="L109" i="1"/>
  <c r="N110" i="1"/>
  <c r="M110" i="1"/>
  <c r="L111" i="1"/>
  <c r="M111" i="1"/>
  <c r="K111" i="1"/>
  <c r="M34" i="1"/>
  <c r="K38" i="1"/>
  <c r="M56" i="1"/>
  <c r="M106" i="1"/>
  <c r="N108" i="1"/>
  <c r="M108" i="1"/>
  <c r="L131" i="1"/>
  <c r="K131" i="1"/>
  <c r="L133" i="1"/>
  <c r="K133" i="1"/>
  <c r="N139" i="1"/>
  <c r="L161" i="1"/>
  <c r="K161" i="1"/>
  <c r="N161" i="1"/>
  <c r="L59" i="1"/>
  <c r="K59" i="1"/>
  <c r="L84" i="1"/>
  <c r="L85" i="1"/>
  <c r="K85" i="1"/>
  <c r="H100" i="1" s="1"/>
  <c r="L137" i="1"/>
  <c r="L159" i="1"/>
  <c r="K159" i="1"/>
  <c r="N159" i="1"/>
  <c r="D7" i="1"/>
  <c r="G7" i="1" s="1"/>
  <c r="I7" i="1" s="1"/>
  <c r="J7" i="1" s="1"/>
  <c r="M40" i="1"/>
  <c r="N40" i="1"/>
  <c r="N56" i="1"/>
  <c r="N57" i="1"/>
  <c r="K58" i="1"/>
  <c r="M59" i="1"/>
  <c r="N60" i="1"/>
  <c r="M60" i="1"/>
  <c r="K61" i="1"/>
  <c r="N62" i="1"/>
  <c r="M62" i="1"/>
  <c r="L64" i="1"/>
  <c r="N82" i="1"/>
  <c r="M82" i="1"/>
  <c r="N83" i="1"/>
  <c r="N84" i="1"/>
  <c r="M85" i="1"/>
  <c r="N86" i="1"/>
  <c r="M86" i="1"/>
  <c r="I87" i="1"/>
  <c r="J87" i="1" s="1"/>
  <c r="N107" i="1"/>
  <c r="M107" i="1"/>
  <c r="L108" i="1"/>
  <c r="N109" i="1"/>
  <c r="M109" i="1"/>
  <c r="L132" i="1"/>
  <c r="L139" i="1"/>
  <c r="K139" i="1"/>
  <c r="L157" i="1"/>
  <c r="K157" i="1"/>
  <c r="L186" i="1"/>
  <c r="K186" i="1"/>
  <c r="M186" i="1"/>
  <c r="N111" i="1"/>
  <c r="N112" i="1"/>
  <c r="M112" i="1"/>
  <c r="I134" i="1"/>
  <c r="J134" i="1" s="1"/>
  <c r="M135" i="1"/>
  <c r="M157" i="1"/>
  <c r="G181" i="1"/>
  <c r="F181" i="1"/>
  <c r="H181" i="1" s="1"/>
  <c r="N185" i="1"/>
  <c r="M185" i="1"/>
  <c r="N186" i="1"/>
  <c r="G187" i="1"/>
  <c r="F187" i="1"/>
  <c r="H187" i="1" s="1"/>
  <c r="N131" i="1"/>
  <c r="M131" i="1"/>
  <c r="M132" i="1"/>
  <c r="L135" i="1"/>
  <c r="N136" i="1"/>
  <c r="G138" i="1"/>
  <c r="F138" i="1"/>
  <c r="H138" i="1" s="1"/>
  <c r="M158" i="1"/>
  <c r="G182" i="1"/>
  <c r="F182" i="1"/>
  <c r="H182" i="1" s="1"/>
  <c r="G183" i="1"/>
  <c r="F183" i="1"/>
  <c r="H183" i="1" s="1"/>
  <c r="G184" i="1"/>
  <c r="F184" i="1"/>
  <c r="H184" i="1" s="1"/>
  <c r="K185" i="1"/>
  <c r="L185" i="1"/>
  <c r="N133" i="1"/>
  <c r="M133" i="1"/>
  <c r="N134" i="1"/>
  <c r="M134" i="1"/>
  <c r="N137" i="1"/>
  <c r="M137" i="1"/>
  <c r="N157" i="1"/>
  <c r="M159" i="1"/>
  <c r="M161" i="1"/>
  <c r="F160" i="1"/>
  <c r="H50" i="1" l="1"/>
  <c r="N158" i="1"/>
  <c r="H46" i="1"/>
  <c r="H48" i="1" s="1"/>
  <c r="C210" i="1" s="1"/>
  <c r="H125" i="1"/>
  <c r="L57" i="1"/>
  <c r="K36" i="1"/>
  <c r="L136" i="1"/>
  <c r="N135" i="1"/>
  <c r="H121" i="1"/>
  <c r="M41" i="1"/>
  <c r="M36" i="1"/>
  <c r="N32" i="1"/>
  <c r="L36" i="1"/>
  <c r="K32" i="1"/>
  <c r="M136" i="1"/>
  <c r="I181" i="1"/>
  <c r="J181" i="1" s="1"/>
  <c r="H71" i="1"/>
  <c r="K84" i="1"/>
  <c r="N132" i="1"/>
  <c r="N41" i="1"/>
  <c r="M32" i="1"/>
  <c r="I81" i="1"/>
  <c r="J81" i="1" s="1"/>
  <c r="H122" i="1"/>
  <c r="B213" i="1" s="1"/>
  <c r="H123" i="1"/>
  <c r="C213" i="1" s="1"/>
  <c r="H73" i="1"/>
  <c r="C211" i="1" s="1"/>
  <c r="H72" i="1"/>
  <c r="B211" i="1" s="1"/>
  <c r="H76" i="1"/>
  <c r="D211" i="1" s="1"/>
  <c r="H77" i="1"/>
  <c r="E211" i="1" s="1"/>
  <c r="H51" i="1"/>
  <c r="D210" i="1" s="1"/>
  <c r="H52" i="1"/>
  <c r="E210" i="1" s="1"/>
  <c r="H102" i="1"/>
  <c r="E212" i="1" s="1"/>
  <c r="H101" i="1"/>
  <c r="D212" i="1" s="1"/>
  <c r="H127" i="1"/>
  <c r="E213" i="1" s="1"/>
  <c r="H126" i="1"/>
  <c r="D213" i="1" s="1"/>
  <c r="L87" i="1"/>
  <c r="K87" i="1"/>
  <c r="L7" i="1"/>
  <c r="K7" i="1"/>
  <c r="I184" i="1"/>
  <c r="J184" i="1" s="1"/>
  <c r="N184" i="1" s="1"/>
  <c r="I182" i="1"/>
  <c r="J182" i="1" s="1"/>
  <c r="I138" i="1"/>
  <c r="J138" i="1" s="1"/>
  <c r="I187" i="1"/>
  <c r="J187" i="1" s="1"/>
  <c r="N187" i="1" s="1"/>
  <c r="N181" i="1"/>
  <c r="M181" i="1"/>
  <c r="N182" i="1"/>
  <c r="M182" i="1"/>
  <c r="H160" i="1"/>
  <c r="I160" i="1"/>
  <c r="J160" i="1" s="1"/>
  <c r="L162" i="1"/>
  <c r="K162" i="1"/>
  <c r="L181" i="1"/>
  <c r="K181" i="1"/>
  <c r="K134" i="1"/>
  <c r="L134" i="1"/>
  <c r="M162" i="1"/>
  <c r="I156" i="1"/>
  <c r="J156" i="1" s="1"/>
  <c r="N156" i="1" s="1"/>
  <c r="L8" i="1"/>
  <c r="K8" i="1"/>
  <c r="H25" i="1"/>
  <c r="M7" i="1"/>
  <c r="N138" i="1"/>
  <c r="M138" i="1"/>
  <c r="N183" i="1"/>
  <c r="M183" i="1"/>
  <c r="I183" i="1"/>
  <c r="J183" i="1" s="1"/>
  <c r="N87" i="1"/>
  <c r="M87" i="1"/>
  <c r="H21" i="1"/>
  <c r="N7" i="1"/>
  <c r="M8" i="1"/>
  <c r="I210" i="1" l="1"/>
  <c r="H47" i="1"/>
  <c r="B210" i="1" s="1"/>
  <c r="H210" i="1" s="1"/>
  <c r="L81" i="1"/>
  <c r="K81" i="1"/>
  <c r="H96" i="1" s="1"/>
  <c r="M81" i="1"/>
  <c r="H146" i="1"/>
  <c r="N81" i="1"/>
  <c r="H148" i="1"/>
  <c r="C214" i="1" s="1"/>
  <c r="H147" i="1"/>
  <c r="B214" i="1" s="1"/>
  <c r="H22" i="1"/>
  <c r="B209" i="1" s="1"/>
  <c r="H23" i="1"/>
  <c r="C209" i="1" s="1"/>
  <c r="N160" i="1"/>
  <c r="M160" i="1"/>
  <c r="L138" i="1"/>
  <c r="K138" i="1"/>
  <c r="H150" i="1" s="1"/>
  <c r="I211" i="1"/>
  <c r="H27" i="1"/>
  <c r="E209" i="1" s="1"/>
  <c r="H26" i="1"/>
  <c r="D209" i="1" s="1"/>
  <c r="L183" i="1"/>
  <c r="K183" i="1"/>
  <c r="L182" i="1"/>
  <c r="K182" i="1"/>
  <c r="M187" i="1"/>
  <c r="L156" i="1"/>
  <c r="H171" i="1" s="1"/>
  <c r="K156" i="1"/>
  <c r="L184" i="1"/>
  <c r="K184" i="1"/>
  <c r="H211" i="1"/>
  <c r="F211" i="1"/>
  <c r="G211" i="1" s="1"/>
  <c r="I213" i="1"/>
  <c r="L160" i="1"/>
  <c r="K160" i="1"/>
  <c r="H175" i="1"/>
  <c r="M156" i="1"/>
  <c r="L187" i="1"/>
  <c r="K187" i="1"/>
  <c r="H200" i="1"/>
  <c r="M184" i="1"/>
  <c r="H213" i="1"/>
  <c r="F213" i="1"/>
  <c r="G213" i="1" s="1"/>
  <c r="F210" i="1" l="1"/>
  <c r="G210" i="1" s="1"/>
  <c r="H97" i="1"/>
  <c r="B212" i="1" s="1"/>
  <c r="H98" i="1"/>
  <c r="C212" i="1" s="1"/>
  <c r="I212" i="1" s="1"/>
  <c r="H152" i="1"/>
  <c r="E214" i="1" s="1"/>
  <c r="I214" i="1" s="1"/>
  <c r="H151" i="1"/>
  <c r="D214" i="1" s="1"/>
  <c r="H173" i="1"/>
  <c r="C215" i="1" s="1"/>
  <c r="H172" i="1"/>
  <c r="B215" i="1" s="1"/>
  <c r="H196" i="1"/>
  <c r="H209" i="1"/>
  <c r="F209" i="1"/>
  <c r="G209" i="1" s="1"/>
  <c r="I209" i="1"/>
  <c r="H202" i="1"/>
  <c r="E216" i="1" s="1"/>
  <c r="H201" i="1"/>
  <c r="D216" i="1" s="1"/>
  <c r="H177" i="1"/>
  <c r="E215" i="1" s="1"/>
  <c r="H176" i="1"/>
  <c r="D215" i="1" s="1"/>
  <c r="F212" i="1" l="1"/>
  <c r="G212" i="1" s="1"/>
  <c r="H212" i="1"/>
  <c r="H215" i="1"/>
  <c r="F215" i="1"/>
  <c r="G215" i="1" s="1"/>
  <c r="I215" i="1"/>
  <c r="H214" i="1"/>
  <c r="F214" i="1"/>
  <c r="G214" i="1" s="1"/>
  <c r="H197" i="1"/>
  <c r="B216" i="1" s="1"/>
  <c r="F216" i="1" s="1"/>
  <c r="H198" i="1"/>
  <c r="C216" i="1" s="1"/>
  <c r="I216" i="1" s="1"/>
  <c r="G216" i="1" l="1"/>
  <c r="H216" i="1"/>
</calcChain>
</file>

<file path=xl/sharedStrings.xml><?xml version="1.0" encoding="utf-8"?>
<sst xmlns="http://schemas.openxmlformats.org/spreadsheetml/2006/main" count="257" uniqueCount="62">
  <si>
    <t xml:space="preserve">I'm listing it here so we can measure slopes before and after the putative transition and see if they are significantly different and do indeed describe a lag/ log transition. </t>
  </si>
  <si>
    <t>sample diClp323</t>
  </si>
  <si>
    <t>I am following notes on labbook diF, page 8</t>
  </si>
  <si>
    <t>1&lt;i&lt;2: log, 3&lt;i&lt;5: lag</t>
  </si>
  <si>
    <t>index (i)</t>
  </si>
  <si>
    <t>x = time (hours) (from Shaker Spreadsheet diClp351-diClp357 Combined Alignment- CCMR REU Growth Proje)</t>
  </si>
  <si>
    <t>raw counts</t>
  </si>
  <si>
    <t>sigma raw counts</t>
  </si>
  <si>
    <t>mutiplier to get density</t>
  </si>
  <si>
    <t xml:space="preserve">density </t>
  </si>
  <si>
    <t>sigma density</t>
  </si>
  <si>
    <t>y = log10(density)</t>
  </si>
  <si>
    <t>sigma y</t>
  </si>
  <si>
    <t>1/(sigma y)^2</t>
  </si>
  <si>
    <t>x^2/(sigma y)^2</t>
  </si>
  <si>
    <t>x/(sigma y)^2</t>
  </si>
  <si>
    <t>x y /(sigma y)^2</t>
  </si>
  <si>
    <t>y / (sigma y)^2</t>
  </si>
  <si>
    <t>for lag and log phase, get best fit to slope and uncertainty in slope</t>
  </si>
  <si>
    <t>1) for lag phase</t>
  </si>
  <si>
    <t>delta is</t>
  </si>
  <si>
    <t xml:space="preserve">best fit to slope is </t>
  </si>
  <si>
    <t>b* is</t>
  </si>
  <si>
    <t>sigma b is</t>
  </si>
  <si>
    <t>2) for log phase</t>
  </si>
  <si>
    <t>sample diClp325</t>
  </si>
  <si>
    <t>1&lt;i&lt;8: log, 9&lt;i&lt;10: lag</t>
  </si>
  <si>
    <t xml:space="preserve">I also drop stationary phase values (1E7 cell/ml) and </t>
  </si>
  <si>
    <t>points that occurred after stationary phase was attained</t>
  </si>
  <si>
    <t>sample diClp331</t>
  </si>
  <si>
    <t>1&lt;i&lt;4: log, 5&lt;i&lt;8: lag</t>
  </si>
  <si>
    <t>sample diClp354</t>
  </si>
  <si>
    <t>1&lt;i&lt;4: log, 5&lt;i&lt;6: lag</t>
  </si>
  <si>
    <t>sample diClp355</t>
  </si>
  <si>
    <t>1&lt;i&lt;4: log, 5&lt;i&lt;7: lag</t>
  </si>
  <si>
    <t>sample diClp358</t>
  </si>
  <si>
    <t>1&lt;i&lt;6: log, 7&lt;i&lt;9: lag</t>
  </si>
  <si>
    <t>sample diClp360</t>
  </si>
  <si>
    <t>sample diClp361</t>
  </si>
  <si>
    <t>next: get slope ratio and change and uncertainties</t>
  </si>
  <si>
    <t>let's get the ratio of the slopes</t>
  </si>
  <si>
    <t>R = b_high density/ b low density</t>
  </si>
  <si>
    <t>the change in slope (delta b = b_high_density - b_low_density) across the putative lag-log  transition is alos given</t>
  </si>
  <si>
    <t>following diFp5a</t>
  </si>
  <si>
    <t xml:space="preserve">sample </t>
  </si>
  <si>
    <t xml:space="preserve">b_low density </t>
  </si>
  <si>
    <t xml:space="preserve">uncertainty </t>
  </si>
  <si>
    <t xml:space="preserve">b_high density </t>
  </si>
  <si>
    <t>R</t>
  </si>
  <si>
    <t>delta b</t>
  </si>
  <si>
    <t>uncertainty</t>
  </si>
  <si>
    <t>diClp323</t>
  </si>
  <si>
    <t>diClp325</t>
  </si>
  <si>
    <t>diClp331</t>
  </si>
  <si>
    <t>diClp354</t>
  </si>
  <si>
    <t>diClp355</t>
  </si>
  <si>
    <t>diClp358</t>
  </si>
  <si>
    <t>diClp360</t>
  </si>
  <si>
    <t>diClp361</t>
  </si>
  <si>
    <t>Now a plot to replace Fig. 1b</t>
  </si>
  <si>
    <t>12/13/21 diFp18b   revised 8a with error bars to give improved Fig. 1b with bolder axes labels, by Carl Franck</t>
  </si>
  <si>
    <t>8/18/21 This is the data described on diFp8 it provides 1/2 the plots in Fig 1b in the Allee paper nameley the AX4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</si>
</sst>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Tahoma"/>
    </font>
    <font>
      <sz val="11"/>
      <color theme="1"/>
      <name val="Calibri"/>
    </font>
    <font>
      <sz val="10"/>
      <color rgb="FFFF0000"/>
      <name val="Arial"/>
    </font>
    <font>
      <sz val="10"/>
      <color rgb="FF000000"/>
      <name val="Tahoma"/>
    </font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horizontal="right"/>
    </xf>
    <xf numFmtId="4" fontId="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64" fontId="2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horizontal="right"/>
    </xf>
    <xf numFmtId="0" fontId="1" fillId="0" borderId="0" xfId="0" applyFont="1" applyAlignment="1"/>
    <xf numFmtId="11" fontId="1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/>
    <xf numFmtId="0" fontId="8" fillId="0" borderId="0" xfId="0" applyFont="1" applyAlignment="1"/>
    <xf numFmtId="11" fontId="6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0" fillId="2" borderId="0" xfId="0" applyFont="1" applyFill="1" applyAlignment="1"/>
    <xf numFmtId="0" fontId="0" fillId="2" borderId="0" xfId="0" applyFont="1" applyFill="1" applyAlignment="1"/>
    <xf numFmtId="11" fontId="2" fillId="0" borderId="0" xfId="0" applyNumberFormat="1" applyFont="1"/>
    <xf numFmtId="11" fontId="0" fillId="2" borderId="0" xfId="0" applyNumberFormat="1" applyFont="1" applyFill="1"/>
    <xf numFmtId="4" fontId="2" fillId="0" borderId="0" xfId="0" applyNumberFormat="1" applyFont="1"/>
    <xf numFmtId="4" fontId="0" fillId="2" borderId="0" xfId="0" applyNumberFormat="1" applyFont="1" applyFill="1"/>
    <xf numFmtId="165" fontId="2" fillId="0" borderId="0" xfId="0" applyNumberFormat="1" applyFont="1"/>
    <xf numFmtId="0" fontId="9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sample diClp323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Sheet1!$I$6:$I$13</c:f>
                <c:numCache>
                  <c:formatCode>General</c:formatCode>
                  <c:ptCount val="8"/>
                  <c:pt idx="0">
                    <c:v>1.5879229611841867E-2</c:v>
                  </c:pt>
                  <c:pt idx="1">
                    <c:v>1.4555892818650164E-2</c:v>
                  </c:pt>
                  <c:pt idx="2">
                    <c:v>4.2557201324985937E-2</c:v>
                  </c:pt>
                  <c:pt idx="3">
                    <c:v>3.9132462144566567E-2</c:v>
                  </c:pt>
                  <c:pt idx="4">
                    <c:v>1.751481457628638E-2</c:v>
                  </c:pt>
                  <c:pt idx="5">
                    <c:v>1.8020869128261573E-2</c:v>
                  </c:pt>
                  <c:pt idx="6">
                    <c:v>1.6310718807661384E-2</c:v>
                  </c:pt>
                  <c:pt idx="7">
                    <c:v>2.1864604128718722E-2</c:v>
                  </c:pt>
                </c:numCache>
              </c:numRef>
            </c:plus>
            <c:minus>
              <c:numRef>
                <c:f>Sheet1!$I$6:$I$13</c:f>
                <c:numCache>
                  <c:formatCode>General</c:formatCode>
                  <c:ptCount val="8"/>
                  <c:pt idx="0">
                    <c:v>1.5879229611841867E-2</c:v>
                  </c:pt>
                  <c:pt idx="1">
                    <c:v>1.4555892818650164E-2</c:v>
                  </c:pt>
                  <c:pt idx="2">
                    <c:v>4.2557201324985937E-2</c:v>
                  </c:pt>
                  <c:pt idx="3">
                    <c:v>3.9132462144566567E-2</c:v>
                  </c:pt>
                  <c:pt idx="4">
                    <c:v>1.751481457628638E-2</c:v>
                  </c:pt>
                  <c:pt idx="5">
                    <c:v>1.8020869128261573E-2</c:v>
                  </c:pt>
                  <c:pt idx="6">
                    <c:v>1.6310718807661384E-2</c:v>
                  </c:pt>
                  <c:pt idx="7">
                    <c:v>2.1864604128718722E-2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Sheet1!$B$6:$B$13</c:f>
              <c:numCache>
                <c:formatCode>0.0</c:formatCode>
                <c:ptCount val="8"/>
                <c:pt idx="0">
                  <c:v>118.11</c:v>
                </c:pt>
                <c:pt idx="1">
                  <c:v>136.84</c:v>
                </c:pt>
                <c:pt idx="2">
                  <c:v>166.59</c:v>
                </c:pt>
                <c:pt idx="3">
                  <c:v>188.01</c:v>
                </c:pt>
                <c:pt idx="4">
                  <c:v>215.68</c:v>
                </c:pt>
                <c:pt idx="5">
                  <c:v>233.89</c:v>
                </c:pt>
                <c:pt idx="6">
                  <c:v>257.38</c:v>
                </c:pt>
                <c:pt idx="7">
                  <c:v>275.39</c:v>
                </c:pt>
              </c:numCache>
            </c:numRef>
          </c:xVal>
          <c:yVal>
            <c:numRef>
              <c:f>Sheet1!$H$6:$H$13</c:f>
              <c:numCache>
                <c:formatCode>#,##0.00</c:formatCode>
                <c:ptCount val="8"/>
                <c:pt idx="0">
                  <c:v>4.2992893340876801</c:v>
                </c:pt>
                <c:pt idx="1">
                  <c:v>4.5509617522981758</c:v>
                </c:pt>
                <c:pt idx="2">
                  <c:v>5.4149733479708182</c:v>
                </c:pt>
                <c:pt idx="3">
                  <c:v>6.0899051114393981</c:v>
                </c:pt>
                <c:pt idx="4">
                  <c:v>6.7881683711411673</c:v>
                </c:pt>
                <c:pt idx="5">
                  <c:v>7.0644579892269181</c:v>
                </c:pt>
                <c:pt idx="6">
                  <c:v>7.1510632533537501</c:v>
                </c:pt>
                <c:pt idx="7">
                  <c:v>6.896526217489555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F-4C70-B1DF-B34C5694602F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sample diClp325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plus>
            <c:min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plus>
            <c:min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Sheet1!$B$31:$B$41</c:f>
              <c:numCache>
                <c:formatCode>0.0</c:formatCode>
                <c:ptCount val="11"/>
                <c:pt idx="0">
                  <c:v>-23.18</c:v>
                </c:pt>
                <c:pt idx="1">
                  <c:v>6.27</c:v>
                </c:pt>
                <c:pt idx="2">
                  <c:v>27.61</c:v>
                </c:pt>
                <c:pt idx="3">
                  <c:v>55.11</c:v>
                </c:pt>
                <c:pt idx="4">
                  <c:v>73.510000000000005</c:v>
                </c:pt>
                <c:pt idx="5">
                  <c:v>96.97</c:v>
                </c:pt>
                <c:pt idx="6">
                  <c:v>114.96</c:v>
                </c:pt>
                <c:pt idx="7">
                  <c:v>150.27000000000001</c:v>
                </c:pt>
                <c:pt idx="8">
                  <c:v>164.02</c:v>
                </c:pt>
                <c:pt idx="9">
                  <c:v>197.44</c:v>
                </c:pt>
                <c:pt idx="10" formatCode="General">
                  <c:v>215.97</c:v>
                </c:pt>
              </c:numCache>
            </c:numRef>
          </c:xVal>
          <c:yVal>
            <c:numRef>
              <c:f>Sheet1!$H$31:$H$41</c:f>
              <c:numCache>
                <c:formatCode>#,##0.00</c:formatCode>
                <c:ptCount val="11"/>
                <c:pt idx="0">
                  <c:v>2.8325089127062362</c:v>
                </c:pt>
                <c:pt idx="1">
                  <c:v>2.7923916894982539</c:v>
                </c:pt>
                <c:pt idx="2">
                  <c:v>3.1818435879447726</c:v>
                </c:pt>
                <c:pt idx="3">
                  <c:v>3.3617278360175931</c:v>
                </c:pt>
                <c:pt idx="4">
                  <c:v>3.7126497016272113</c:v>
                </c:pt>
                <c:pt idx="5">
                  <c:v>3.9731278535996988</c:v>
                </c:pt>
                <c:pt idx="6">
                  <c:v>4.1772478362556233</c:v>
                </c:pt>
                <c:pt idx="7">
                  <c:v>4.9542425094393252</c:v>
                </c:pt>
                <c:pt idx="8">
                  <c:v>5.2108533653148932</c:v>
                </c:pt>
                <c:pt idx="9">
                  <c:v>6.6020599913279625</c:v>
                </c:pt>
                <c:pt idx="10">
                  <c:v>6.7041505168397988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F-4C70-B1DF-B34C5694602F}"/>
            </c:ext>
          </c:extLst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sample diClp331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Sheet1!$I$56:$I$64</c:f>
                <c:numCache>
                  <c:formatCode>General</c:formatCode>
                  <c:ptCount val="9"/>
                  <c:pt idx="0">
                    <c:v>7.6721085758740398E-2</c:v>
                  </c:pt>
                  <c:pt idx="1">
                    <c:v>3.4310712612826914E-2</c:v>
                  </c:pt>
                  <c:pt idx="2">
                    <c:v>2.1177031582983171E-2</c:v>
                  </c:pt>
                  <c:pt idx="3">
                    <c:v>0.12036994258087472</c:v>
                  </c:pt>
                  <c:pt idx="4">
                    <c:v>9.7045350223490881E-2</c:v>
                  </c:pt>
                  <c:pt idx="5">
                    <c:v>6.2642504207074387E-2</c:v>
                  </c:pt>
                  <c:pt idx="6">
                    <c:v>7.0404096770750935E-2</c:v>
                  </c:pt>
                  <c:pt idx="7">
                    <c:v>6.7779412659655036E-2</c:v>
                  </c:pt>
                  <c:pt idx="8">
                    <c:v>4.9140823281875454E-2</c:v>
                  </c:pt>
                </c:numCache>
              </c:numRef>
            </c:plus>
            <c:minus>
              <c:numRef>
                <c:f>Sheet1!$I$56:$I$64</c:f>
                <c:numCache>
                  <c:formatCode>General</c:formatCode>
                  <c:ptCount val="9"/>
                  <c:pt idx="0">
                    <c:v>7.6721085758740398E-2</c:v>
                  </c:pt>
                  <c:pt idx="1">
                    <c:v>3.4310712612826914E-2</c:v>
                  </c:pt>
                  <c:pt idx="2">
                    <c:v>2.1177031582983171E-2</c:v>
                  </c:pt>
                  <c:pt idx="3">
                    <c:v>0.12036994258087472</c:v>
                  </c:pt>
                  <c:pt idx="4">
                    <c:v>9.7045350223490881E-2</c:v>
                  </c:pt>
                  <c:pt idx="5">
                    <c:v>6.2642504207074387E-2</c:v>
                  </c:pt>
                  <c:pt idx="6">
                    <c:v>7.0404096770750935E-2</c:v>
                  </c:pt>
                  <c:pt idx="7">
                    <c:v>6.7779412659655036E-2</c:v>
                  </c:pt>
                  <c:pt idx="8">
                    <c:v>4.9140823281875454E-2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Sheet1!$B$56:$B$64</c:f>
              <c:numCache>
                <c:formatCode>0.0</c:formatCode>
                <c:ptCount val="9"/>
                <c:pt idx="0">
                  <c:v>60.18</c:v>
                </c:pt>
                <c:pt idx="1">
                  <c:v>93.45</c:v>
                </c:pt>
                <c:pt idx="2">
                  <c:v>110.95</c:v>
                </c:pt>
                <c:pt idx="3">
                  <c:v>135.86000000000001</c:v>
                </c:pt>
                <c:pt idx="4">
                  <c:v>166.58</c:v>
                </c:pt>
                <c:pt idx="5">
                  <c:v>187.95</c:v>
                </c:pt>
                <c:pt idx="6">
                  <c:v>208.78</c:v>
                </c:pt>
                <c:pt idx="7">
                  <c:v>231.3</c:v>
                </c:pt>
                <c:pt idx="8">
                  <c:v>255.98</c:v>
                </c:pt>
              </c:numCache>
            </c:numRef>
          </c:xVal>
          <c:yVal>
            <c:numRef>
              <c:f>Sheet1!$H$56:$H$64</c:f>
              <c:numCache>
                <c:formatCode>#,##0.00</c:formatCode>
                <c:ptCount val="9"/>
                <c:pt idx="0">
                  <c:v>2.8061799739838871</c:v>
                </c:pt>
                <c:pt idx="1">
                  <c:v>3.5051499783199058</c:v>
                </c:pt>
                <c:pt idx="2">
                  <c:v>3.9242792860618816</c:v>
                </c:pt>
                <c:pt idx="3">
                  <c:v>4.5118833609788744</c:v>
                </c:pt>
                <c:pt idx="4">
                  <c:v>5.3010299956639813</c:v>
                </c:pt>
                <c:pt idx="5">
                  <c:v>5.982271233039568</c:v>
                </c:pt>
                <c:pt idx="6">
                  <c:v>6.7839035792727351</c:v>
                </c:pt>
                <c:pt idx="7">
                  <c:v>6.8169038393756605</c:v>
                </c:pt>
                <c:pt idx="8">
                  <c:v>7.0962145853464049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F-4C70-B1DF-B34C5694602F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sample diClp354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Sheet1!$I$81:$I$87</c:f>
                <c:numCache>
                  <c:formatCode>General</c:formatCode>
                  <c:ptCount val="7"/>
                  <c:pt idx="0">
                    <c:v>9.7045350223490881E-2</c:v>
                  </c:pt>
                  <c:pt idx="1">
                    <c:v>6.0184971290437358E-2</c:v>
                  </c:pt>
                  <c:pt idx="2">
                    <c:v>2.253215731366056E-2</c:v>
                  </c:pt>
                  <c:pt idx="3">
                    <c:v>1.7182224539488238E-2</c:v>
                  </c:pt>
                  <c:pt idx="4">
                    <c:v>9.956642849982382E-2</c:v>
                  </c:pt>
                  <c:pt idx="5">
                    <c:v>3.7352772716755973E-2</c:v>
                  </c:pt>
                  <c:pt idx="6">
                    <c:v>3.7918756059089044E-2</c:v>
                  </c:pt>
                </c:numCache>
              </c:numRef>
            </c:plus>
            <c:minus>
              <c:numRef>
                <c:f>Sheet1!$I$81:$I$87</c:f>
                <c:numCache>
                  <c:formatCode>General</c:formatCode>
                  <c:ptCount val="7"/>
                  <c:pt idx="0">
                    <c:v>9.7045350223490881E-2</c:v>
                  </c:pt>
                  <c:pt idx="1">
                    <c:v>6.0184971290437358E-2</c:v>
                  </c:pt>
                  <c:pt idx="2">
                    <c:v>2.253215731366056E-2</c:v>
                  </c:pt>
                  <c:pt idx="3">
                    <c:v>1.7182224539488238E-2</c:v>
                  </c:pt>
                  <c:pt idx="4">
                    <c:v>9.956642849982382E-2</c:v>
                  </c:pt>
                  <c:pt idx="5">
                    <c:v>3.7352772716755973E-2</c:v>
                  </c:pt>
                  <c:pt idx="6">
                    <c:v>3.7918756059089044E-2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Sheet1!$B$81:$B$87</c:f>
              <c:numCache>
                <c:formatCode>0.0</c:formatCode>
                <c:ptCount val="7"/>
                <c:pt idx="0">
                  <c:v>67.459999999999994</c:v>
                </c:pt>
                <c:pt idx="1">
                  <c:v>85.2</c:v>
                </c:pt>
                <c:pt idx="2">
                  <c:v>120.87</c:v>
                </c:pt>
                <c:pt idx="3">
                  <c:v>139.82</c:v>
                </c:pt>
                <c:pt idx="4">
                  <c:v>165.95</c:v>
                </c:pt>
                <c:pt idx="5">
                  <c:v>192.2</c:v>
                </c:pt>
                <c:pt idx="6">
                  <c:v>216.45</c:v>
                </c:pt>
              </c:numCache>
            </c:numRef>
          </c:xVal>
          <c:yVal>
            <c:numRef>
              <c:f>Sheet1!$H$81:$H$87</c:f>
              <c:numCache>
                <c:formatCode>#,##0.00</c:formatCode>
                <c:ptCount val="7"/>
                <c:pt idx="0">
                  <c:v>2.8061799739838871</c:v>
                </c:pt>
                <c:pt idx="1">
                  <c:v>3.0170333392987803</c:v>
                </c:pt>
                <c:pt idx="2">
                  <c:v>3.8704039052790269</c:v>
                </c:pt>
                <c:pt idx="3">
                  <c:v>4.4068806700491248</c:v>
                </c:pt>
                <c:pt idx="4">
                  <c:v>5.2787536009528289</c:v>
                </c:pt>
                <c:pt idx="5">
                  <c:v>6.1303337684950066</c:v>
                </c:pt>
                <c:pt idx="6">
                  <c:v>7.0203612826477082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F-4C70-B1DF-B34C5694602F}"/>
            </c:ext>
          </c:extLst>
        </c:ser>
        <c:ser>
          <c:idx val="4"/>
          <c:order val="4"/>
          <c:tx>
            <c:strRef>
              <c:f>Sheet1!$A$104</c:f>
              <c:strCache>
                <c:ptCount val="1"/>
                <c:pt idx="0">
                  <c:v>sample diClp355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Sheet1!$I$106:$I$112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6.7779412659655022E-2</c:v>
                  </c:pt>
                  <c:pt idx="2">
                    <c:v>2.5982900359873436E-2</c:v>
                  </c:pt>
                  <c:pt idx="3">
                    <c:v>0.16403658128600462</c:v>
                  </c:pt>
                  <c:pt idx="4">
                    <c:v>5.1872921645112688E-2</c:v>
                  </c:pt>
                  <c:pt idx="5">
                    <c:v>3.5202048385375467E-2</c:v>
                  </c:pt>
                  <c:pt idx="6">
                    <c:v>4.6799423570292271E-2</c:v>
                  </c:pt>
                </c:numCache>
              </c:numRef>
            </c:plus>
            <c:minus>
              <c:numRef>
                <c:f>Sheet1!$I$106:$I$112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6.7779412659655022E-2</c:v>
                  </c:pt>
                  <c:pt idx="2">
                    <c:v>2.5982900359873436E-2</c:v>
                  </c:pt>
                  <c:pt idx="3">
                    <c:v>0.16403658128600462</c:v>
                  </c:pt>
                  <c:pt idx="4">
                    <c:v>5.1872921645112688E-2</c:v>
                  </c:pt>
                  <c:pt idx="5">
                    <c:v>3.5202048385375467E-2</c:v>
                  </c:pt>
                  <c:pt idx="6">
                    <c:v>4.6799423570292271E-2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Sheet1!$B$106:$B$112</c:f>
              <c:numCache>
                <c:formatCode>0.0</c:formatCode>
                <c:ptCount val="7"/>
                <c:pt idx="0">
                  <c:v>65.709999999999994</c:v>
                </c:pt>
                <c:pt idx="1">
                  <c:v>83.55</c:v>
                </c:pt>
                <c:pt idx="2">
                  <c:v>107.13</c:v>
                </c:pt>
                <c:pt idx="3">
                  <c:v>138</c:v>
                </c:pt>
                <c:pt idx="4">
                  <c:v>164.26</c:v>
                </c:pt>
                <c:pt idx="5">
                  <c:v>190.46</c:v>
                </c:pt>
                <c:pt idx="6">
                  <c:v>214.66</c:v>
                </c:pt>
              </c:numCache>
            </c:numRef>
          </c:xVal>
          <c:yVal>
            <c:numRef>
              <c:f>Sheet1!$H$106:$H$112</c:f>
              <c:numCache>
                <c:formatCode>#,##0.00</c:formatCode>
                <c:ptCount val="7"/>
                <c:pt idx="0">
                  <c:v>2.5563025007672873</c:v>
                </c:pt>
                <c:pt idx="1">
                  <c:v>2.9138138523837167</c:v>
                </c:pt>
                <c:pt idx="2">
                  <c:v>3.7466341989375787</c:v>
                </c:pt>
                <c:pt idx="3">
                  <c:v>4.2430380486862944</c:v>
                </c:pt>
                <c:pt idx="4">
                  <c:v>5.2430380486862944</c:v>
                </c:pt>
                <c:pt idx="5">
                  <c:v>6.1818435879447726</c:v>
                </c:pt>
                <c:pt idx="6">
                  <c:v>6.8375884382355112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A-4ABA-BB57-A83AAAE37BC7}"/>
            </c:ext>
          </c:extLst>
        </c:ser>
        <c:ser>
          <c:idx val="5"/>
          <c:order val="5"/>
          <c:tx>
            <c:strRef>
              <c:f>Sheet1!$A$129</c:f>
              <c:strCache>
                <c:ptCount val="1"/>
                <c:pt idx="0">
                  <c:v>sample diClp358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Sheet1!$I$131:$I$139</c:f>
                <c:numCache>
                  <c:formatCode>General</c:formatCode>
                  <c:ptCount val="9"/>
                  <c:pt idx="0">
                    <c:v>8.6800000000000002E-2</c:v>
                  </c:pt>
                  <c:pt idx="1">
                    <c:v>4.4066023566799062E-2</c:v>
                  </c:pt>
                  <c:pt idx="2">
                    <c:v>2.5982900359873436E-2</c:v>
                  </c:pt>
                  <c:pt idx="3">
                    <c:v>2.6915537405858236E-2</c:v>
                  </c:pt>
                  <c:pt idx="4">
                    <c:v>0.11599137898999218</c:v>
                  </c:pt>
                  <c:pt idx="5">
                    <c:v>7.9237196652414035E-2</c:v>
                  </c:pt>
                  <c:pt idx="6">
                    <c:v>3.6166666666666673E-2</c:v>
                  </c:pt>
                  <c:pt idx="7">
                    <c:v>4.5247627850385219E-2</c:v>
                  </c:pt>
                  <c:pt idx="8">
                    <c:v>7.4430385951848838E-2</c:v>
                  </c:pt>
                </c:numCache>
              </c:numRef>
            </c:plus>
            <c:minus>
              <c:numRef>
                <c:f>Sheet1!$I$131:$I$139</c:f>
                <c:numCache>
                  <c:formatCode>General</c:formatCode>
                  <c:ptCount val="9"/>
                  <c:pt idx="0">
                    <c:v>8.6800000000000002E-2</c:v>
                  </c:pt>
                  <c:pt idx="1">
                    <c:v>4.4066023566799062E-2</c:v>
                  </c:pt>
                  <c:pt idx="2">
                    <c:v>2.5982900359873436E-2</c:v>
                  </c:pt>
                  <c:pt idx="3">
                    <c:v>2.6915537405858236E-2</c:v>
                  </c:pt>
                  <c:pt idx="4">
                    <c:v>0.11599137898999218</c:v>
                  </c:pt>
                  <c:pt idx="5">
                    <c:v>7.9237196652414035E-2</c:v>
                  </c:pt>
                  <c:pt idx="6">
                    <c:v>3.6166666666666673E-2</c:v>
                  </c:pt>
                  <c:pt idx="7">
                    <c:v>4.5247627850385219E-2</c:v>
                  </c:pt>
                  <c:pt idx="8">
                    <c:v>7.4430385951848838E-2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Sheet1!$B$131:$B$139</c:f>
              <c:numCache>
                <c:formatCode>0.0</c:formatCode>
                <c:ptCount val="9"/>
                <c:pt idx="0">
                  <c:v>47.15</c:v>
                </c:pt>
                <c:pt idx="1">
                  <c:v>81.260000000000005</c:v>
                </c:pt>
                <c:pt idx="2">
                  <c:v>107.13</c:v>
                </c:pt>
                <c:pt idx="3">
                  <c:v>100.38</c:v>
                </c:pt>
                <c:pt idx="4">
                  <c:v>126.33</c:v>
                </c:pt>
                <c:pt idx="5">
                  <c:v>152.55000000000001</c:v>
                </c:pt>
                <c:pt idx="6">
                  <c:v>176.76</c:v>
                </c:pt>
                <c:pt idx="7">
                  <c:v>194.86</c:v>
                </c:pt>
                <c:pt idx="8">
                  <c:v>218.95</c:v>
                </c:pt>
              </c:numCache>
            </c:numRef>
          </c:xVal>
          <c:yVal>
            <c:numRef>
              <c:f>Sheet1!$H$131:$H$139</c:f>
              <c:numCache>
                <c:formatCode>#,##0.00</c:formatCode>
                <c:ptCount val="9"/>
                <c:pt idx="0">
                  <c:v>2.6989700043360187</c:v>
                </c:pt>
                <c:pt idx="1">
                  <c:v>3.287801729930226</c:v>
                </c:pt>
                <c:pt idx="2">
                  <c:v>3.7466341989375787</c:v>
                </c:pt>
                <c:pt idx="3">
                  <c:v>3.716003343634799</c:v>
                </c:pt>
                <c:pt idx="4">
                  <c:v>4.2430380486862944</c:v>
                </c:pt>
                <c:pt idx="5">
                  <c:v>4.8750612633917001</c:v>
                </c:pt>
                <c:pt idx="6">
                  <c:v>5.6812412373755867</c:v>
                </c:pt>
                <c:pt idx="7">
                  <c:v>6.2648178230095368</c:v>
                </c:pt>
                <c:pt idx="8">
                  <c:v>6.7355988996981795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A-4ABA-BB57-A83AAAE37BC7}"/>
            </c:ext>
          </c:extLst>
        </c:ser>
        <c:ser>
          <c:idx val="6"/>
          <c:order val="6"/>
          <c:tx>
            <c:strRef>
              <c:f>Sheet1!$A$154</c:f>
              <c:strCache>
                <c:ptCount val="1"/>
                <c:pt idx="0">
                  <c:v>sample diClp360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Sheet1!$I$156:$I$162</c:f>
                <c:numCache>
                  <c:formatCode>General</c:formatCode>
                  <c:ptCount val="7"/>
                  <c:pt idx="0">
                    <c:v>8.3523338942765868E-2</c:v>
                  </c:pt>
                  <c:pt idx="1">
                    <c:v>4.7637688835525611E-2</c:v>
                  </c:pt>
                  <c:pt idx="2">
                    <c:v>2.5618209986781455E-2</c:v>
                  </c:pt>
                  <c:pt idx="3">
                    <c:v>0.1085</c:v>
                  </c:pt>
                  <c:pt idx="4">
                    <c:v>6.696765388354789E-2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plus>
            <c:minus>
              <c:numRef>
                <c:f>Sheet1!$I$156:$I$162</c:f>
                <c:numCache>
                  <c:formatCode>General</c:formatCode>
                  <c:ptCount val="7"/>
                  <c:pt idx="0">
                    <c:v>8.3523338942765868E-2</c:v>
                  </c:pt>
                  <c:pt idx="1">
                    <c:v>4.7637688835525611E-2</c:v>
                  </c:pt>
                  <c:pt idx="2">
                    <c:v>2.5618209986781455E-2</c:v>
                  </c:pt>
                  <c:pt idx="3">
                    <c:v>0.1085</c:v>
                  </c:pt>
                  <c:pt idx="4">
                    <c:v>6.696765388354789E-2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Sheet1!$B$156:$B$162</c:f>
              <c:numCache>
                <c:formatCode>0.0</c:formatCode>
                <c:ptCount val="7"/>
                <c:pt idx="0">
                  <c:v>62.17</c:v>
                </c:pt>
                <c:pt idx="1">
                  <c:v>96.15</c:v>
                </c:pt>
                <c:pt idx="2">
                  <c:v>115.22</c:v>
                </c:pt>
                <c:pt idx="3">
                  <c:v>141.22</c:v>
                </c:pt>
                <c:pt idx="4">
                  <c:v>167.4</c:v>
                </c:pt>
                <c:pt idx="5">
                  <c:v>191.6</c:v>
                </c:pt>
                <c:pt idx="6">
                  <c:v>209.8</c:v>
                </c:pt>
              </c:numCache>
            </c:numRef>
          </c:xVal>
          <c:yVal>
            <c:numRef>
              <c:f>Sheet1!$H$156:$H$162</c:f>
              <c:numCache>
                <c:formatCode>#,##0.00</c:formatCode>
                <c:ptCount val="7"/>
                <c:pt idx="0">
                  <c:v>2.8573324964312685</c:v>
                </c:pt>
                <c:pt idx="1">
                  <c:v>3.220108088040055</c:v>
                </c:pt>
                <c:pt idx="2">
                  <c:v>3.8838506290062735</c:v>
                </c:pt>
                <c:pt idx="3">
                  <c:v>4.6020599913279625</c:v>
                </c:pt>
                <c:pt idx="4">
                  <c:v>5.3222192947339195</c:v>
                </c:pt>
                <c:pt idx="5">
                  <c:v>6.20682587603185</c:v>
                </c:pt>
                <c:pt idx="6">
                  <c:v>6.971275848738105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5A-4ABA-BB57-A83AAAE37BC7}"/>
            </c:ext>
          </c:extLst>
        </c:ser>
        <c:ser>
          <c:idx val="7"/>
          <c:order val="7"/>
          <c:tx>
            <c:strRef>
              <c:f>Sheet1!$A$179</c:f>
              <c:strCache>
                <c:ptCount val="1"/>
                <c:pt idx="0">
                  <c:v>sample diClp361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Sheet1!$I$181:$I$187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5.9059919353772188E-2</c:v>
                  </c:pt>
                  <c:pt idx="2">
                    <c:v>3.3483826941773938E-2</c:v>
                  </c:pt>
                  <c:pt idx="3">
                    <c:v>0.10526046126576852</c:v>
                  </c:pt>
                  <c:pt idx="4">
                    <c:v>7.134916049052506E-2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plus>
            <c:minus>
              <c:numRef>
                <c:f>Sheet1!$I$181:$I$187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5.9059919353772188E-2</c:v>
                  </c:pt>
                  <c:pt idx="2">
                    <c:v>3.3483826941773938E-2</c:v>
                  </c:pt>
                  <c:pt idx="3">
                    <c:v>0.10526046126576852</c:v>
                  </c:pt>
                  <c:pt idx="4">
                    <c:v>7.134916049052506E-2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Sheet1!$B$181:$B$187</c:f>
              <c:numCache>
                <c:formatCode>0.0</c:formatCode>
                <c:ptCount val="7"/>
                <c:pt idx="0">
                  <c:v>63.7</c:v>
                </c:pt>
                <c:pt idx="1">
                  <c:v>97.62</c:v>
                </c:pt>
                <c:pt idx="2">
                  <c:v>116.7</c:v>
                </c:pt>
                <c:pt idx="3">
                  <c:v>142.65</c:v>
                </c:pt>
                <c:pt idx="4">
                  <c:v>168.87</c:v>
                </c:pt>
                <c:pt idx="5">
                  <c:v>193.04</c:v>
                </c:pt>
                <c:pt idx="6">
                  <c:v>211.24</c:v>
                </c:pt>
              </c:numCache>
            </c:numRef>
          </c:xVal>
          <c:yVal>
            <c:numRef>
              <c:f>Sheet1!$H$181:$H$187</c:f>
              <c:numCache>
                <c:formatCode>#,##0.00</c:formatCode>
                <c:ptCount val="7"/>
                <c:pt idx="0">
                  <c:v>2.6812412373755872</c:v>
                </c:pt>
                <c:pt idx="1">
                  <c:v>3.3344537511509307</c:v>
                </c:pt>
                <c:pt idx="2">
                  <c:v>3.8273692730538253</c:v>
                </c:pt>
                <c:pt idx="3">
                  <c:v>4.6283889300503116</c:v>
                </c:pt>
                <c:pt idx="4">
                  <c:v>5.2671717284030137</c:v>
                </c:pt>
                <c:pt idx="5">
                  <c:v>6.20682587603185</c:v>
                </c:pt>
                <c:pt idx="6">
                  <c:v>6.971275848738105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5A-4ABA-BB57-A83AAAE3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26528"/>
        <c:axId val="808427360"/>
      </c:scatterChart>
      <c:valAx>
        <c:axId val="8084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27360"/>
        <c:crosses val="autoZero"/>
        <c:crossBetween val="midCat"/>
      </c:valAx>
      <c:valAx>
        <c:axId val="8084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</a:t>
                </a:r>
                <a:r>
                  <a:rPr lang="en-US" baseline="0"/>
                  <a:t> denisry (cells/ml))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1341666666666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sample diClp323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Sheet1!$I$6:$I$13</c:f>
                <c:numCache>
                  <c:formatCode>General</c:formatCode>
                  <c:ptCount val="8"/>
                  <c:pt idx="0">
                    <c:v>1.5879229611841867E-2</c:v>
                  </c:pt>
                  <c:pt idx="1">
                    <c:v>1.4555892818650164E-2</c:v>
                  </c:pt>
                  <c:pt idx="2">
                    <c:v>4.2557201324985937E-2</c:v>
                  </c:pt>
                  <c:pt idx="3">
                    <c:v>3.9132462144566567E-2</c:v>
                  </c:pt>
                  <c:pt idx="4">
                    <c:v>1.751481457628638E-2</c:v>
                  </c:pt>
                  <c:pt idx="5">
                    <c:v>1.8020869128261573E-2</c:v>
                  </c:pt>
                  <c:pt idx="6">
                    <c:v>1.6310718807661384E-2</c:v>
                  </c:pt>
                  <c:pt idx="7">
                    <c:v>2.1864604128718722E-2</c:v>
                  </c:pt>
                </c:numCache>
              </c:numRef>
            </c:plus>
            <c:minus>
              <c:numRef>
                <c:f>Sheet1!$I$6:$I$13</c:f>
                <c:numCache>
                  <c:formatCode>General</c:formatCode>
                  <c:ptCount val="8"/>
                  <c:pt idx="0">
                    <c:v>1.5879229611841867E-2</c:v>
                  </c:pt>
                  <c:pt idx="1">
                    <c:v>1.4555892818650164E-2</c:v>
                  </c:pt>
                  <c:pt idx="2">
                    <c:v>4.2557201324985937E-2</c:v>
                  </c:pt>
                  <c:pt idx="3">
                    <c:v>3.9132462144566567E-2</c:v>
                  </c:pt>
                  <c:pt idx="4">
                    <c:v>1.751481457628638E-2</c:v>
                  </c:pt>
                  <c:pt idx="5">
                    <c:v>1.8020869128261573E-2</c:v>
                  </c:pt>
                  <c:pt idx="6">
                    <c:v>1.6310718807661384E-2</c:v>
                  </c:pt>
                  <c:pt idx="7">
                    <c:v>2.1864604128718722E-2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Sheet1!$B$6:$B$13</c:f>
              <c:numCache>
                <c:formatCode>0.0</c:formatCode>
                <c:ptCount val="8"/>
                <c:pt idx="0">
                  <c:v>118.11</c:v>
                </c:pt>
                <c:pt idx="1">
                  <c:v>136.84</c:v>
                </c:pt>
                <c:pt idx="2">
                  <c:v>166.59</c:v>
                </c:pt>
                <c:pt idx="3">
                  <c:v>188.01</c:v>
                </c:pt>
                <c:pt idx="4">
                  <c:v>215.68</c:v>
                </c:pt>
                <c:pt idx="5">
                  <c:v>233.89</c:v>
                </c:pt>
                <c:pt idx="6">
                  <c:v>257.38</c:v>
                </c:pt>
                <c:pt idx="7">
                  <c:v>275.39</c:v>
                </c:pt>
              </c:numCache>
            </c:numRef>
          </c:xVal>
          <c:yVal>
            <c:numRef>
              <c:f>Sheet1!$H$6:$H$13</c:f>
              <c:numCache>
                <c:formatCode>#,##0.00</c:formatCode>
                <c:ptCount val="8"/>
                <c:pt idx="0">
                  <c:v>4.2992893340876801</c:v>
                </c:pt>
                <c:pt idx="1">
                  <c:v>4.5509617522981758</c:v>
                </c:pt>
                <c:pt idx="2">
                  <c:v>5.4149733479708182</c:v>
                </c:pt>
                <c:pt idx="3">
                  <c:v>6.0899051114393981</c:v>
                </c:pt>
                <c:pt idx="4">
                  <c:v>6.7881683711411673</c:v>
                </c:pt>
                <c:pt idx="5">
                  <c:v>7.0644579892269181</c:v>
                </c:pt>
                <c:pt idx="6">
                  <c:v>7.1510632533537501</c:v>
                </c:pt>
                <c:pt idx="7">
                  <c:v>6.896526217489555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2-44BE-9DA4-947C98B645D8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sample diClp325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plus>
            <c:min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plus>
            <c:minus>
              <c:numRef>
                <c:f>Sheet1!$I$31:$I$41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Sheet1!$B$31:$B$41</c:f>
              <c:numCache>
                <c:formatCode>0.0</c:formatCode>
                <c:ptCount val="11"/>
                <c:pt idx="0">
                  <c:v>-23.18</c:v>
                </c:pt>
                <c:pt idx="1">
                  <c:v>6.27</c:v>
                </c:pt>
                <c:pt idx="2">
                  <c:v>27.61</c:v>
                </c:pt>
                <c:pt idx="3">
                  <c:v>55.11</c:v>
                </c:pt>
                <c:pt idx="4">
                  <c:v>73.510000000000005</c:v>
                </c:pt>
                <c:pt idx="5">
                  <c:v>96.97</c:v>
                </c:pt>
                <c:pt idx="6">
                  <c:v>114.96</c:v>
                </c:pt>
                <c:pt idx="7">
                  <c:v>150.27000000000001</c:v>
                </c:pt>
                <c:pt idx="8">
                  <c:v>164.02</c:v>
                </c:pt>
                <c:pt idx="9">
                  <c:v>197.44</c:v>
                </c:pt>
                <c:pt idx="10" formatCode="General">
                  <c:v>215.97</c:v>
                </c:pt>
              </c:numCache>
            </c:numRef>
          </c:xVal>
          <c:yVal>
            <c:numRef>
              <c:f>Sheet1!$H$31:$H$41</c:f>
              <c:numCache>
                <c:formatCode>#,##0.00</c:formatCode>
                <c:ptCount val="11"/>
                <c:pt idx="0">
                  <c:v>2.8325089127062362</c:v>
                </c:pt>
                <c:pt idx="1">
                  <c:v>2.7923916894982539</c:v>
                </c:pt>
                <c:pt idx="2">
                  <c:v>3.1818435879447726</c:v>
                </c:pt>
                <c:pt idx="3">
                  <c:v>3.3617278360175931</c:v>
                </c:pt>
                <c:pt idx="4">
                  <c:v>3.7126497016272113</c:v>
                </c:pt>
                <c:pt idx="5">
                  <c:v>3.9731278535996988</c:v>
                </c:pt>
                <c:pt idx="6">
                  <c:v>4.1772478362556233</c:v>
                </c:pt>
                <c:pt idx="7">
                  <c:v>4.9542425094393252</c:v>
                </c:pt>
                <c:pt idx="8">
                  <c:v>5.2108533653148932</c:v>
                </c:pt>
                <c:pt idx="9">
                  <c:v>6.6020599913279625</c:v>
                </c:pt>
                <c:pt idx="10">
                  <c:v>6.7041505168397988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2-44BE-9DA4-947C98B645D8}"/>
            </c:ext>
          </c:extLst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sample diClp331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Sheet1!$I$56:$I$64</c:f>
                <c:numCache>
                  <c:formatCode>General</c:formatCode>
                  <c:ptCount val="9"/>
                  <c:pt idx="0">
                    <c:v>7.6721085758740398E-2</c:v>
                  </c:pt>
                  <c:pt idx="1">
                    <c:v>3.4310712612826914E-2</c:v>
                  </c:pt>
                  <c:pt idx="2">
                    <c:v>2.1177031582983171E-2</c:v>
                  </c:pt>
                  <c:pt idx="3">
                    <c:v>0.12036994258087472</c:v>
                  </c:pt>
                  <c:pt idx="4">
                    <c:v>9.7045350223490881E-2</c:v>
                  </c:pt>
                  <c:pt idx="5">
                    <c:v>6.2642504207074387E-2</c:v>
                  </c:pt>
                  <c:pt idx="6">
                    <c:v>7.0404096770750935E-2</c:v>
                  </c:pt>
                  <c:pt idx="7">
                    <c:v>6.7779412659655036E-2</c:v>
                  </c:pt>
                  <c:pt idx="8">
                    <c:v>4.9140823281875454E-2</c:v>
                  </c:pt>
                </c:numCache>
              </c:numRef>
            </c:plus>
            <c:minus>
              <c:numRef>
                <c:f>Sheet1!$I$56:$I$64</c:f>
                <c:numCache>
                  <c:formatCode>General</c:formatCode>
                  <c:ptCount val="9"/>
                  <c:pt idx="0">
                    <c:v>7.6721085758740398E-2</c:v>
                  </c:pt>
                  <c:pt idx="1">
                    <c:v>3.4310712612826914E-2</c:v>
                  </c:pt>
                  <c:pt idx="2">
                    <c:v>2.1177031582983171E-2</c:v>
                  </c:pt>
                  <c:pt idx="3">
                    <c:v>0.12036994258087472</c:v>
                  </c:pt>
                  <c:pt idx="4">
                    <c:v>9.7045350223490881E-2</c:v>
                  </c:pt>
                  <c:pt idx="5">
                    <c:v>6.2642504207074387E-2</c:v>
                  </c:pt>
                  <c:pt idx="6">
                    <c:v>7.0404096770750935E-2</c:v>
                  </c:pt>
                  <c:pt idx="7">
                    <c:v>6.7779412659655036E-2</c:v>
                  </c:pt>
                  <c:pt idx="8">
                    <c:v>4.9140823281875454E-2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Sheet1!$B$56:$B$64</c:f>
              <c:numCache>
                <c:formatCode>0.0</c:formatCode>
                <c:ptCount val="9"/>
                <c:pt idx="0">
                  <c:v>60.18</c:v>
                </c:pt>
                <c:pt idx="1">
                  <c:v>93.45</c:v>
                </c:pt>
                <c:pt idx="2">
                  <c:v>110.95</c:v>
                </c:pt>
                <c:pt idx="3">
                  <c:v>135.86000000000001</c:v>
                </c:pt>
                <c:pt idx="4">
                  <c:v>166.58</c:v>
                </c:pt>
                <c:pt idx="5">
                  <c:v>187.95</c:v>
                </c:pt>
                <c:pt idx="6">
                  <c:v>208.78</c:v>
                </c:pt>
                <c:pt idx="7">
                  <c:v>231.3</c:v>
                </c:pt>
                <c:pt idx="8">
                  <c:v>255.98</c:v>
                </c:pt>
              </c:numCache>
            </c:numRef>
          </c:xVal>
          <c:yVal>
            <c:numRef>
              <c:f>Sheet1!$H$56:$H$64</c:f>
              <c:numCache>
                <c:formatCode>#,##0.00</c:formatCode>
                <c:ptCount val="9"/>
                <c:pt idx="0">
                  <c:v>2.8061799739838871</c:v>
                </c:pt>
                <c:pt idx="1">
                  <c:v>3.5051499783199058</c:v>
                </c:pt>
                <c:pt idx="2">
                  <c:v>3.9242792860618816</c:v>
                </c:pt>
                <c:pt idx="3">
                  <c:v>4.5118833609788744</c:v>
                </c:pt>
                <c:pt idx="4">
                  <c:v>5.3010299956639813</c:v>
                </c:pt>
                <c:pt idx="5">
                  <c:v>5.982271233039568</c:v>
                </c:pt>
                <c:pt idx="6">
                  <c:v>6.7839035792727351</c:v>
                </c:pt>
                <c:pt idx="7">
                  <c:v>6.8169038393756605</c:v>
                </c:pt>
                <c:pt idx="8">
                  <c:v>7.0962145853464049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2-44BE-9DA4-947C98B645D8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sample diClp354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Sheet1!$I$81:$I$87</c:f>
                <c:numCache>
                  <c:formatCode>General</c:formatCode>
                  <c:ptCount val="7"/>
                  <c:pt idx="0">
                    <c:v>9.7045350223490881E-2</c:v>
                  </c:pt>
                  <c:pt idx="1">
                    <c:v>6.0184971290437358E-2</c:v>
                  </c:pt>
                  <c:pt idx="2">
                    <c:v>2.253215731366056E-2</c:v>
                  </c:pt>
                  <c:pt idx="3">
                    <c:v>1.7182224539488238E-2</c:v>
                  </c:pt>
                  <c:pt idx="4">
                    <c:v>9.956642849982382E-2</c:v>
                  </c:pt>
                  <c:pt idx="5">
                    <c:v>3.7352772716755973E-2</c:v>
                  </c:pt>
                  <c:pt idx="6">
                    <c:v>3.7918756059089044E-2</c:v>
                  </c:pt>
                </c:numCache>
              </c:numRef>
            </c:plus>
            <c:minus>
              <c:numRef>
                <c:f>Sheet1!$I$81:$I$87</c:f>
                <c:numCache>
                  <c:formatCode>General</c:formatCode>
                  <c:ptCount val="7"/>
                  <c:pt idx="0">
                    <c:v>9.7045350223490881E-2</c:v>
                  </c:pt>
                  <c:pt idx="1">
                    <c:v>6.0184971290437358E-2</c:v>
                  </c:pt>
                  <c:pt idx="2">
                    <c:v>2.253215731366056E-2</c:v>
                  </c:pt>
                  <c:pt idx="3">
                    <c:v>1.7182224539488238E-2</c:v>
                  </c:pt>
                  <c:pt idx="4">
                    <c:v>9.956642849982382E-2</c:v>
                  </c:pt>
                  <c:pt idx="5">
                    <c:v>3.7352772716755973E-2</c:v>
                  </c:pt>
                  <c:pt idx="6">
                    <c:v>3.7918756059089044E-2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Sheet1!$B$81:$B$87</c:f>
              <c:numCache>
                <c:formatCode>0.0</c:formatCode>
                <c:ptCount val="7"/>
                <c:pt idx="0">
                  <c:v>67.459999999999994</c:v>
                </c:pt>
                <c:pt idx="1">
                  <c:v>85.2</c:v>
                </c:pt>
                <c:pt idx="2">
                  <c:v>120.87</c:v>
                </c:pt>
                <c:pt idx="3">
                  <c:v>139.82</c:v>
                </c:pt>
                <c:pt idx="4">
                  <c:v>165.95</c:v>
                </c:pt>
                <c:pt idx="5">
                  <c:v>192.2</c:v>
                </c:pt>
                <c:pt idx="6">
                  <c:v>216.45</c:v>
                </c:pt>
              </c:numCache>
            </c:numRef>
          </c:xVal>
          <c:yVal>
            <c:numRef>
              <c:f>Sheet1!$H$81:$H$87</c:f>
              <c:numCache>
                <c:formatCode>#,##0.00</c:formatCode>
                <c:ptCount val="7"/>
                <c:pt idx="0">
                  <c:v>2.8061799739838871</c:v>
                </c:pt>
                <c:pt idx="1">
                  <c:v>3.0170333392987803</c:v>
                </c:pt>
                <c:pt idx="2">
                  <c:v>3.8704039052790269</c:v>
                </c:pt>
                <c:pt idx="3">
                  <c:v>4.4068806700491248</c:v>
                </c:pt>
                <c:pt idx="4">
                  <c:v>5.2787536009528289</c:v>
                </c:pt>
                <c:pt idx="5">
                  <c:v>6.1303337684950066</c:v>
                </c:pt>
                <c:pt idx="6">
                  <c:v>7.0203612826477082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2-44BE-9DA4-947C98B645D8}"/>
            </c:ext>
          </c:extLst>
        </c:ser>
        <c:ser>
          <c:idx val="4"/>
          <c:order val="4"/>
          <c:tx>
            <c:strRef>
              <c:f>Sheet1!$A$104</c:f>
              <c:strCache>
                <c:ptCount val="1"/>
                <c:pt idx="0">
                  <c:v>sample diClp355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Sheet1!$I$106:$I$112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6.7779412659655022E-2</c:v>
                  </c:pt>
                  <c:pt idx="2">
                    <c:v>2.5982900359873436E-2</c:v>
                  </c:pt>
                  <c:pt idx="3">
                    <c:v>0.16403658128600462</c:v>
                  </c:pt>
                  <c:pt idx="4">
                    <c:v>5.1872921645112688E-2</c:v>
                  </c:pt>
                  <c:pt idx="5">
                    <c:v>3.5202048385375467E-2</c:v>
                  </c:pt>
                  <c:pt idx="6">
                    <c:v>4.6799423570292271E-2</c:v>
                  </c:pt>
                </c:numCache>
              </c:numRef>
            </c:plus>
            <c:minus>
              <c:numRef>
                <c:f>Sheet1!$I$106:$I$112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6.7779412659655022E-2</c:v>
                  </c:pt>
                  <c:pt idx="2">
                    <c:v>2.5982900359873436E-2</c:v>
                  </c:pt>
                  <c:pt idx="3">
                    <c:v>0.16403658128600462</c:v>
                  </c:pt>
                  <c:pt idx="4">
                    <c:v>5.1872921645112688E-2</c:v>
                  </c:pt>
                  <c:pt idx="5">
                    <c:v>3.5202048385375467E-2</c:v>
                  </c:pt>
                  <c:pt idx="6">
                    <c:v>4.6799423570292271E-2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Sheet1!$B$106:$B$112</c:f>
              <c:numCache>
                <c:formatCode>0.0</c:formatCode>
                <c:ptCount val="7"/>
                <c:pt idx="0">
                  <c:v>65.709999999999994</c:v>
                </c:pt>
                <c:pt idx="1">
                  <c:v>83.55</c:v>
                </c:pt>
                <c:pt idx="2">
                  <c:v>107.13</c:v>
                </c:pt>
                <c:pt idx="3">
                  <c:v>138</c:v>
                </c:pt>
                <c:pt idx="4">
                  <c:v>164.26</c:v>
                </c:pt>
                <c:pt idx="5">
                  <c:v>190.46</c:v>
                </c:pt>
                <c:pt idx="6">
                  <c:v>214.66</c:v>
                </c:pt>
              </c:numCache>
            </c:numRef>
          </c:xVal>
          <c:yVal>
            <c:numRef>
              <c:f>Sheet1!$H$106:$H$112</c:f>
              <c:numCache>
                <c:formatCode>#,##0.00</c:formatCode>
                <c:ptCount val="7"/>
                <c:pt idx="0">
                  <c:v>2.5563025007672873</c:v>
                </c:pt>
                <c:pt idx="1">
                  <c:v>2.9138138523837167</c:v>
                </c:pt>
                <c:pt idx="2">
                  <c:v>3.7466341989375787</c:v>
                </c:pt>
                <c:pt idx="3">
                  <c:v>4.2430380486862944</c:v>
                </c:pt>
                <c:pt idx="4">
                  <c:v>5.2430380486862944</c:v>
                </c:pt>
                <c:pt idx="5">
                  <c:v>6.1818435879447726</c:v>
                </c:pt>
                <c:pt idx="6">
                  <c:v>6.8375884382355112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2-44BE-9DA4-947C98B645D8}"/>
            </c:ext>
          </c:extLst>
        </c:ser>
        <c:ser>
          <c:idx val="5"/>
          <c:order val="5"/>
          <c:tx>
            <c:strRef>
              <c:f>Sheet1!$A$129</c:f>
              <c:strCache>
                <c:ptCount val="1"/>
                <c:pt idx="0">
                  <c:v>sample diClp358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Sheet1!$I$131:$I$139</c:f>
                <c:numCache>
                  <c:formatCode>General</c:formatCode>
                  <c:ptCount val="9"/>
                  <c:pt idx="0">
                    <c:v>8.6800000000000002E-2</c:v>
                  </c:pt>
                  <c:pt idx="1">
                    <c:v>4.4066023566799062E-2</c:v>
                  </c:pt>
                  <c:pt idx="2">
                    <c:v>2.5982900359873436E-2</c:v>
                  </c:pt>
                  <c:pt idx="3">
                    <c:v>2.6915537405858236E-2</c:v>
                  </c:pt>
                  <c:pt idx="4">
                    <c:v>0.11599137898999218</c:v>
                  </c:pt>
                  <c:pt idx="5">
                    <c:v>7.9237196652414035E-2</c:v>
                  </c:pt>
                  <c:pt idx="6">
                    <c:v>3.6166666666666673E-2</c:v>
                  </c:pt>
                  <c:pt idx="7">
                    <c:v>4.5247627850385219E-2</c:v>
                  </c:pt>
                  <c:pt idx="8">
                    <c:v>7.4430385951848838E-2</c:v>
                  </c:pt>
                </c:numCache>
              </c:numRef>
            </c:plus>
            <c:minus>
              <c:numRef>
                <c:f>Sheet1!$I$131:$I$139</c:f>
                <c:numCache>
                  <c:formatCode>General</c:formatCode>
                  <c:ptCount val="9"/>
                  <c:pt idx="0">
                    <c:v>8.6800000000000002E-2</c:v>
                  </c:pt>
                  <c:pt idx="1">
                    <c:v>4.4066023566799062E-2</c:v>
                  </c:pt>
                  <c:pt idx="2">
                    <c:v>2.5982900359873436E-2</c:v>
                  </c:pt>
                  <c:pt idx="3">
                    <c:v>2.6915537405858236E-2</c:v>
                  </c:pt>
                  <c:pt idx="4">
                    <c:v>0.11599137898999218</c:v>
                  </c:pt>
                  <c:pt idx="5">
                    <c:v>7.9237196652414035E-2</c:v>
                  </c:pt>
                  <c:pt idx="6">
                    <c:v>3.6166666666666673E-2</c:v>
                  </c:pt>
                  <c:pt idx="7">
                    <c:v>4.5247627850385219E-2</c:v>
                  </c:pt>
                  <c:pt idx="8">
                    <c:v>7.4430385951848838E-2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Sheet1!$B$131:$B$139</c:f>
              <c:numCache>
                <c:formatCode>0.0</c:formatCode>
                <c:ptCount val="9"/>
                <c:pt idx="0">
                  <c:v>47.15</c:v>
                </c:pt>
                <c:pt idx="1">
                  <c:v>81.260000000000005</c:v>
                </c:pt>
                <c:pt idx="2">
                  <c:v>107.13</c:v>
                </c:pt>
                <c:pt idx="3">
                  <c:v>100.38</c:v>
                </c:pt>
                <c:pt idx="4">
                  <c:v>126.33</c:v>
                </c:pt>
                <c:pt idx="5">
                  <c:v>152.55000000000001</c:v>
                </c:pt>
                <c:pt idx="6">
                  <c:v>176.76</c:v>
                </c:pt>
                <c:pt idx="7">
                  <c:v>194.86</c:v>
                </c:pt>
                <c:pt idx="8">
                  <c:v>218.95</c:v>
                </c:pt>
              </c:numCache>
            </c:numRef>
          </c:xVal>
          <c:yVal>
            <c:numRef>
              <c:f>Sheet1!$H$131:$H$139</c:f>
              <c:numCache>
                <c:formatCode>#,##0.00</c:formatCode>
                <c:ptCount val="9"/>
                <c:pt idx="0">
                  <c:v>2.6989700043360187</c:v>
                </c:pt>
                <c:pt idx="1">
                  <c:v>3.287801729930226</c:v>
                </c:pt>
                <c:pt idx="2">
                  <c:v>3.7466341989375787</c:v>
                </c:pt>
                <c:pt idx="3">
                  <c:v>3.716003343634799</c:v>
                </c:pt>
                <c:pt idx="4">
                  <c:v>4.2430380486862944</c:v>
                </c:pt>
                <c:pt idx="5">
                  <c:v>4.8750612633917001</c:v>
                </c:pt>
                <c:pt idx="6">
                  <c:v>5.6812412373755867</c:v>
                </c:pt>
                <c:pt idx="7">
                  <c:v>6.2648178230095368</c:v>
                </c:pt>
                <c:pt idx="8">
                  <c:v>6.7355988996981795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32-44BE-9DA4-947C98B645D8}"/>
            </c:ext>
          </c:extLst>
        </c:ser>
        <c:ser>
          <c:idx val="6"/>
          <c:order val="6"/>
          <c:tx>
            <c:strRef>
              <c:f>Sheet1!$A$154</c:f>
              <c:strCache>
                <c:ptCount val="1"/>
                <c:pt idx="0">
                  <c:v>sample diClp360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Sheet1!$I$156:$I$162</c:f>
                <c:numCache>
                  <c:formatCode>General</c:formatCode>
                  <c:ptCount val="7"/>
                  <c:pt idx="0">
                    <c:v>8.3523338942765868E-2</c:v>
                  </c:pt>
                  <c:pt idx="1">
                    <c:v>4.7637688835525611E-2</c:v>
                  </c:pt>
                  <c:pt idx="2">
                    <c:v>2.5618209986781455E-2</c:v>
                  </c:pt>
                  <c:pt idx="3">
                    <c:v>0.1085</c:v>
                  </c:pt>
                  <c:pt idx="4">
                    <c:v>6.696765388354789E-2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plus>
            <c:minus>
              <c:numRef>
                <c:f>Sheet1!$I$156:$I$162</c:f>
                <c:numCache>
                  <c:formatCode>General</c:formatCode>
                  <c:ptCount val="7"/>
                  <c:pt idx="0">
                    <c:v>8.3523338942765868E-2</c:v>
                  </c:pt>
                  <c:pt idx="1">
                    <c:v>4.7637688835525611E-2</c:v>
                  </c:pt>
                  <c:pt idx="2">
                    <c:v>2.5618209986781455E-2</c:v>
                  </c:pt>
                  <c:pt idx="3">
                    <c:v>0.1085</c:v>
                  </c:pt>
                  <c:pt idx="4">
                    <c:v>6.696765388354789E-2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Sheet1!$B$156:$B$162</c:f>
              <c:numCache>
                <c:formatCode>0.0</c:formatCode>
                <c:ptCount val="7"/>
                <c:pt idx="0">
                  <c:v>62.17</c:v>
                </c:pt>
                <c:pt idx="1">
                  <c:v>96.15</c:v>
                </c:pt>
                <c:pt idx="2">
                  <c:v>115.22</c:v>
                </c:pt>
                <c:pt idx="3">
                  <c:v>141.22</c:v>
                </c:pt>
                <c:pt idx="4">
                  <c:v>167.4</c:v>
                </c:pt>
                <c:pt idx="5">
                  <c:v>191.6</c:v>
                </c:pt>
                <c:pt idx="6">
                  <c:v>209.8</c:v>
                </c:pt>
              </c:numCache>
            </c:numRef>
          </c:xVal>
          <c:yVal>
            <c:numRef>
              <c:f>Sheet1!$H$156:$H$162</c:f>
              <c:numCache>
                <c:formatCode>#,##0.00</c:formatCode>
                <c:ptCount val="7"/>
                <c:pt idx="0">
                  <c:v>2.8573324964312685</c:v>
                </c:pt>
                <c:pt idx="1">
                  <c:v>3.220108088040055</c:v>
                </c:pt>
                <c:pt idx="2">
                  <c:v>3.8838506290062735</c:v>
                </c:pt>
                <c:pt idx="3">
                  <c:v>4.6020599913279625</c:v>
                </c:pt>
                <c:pt idx="4">
                  <c:v>5.3222192947339195</c:v>
                </c:pt>
                <c:pt idx="5">
                  <c:v>6.20682587603185</c:v>
                </c:pt>
                <c:pt idx="6">
                  <c:v>6.971275848738105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32-44BE-9DA4-947C98B645D8}"/>
            </c:ext>
          </c:extLst>
        </c:ser>
        <c:ser>
          <c:idx val="7"/>
          <c:order val="7"/>
          <c:tx>
            <c:strRef>
              <c:f>Sheet1!$A$179</c:f>
              <c:strCache>
                <c:ptCount val="1"/>
                <c:pt idx="0">
                  <c:v>sample diClp361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Sheet1!$I$181:$I$187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5.9059919353772188E-2</c:v>
                  </c:pt>
                  <c:pt idx="2">
                    <c:v>3.3483826941773938E-2</c:v>
                  </c:pt>
                  <c:pt idx="3">
                    <c:v>0.10526046126576852</c:v>
                  </c:pt>
                  <c:pt idx="4">
                    <c:v>7.134916049052506E-2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plus>
            <c:minus>
              <c:numRef>
                <c:f>Sheet1!$I$181:$I$187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5.9059919353772188E-2</c:v>
                  </c:pt>
                  <c:pt idx="2">
                    <c:v>3.3483826941773938E-2</c:v>
                  </c:pt>
                  <c:pt idx="3">
                    <c:v>0.10526046126576852</c:v>
                  </c:pt>
                  <c:pt idx="4">
                    <c:v>7.134916049052506E-2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Sheet1!$B$181:$B$187</c:f>
              <c:numCache>
                <c:formatCode>0.0</c:formatCode>
                <c:ptCount val="7"/>
                <c:pt idx="0">
                  <c:v>63.7</c:v>
                </c:pt>
                <c:pt idx="1">
                  <c:v>97.62</c:v>
                </c:pt>
                <c:pt idx="2">
                  <c:v>116.7</c:v>
                </c:pt>
                <c:pt idx="3">
                  <c:v>142.65</c:v>
                </c:pt>
                <c:pt idx="4">
                  <c:v>168.87</c:v>
                </c:pt>
                <c:pt idx="5">
                  <c:v>193.04</c:v>
                </c:pt>
                <c:pt idx="6">
                  <c:v>211.24</c:v>
                </c:pt>
              </c:numCache>
            </c:numRef>
          </c:xVal>
          <c:yVal>
            <c:numRef>
              <c:f>Sheet1!$H$181:$H$187</c:f>
              <c:numCache>
                <c:formatCode>#,##0.00</c:formatCode>
                <c:ptCount val="7"/>
                <c:pt idx="0">
                  <c:v>2.6812412373755872</c:v>
                </c:pt>
                <c:pt idx="1">
                  <c:v>3.3344537511509307</c:v>
                </c:pt>
                <c:pt idx="2">
                  <c:v>3.8273692730538253</c:v>
                </c:pt>
                <c:pt idx="3">
                  <c:v>4.6283889300503116</c:v>
                </c:pt>
                <c:pt idx="4">
                  <c:v>5.2671717284030137</c:v>
                </c:pt>
                <c:pt idx="5">
                  <c:v>6.20682587603185</c:v>
                </c:pt>
                <c:pt idx="6">
                  <c:v>6.971275848738105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32-44BE-9DA4-947C98B6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26528"/>
        <c:axId val="808427360"/>
      </c:scatterChart>
      <c:valAx>
        <c:axId val="8084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27360"/>
        <c:crosses val="autoZero"/>
        <c:crossBetween val="midCat"/>
        <c:majorUnit val="50"/>
      </c:valAx>
      <c:valAx>
        <c:axId val="80842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Log10(cell density (cells/ml))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1.84259259259259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217</xdr:row>
      <xdr:rowOff>0</xdr:rowOff>
    </xdr:from>
    <xdr:to>
      <xdr:col>8</xdr:col>
      <xdr:colOff>180975</xdr:colOff>
      <xdr:row>230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927D7-F227-4D5E-B5B1-75733382B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5</xdr:col>
      <xdr:colOff>352425</xdr:colOff>
      <xdr:row>246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4D769-07FF-4FFF-BC75-458DA8BE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19"/>
  <sheetViews>
    <sheetView tabSelected="1" zoomScaleNormal="100" workbookViewId="0">
      <selection activeCell="F13" sqref="F13"/>
    </sheetView>
  </sheetViews>
  <sheetFormatPr defaultColWidth="14.42578125" defaultRowHeight="15.75" customHeight="1" x14ac:dyDescent="0.2"/>
  <cols>
    <col min="1" max="1" width="15.85546875" customWidth="1"/>
    <col min="4" max="4" width="18.42578125" customWidth="1"/>
    <col min="5" max="6" width="16" customWidth="1"/>
    <col min="8" max="8" width="16.140625" customWidth="1"/>
    <col min="9" max="9" width="18" customWidth="1"/>
  </cols>
  <sheetData>
    <row r="1" spans="1:14" ht="15.75" customHeight="1" x14ac:dyDescent="0.2">
      <c r="A1" s="34" t="s">
        <v>60</v>
      </c>
      <c r="B1" s="34"/>
      <c r="C1" s="34"/>
      <c r="D1" s="34"/>
      <c r="E1" s="34"/>
    </row>
    <row r="2" spans="1:14" ht="12.75" x14ac:dyDescent="0.2">
      <c r="A2" s="1" t="s">
        <v>61</v>
      </c>
    </row>
    <row r="3" spans="1:14" ht="12.75" x14ac:dyDescent="0.2">
      <c r="A3" s="1" t="s">
        <v>0</v>
      </c>
    </row>
    <row r="4" spans="1:14" ht="12.75" x14ac:dyDescent="0.2">
      <c r="A4" s="1" t="s">
        <v>1</v>
      </c>
      <c r="D4" s="2"/>
      <c r="E4" s="1"/>
      <c r="F4" s="1" t="s">
        <v>2</v>
      </c>
      <c r="I4" s="1" t="s">
        <v>3</v>
      </c>
    </row>
    <row r="5" spans="1:14" ht="114.75" x14ac:dyDescent="0.2">
      <c r="A5" s="1" t="s">
        <v>4</v>
      </c>
      <c r="B5" s="33" t="s">
        <v>5</v>
      </c>
      <c r="C5" s="1" t="s">
        <v>6</v>
      </c>
      <c r="D5" s="2" t="s">
        <v>7</v>
      </c>
      <c r="E5" s="3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</row>
    <row r="6" spans="1:14" ht="12.75" x14ac:dyDescent="0.2">
      <c r="A6" s="1">
        <v>1</v>
      </c>
      <c r="B6" s="4">
        <v>118.11</v>
      </c>
      <c r="C6" s="1">
        <v>747</v>
      </c>
      <c r="D6" s="2">
        <f t="shared" ref="D6:D13" si="0">SQRT(C6)</f>
        <v>27.331300737432898</v>
      </c>
      <c r="E6" s="2">
        <f>(40/30)*20</f>
        <v>26.666666666666664</v>
      </c>
      <c r="F6" s="2">
        <f t="shared" ref="F6:F13" si="1">C6*E6</f>
        <v>19920</v>
      </c>
      <c r="G6" s="2">
        <f t="shared" ref="G6:G13" si="2">D6*E6</f>
        <v>728.83468633154382</v>
      </c>
      <c r="H6" s="5">
        <f t="shared" ref="H6:H13" si="3">LOG10(F6)</f>
        <v>4.2992893340876801</v>
      </c>
      <c r="I6" s="6">
        <f t="shared" ref="I6:I13" si="4">0.434 * G6/F6</f>
        <v>1.5879229611841867E-2</v>
      </c>
      <c r="J6" s="7">
        <f t="shared" ref="J6:J13" si="5">(1/I6^2)</f>
        <v>3965.8943702350884</v>
      </c>
      <c r="K6" s="6">
        <f t="shared" ref="K6:K13" si="6">B6^2 * J6</f>
        <v>55324115.816326551</v>
      </c>
      <c r="L6" s="6">
        <f t="shared" ref="L6:L13" si="7">B6 * J6</f>
        <v>468411.78406846628</v>
      </c>
      <c r="M6" s="6">
        <f t="shared" ref="M6:M13" si="8">B6*H6*J6</f>
        <v>2013837.7872065385</v>
      </c>
      <c r="N6" s="7">
        <f t="shared" ref="N6:N13" si="9">H6*J6</f>
        <v>17050.527366070091</v>
      </c>
    </row>
    <row r="7" spans="1:14" ht="12.75" x14ac:dyDescent="0.2">
      <c r="A7" s="8">
        <f t="shared" ref="A7:A13" si="10">A6+1</f>
        <v>2</v>
      </c>
      <c r="B7" s="9">
        <v>136.84</v>
      </c>
      <c r="C7" s="8">
        <f>486 + 403</f>
        <v>889</v>
      </c>
      <c r="D7" s="2">
        <f t="shared" si="0"/>
        <v>29.816103031751148</v>
      </c>
      <c r="E7" s="2">
        <f>(40/20) * 20</f>
        <v>40</v>
      </c>
      <c r="F7" s="2">
        <f t="shared" si="1"/>
        <v>35560</v>
      </c>
      <c r="G7" s="2">
        <f t="shared" si="2"/>
        <v>1192.6441212700458</v>
      </c>
      <c r="H7" s="5">
        <f t="shared" si="3"/>
        <v>4.5509617522981758</v>
      </c>
      <c r="I7" s="6">
        <f t="shared" si="4"/>
        <v>1.4555892818650164E-2</v>
      </c>
      <c r="J7" s="7">
        <f t="shared" si="5"/>
        <v>4719.7859372677285</v>
      </c>
      <c r="K7" s="6">
        <f t="shared" si="6"/>
        <v>88378867.667608172</v>
      </c>
      <c r="L7" s="6">
        <f t="shared" si="7"/>
        <v>645855.50765571604</v>
      </c>
      <c r="M7" s="6">
        <f t="shared" si="8"/>
        <v>2939263.7128522848</v>
      </c>
      <c r="N7" s="7">
        <f t="shared" si="9"/>
        <v>21479.565279540231</v>
      </c>
    </row>
    <row r="8" spans="1:14" ht="12.75" x14ac:dyDescent="0.2">
      <c r="A8" s="8">
        <f t="shared" si="10"/>
        <v>3</v>
      </c>
      <c r="B8" s="10">
        <v>166.59</v>
      </c>
      <c r="C8" s="1">
        <v>104</v>
      </c>
      <c r="D8" s="2">
        <f t="shared" si="0"/>
        <v>10.198039027185569</v>
      </c>
      <c r="E8" s="2">
        <f>(1/4)*10000</f>
        <v>2500</v>
      </c>
      <c r="F8" s="2">
        <f t="shared" si="1"/>
        <v>260000</v>
      </c>
      <c r="G8" s="2">
        <f t="shared" si="2"/>
        <v>25495.097567963923</v>
      </c>
      <c r="H8" s="5">
        <f t="shared" si="3"/>
        <v>5.4149733479708182</v>
      </c>
      <c r="I8" s="6">
        <f t="shared" si="4"/>
        <v>4.2557201324985937E-2</v>
      </c>
      <c r="J8" s="7">
        <f t="shared" si="5"/>
        <v>552.14593641827173</v>
      </c>
      <c r="K8" s="6">
        <f t="shared" si="6"/>
        <v>15323279.971967975</v>
      </c>
      <c r="L8" s="6">
        <f t="shared" si="7"/>
        <v>91981.991547919883</v>
      </c>
      <c r="M8" s="6">
        <f t="shared" si="8"/>
        <v>498080.03272526327</v>
      </c>
      <c r="N8" s="7">
        <f t="shared" si="9"/>
        <v>2989.8555298953315</v>
      </c>
    </row>
    <row r="9" spans="1:14" ht="12.75" x14ac:dyDescent="0.2">
      <c r="A9" s="8">
        <f t="shared" si="10"/>
        <v>4</v>
      </c>
      <c r="B9" s="11">
        <v>188.01</v>
      </c>
      <c r="C9" s="1">
        <v>123</v>
      </c>
      <c r="D9" s="2">
        <f t="shared" si="0"/>
        <v>11.090536506409418</v>
      </c>
      <c r="E9" s="2">
        <v>10000</v>
      </c>
      <c r="F9" s="2">
        <f t="shared" si="1"/>
        <v>1230000</v>
      </c>
      <c r="G9" s="2">
        <f t="shared" si="2"/>
        <v>110905.36506409418</v>
      </c>
      <c r="H9" s="5">
        <f t="shared" si="3"/>
        <v>6.0899051114393981</v>
      </c>
      <c r="I9" s="6">
        <f t="shared" si="4"/>
        <v>3.9132462144566567E-2</v>
      </c>
      <c r="J9" s="7">
        <f t="shared" si="5"/>
        <v>653.0187517254559</v>
      </c>
      <c r="K9" s="6">
        <f t="shared" si="6"/>
        <v>23082750.176792875</v>
      </c>
      <c r="L9" s="6">
        <f t="shared" si="7"/>
        <v>122774.05551190296</v>
      </c>
      <c r="M9" s="6">
        <f t="shared" si="8"/>
        <v>747682.3482140823</v>
      </c>
      <c r="N9" s="7">
        <f t="shared" si="9"/>
        <v>3976.8222339986291</v>
      </c>
    </row>
    <row r="10" spans="1:14" ht="12.75" x14ac:dyDescent="0.2">
      <c r="A10" s="8">
        <f t="shared" si="10"/>
        <v>5</v>
      </c>
      <c r="B10" s="10">
        <v>215.68</v>
      </c>
      <c r="C10" s="1">
        <v>614</v>
      </c>
      <c r="D10" s="2">
        <f t="shared" si="0"/>
        <v>24.779023386727733</v>
      </c>
      <c r="E10" s="2">
        <v>10000</v>
      </c>
      <c r="F10" s="2">
        <f t="shared" si="1"/>
        <v>6140000</v>
      </c>
      <c r="G10" s="2">
        <f t="shared" si="2"/>
        <v>247790.23386727733</v>
      </c>
      <c r="H10" s="5">
        <f t="shared" si="3"/>
        <v>6.7881683711411673</v>
      </c>
      <c r="I10" s="6">
        <f t="shared" si="4"/>
        <v>1.751481457628638E-2</v>
      </c>
      <c r="J10" s="7">
        <f t="shared" si="5"/>
        <v>3259.7846630847966</v>
      </c>
      <c r="K10" s="6">
        <f t="shared" si="6"/>
        <v>151638214.41100895</v>
      </c>
      <c r="L10" s="6">
        <f t="shared" si="7"/>
        <v>703070.35613412899</v>
      </c>
      <c r="M10" s="6">
        <f t="shared" si="8"/>
        <v>4772559.9541966505</v>
      </c>
      <c r="N10" s="7">
        <f t="shared" si="9"/>
        <v>22127.967146683284</v>
      </c>
    </row>
    <row r="11" spans="1:14" ht="12.75" x14ac:dyDescent="0.2">
      <c r="A11" s="8">
        <f t="shared" si="10"/>
        <v>6</v>
      </c>
      <c r="B11" s="10">
        <v>233.89</v>
      </c>
      <c r="C11" s="1">
        <v>580</v>
      </c>
      <c r="D11" s="2">
        <f t="shared" si="0"/>
        <v>24.083189157584592</v>
      </c>
      <c r="E11" s="2">
        <f t="shared" ref="E11:E13" si="11">(16/8)*10000</f>
        <v>20000</v>
      </c>
      <c r="F11" s="2">
        <f t="shared" si="1"/>
        <v>11600000</v>
      </c>
      <c r="G11" s="2">
        <f t="shared" si="2"/>
        <v>481663.78315169184</v>
      </c>
      <c r="H11" s="5">
        <f t="shared" si="3"/>
        <v>7.0644579892269181</v>
      </c>
      <c r="I11" s="6">
        <f t="shared" si="4"/>
        <v>1.8020869128261573E-2</v>
      </c>
      <c r="J11" s="7">
        <f t="shared" si="5"/>
        <v>3079.2754146403618</v>
      </c>
      <c r="K11" s="6">
        <f t="shared" si="6"/>
        <v>168450320.76493448</v>
      </c>
      <c r="L11" s="6">
        <f t="shared" si="7"/>
        <v>720211.72673023422</v>
      </c>
      <c r="M11" s="6">
        <f t="shared" si="8"/>
        <v>5087905.4868343165</v>
      </c>
      <c r="N11" s="7">
        <f t="shared" si="9"/>
        <v>21753.411803986135</v>
      </c>
    </row>
    <row r="12" spans="1:14" ht="12.75" x14ac:dyDescent="0.2">
      <c r="A12" s="8">
        <f t="shared" si="10"/>
        <v>7</v>
      </c>
      <c r="B12" s="11">
        <v>257.38</v>
      </c>
      <c r="C12" s="1">
        <v>708</v>
      </c>
      <c r="D12" s="2">
        <f t="shared" si="0"/>
        <v>26.608269391300141</v>
      </c>
      <c r="E12" s="2">
        <f t="shared" si="11"/>
        <v>20000</v>
      </c>
      <c r="F12" s="2">
        <f t="shared" si="1"/>
        <v>14160000</v>
      </c>
      <c r="G12" s="2">
        <f t="shared" si="2"/>
        <v>532165.38782600279</v>
      </c>
      <c r="H12" s="5">
        <f t="shared" si="3"/>
        <v>7.1510632533537501</v>
      </c>
      <c r="I12" s="6">
        <f t="shared" si="4"/>
        <v>1.6310718807661384E-2</v>
      </c>
      <c r="J12" s="7">
        <f t="shared" si="5"/>
        <v>3758.8396440782358</v>
      </c>
      <c r="K12" s="6">
        <f t="shared" si="6"/>
        <v>249002318.98744935</v>
      </c>
      <c r="L12" s="6">
        <f t="shared" si="7"/>
        <v>967450.14759285632</v>
      </c>
      <c r="M12" s="6">
        <f t="shared" si="8"/>
        <v>6918297.1999029368</v>
      </c>
      <c r="N12" s="7">
        <f t="shared" si="9"/>
        <v>26879.700054017161</v>
      </c>
    </row>
    <row r="13" spans="1:14" ht="12.75" x14ac:dyDescent="0.2">
      <c r="A13" s="8">
        <f t="shared" si="10"/>
        <v>8</v>
      </c>
      <c r="B13" s="10">
        <v>275.39</v>
      </c>
      <c r="C13" s="1">
        <v>394</v>
      </c>
      <c r="D13" s="2">
        <f t="shared" si="0"/>
        <v>19.849433241279208</v>
      </c>
      <c r="E13" s="2">
        <f t="shared" si="11"/>
        <v>20000</v>
      </c>
      <c r="F13" s="2">
        <f t="shared" si="1"/>
        <v>7880000</v>
      </c>
      <c r="G13" s="2">
        <f t="shared" si="2"/>
        <v>396988.66482558416</v>
      </c>
      <c r="H13" s="5">
        <f t="shared" si="3"/>
        <v>6.896526217489555</v>
      </c>
      <c r="I13" s="6">
        <f t="shared" si="4"/>
        <v>2.1864604128718722E-2</v>
      </c>
      <c r="J13" s="7">
        <f t="shared" si="5"/>
        <v>2091.7836437384526</v>
      </c>
      <c r="K13" s="6">
        <f t="shared" si="6"/>
        <v>158640143.80959457</v>
      </c>
      <c r="L13" s="6">
        <f t="shared" si="7"/>
        <v>576056.29764913244</v>
      </c>
      <c r="M13" s="6">
        <f t="shared" si="8"/>
        <v>3972787.3594872085</v>
      </c>
      <c r="N13" s="7">
        <f t="shared" si="9"/>
        <v>14426.04074035807</v>
      </c>
    </row>
    <row r="14" spans="1:14" ht="15.75" customHeight="1" x14ac:dyDescent="0.25">
      <c r="B14" s="12"/>
      <c r="D14" s="2"/>
      <c r="E14" s="2"/>
      <c r="F14" s="2"/>
      <c r="G14" s="2"/>
      <c r="H14" s="5"/>
      <c r="J14" s="7"/>
      <c r="K14" s="6"/>
      <c r="L14" s="6"/>
      <c r="M14" s="6"/>
      <c r="N14" s="7"/>
    </row>
    <row r="15" spans="1:14" ht="15.75" customHeight="1" x14ac:dyDescent="0.25">
      <c r="B15" s="12"/>
      <c r="D15" s="2"/>
      <c r="E15" s="2"/>
      <c r="F15" s="2"/>
      <c r="G15" s="2"/>
      <c r="H15" s="5"/>
      <c r="J15" s="7"/>
      <c r="K15" s="6"/>
      <c r="L15" s="6"/>
      <c r="M15" s="6"/>
      <c r="N15" s="7"/>
    </row>
    <row r="16" spans="1:14" ht="12.75" x14ac:dyDescent="0.2">
      <c r="D16" s="2"/>
      <c r="E16" s="2"/>
      <c r="F16" s="2"/>
      <c r="G16" s="2"/>
      <c r="H16" s="5"/>
      <c r="J16" s="7"/>
      <c r="K16" s="6"/>
      <c r="L16" s="6"/>
      <c r="M16" s="6"/>
      <c r="N16" s="7"/>
    </row>
    <row r="17" spans="1:14" ht="12.75" x14ac:dyDescent="0.2">
      <c r="D17" s="2"/>
      <c r="E17" s="2"/>
      <c r="F17" s="2"/>
      <c r="G17" s="2"/>
      <c r="H17" s="5"/>
      <c r="J17" s="7"/>
      <c r="K17" s="6"/>
      <c r="L17" s="6"/>
      <c r="M17" s="6"/>
      <c r="N17" s="7"/>
    </row>
    <row r="19" spans="1:14" ht="12.75" x14ac:dyDescent="0.2">
      <c r="F19" s="13"/>
      <c r="G19" s="14"/>
      <c r="H19" s="14"/>
    </row>
    <row r="20" spans="1:14" ht="12.75" x14ac:dyDescent="0.2">
      <c r="E20" s="1"/>
      <c r="F20" s="1" t="s">
        <v>18</v>
      </c>
    </row>
    <row r="21" spans="1:14" ht="12.75" x14ac:dyDescent="0.2">
      <c r="E21" s="1"/>
      <c r="F21" s="1" t="s">
        <v>19</v>
      </c>
      <c r="G21" s="1" t="s">
        <v>20</v>
      </c>
      <c r="H21" s="6">
        <f>SUM(J6:J7)*SUM(K6:K7)-(SUM(L6:L7))^2</f>
        <v>6566576369.4707031</v>
      </c>
    </row>
    <row r="22" spans="1:14" ht="12.75" x14ac:dyDescent="0.2">
      <c r="E22" s="1"/>
      <c r="F22" s="1" t="s">
        <v>21</v>
      </c>
      <c r="G22" s="1" t="s">
        <v>22</v>
      </c>
      <c r="H22" s="6">
        <f>(1/H21)*((SUM(J6:J7)*SUM(M6:M7))-(SUM(L6:L7)*SUM(N6:N7)))</f>
        <v>1.3436861623624438E-2</v>
      </c>
    </row>
    <row r="23" spans="1:14" ht="12.75" x14ac:dyDescent="0.2">
      <c r="G23" s="1" t="s">
        <v>23</v>
      </c>
      <c r="H23" s="6">
        <f>SQRT((1/H21)*(SUM(J6:J7)))</f>
        <v>1.1500915707018445E-3</v>
      </c>
    </row>
    <row r="25" spans="1:14" ht="12.75" x14ac:dyDescent="0.2">
      <c r="E25" s="1"/>
      <c r="F25" s="1" t="s">
        <v>24</v>
      </c>
      <c r="G25" s="1" t="s">
        <v>20</v>
      </c>
      <c r="H25" s="6">
        <f>SUM(J8:J10)*SUM(K8:K10)-(SUM(L8:L10))^2</f>
        <v>6132620051.9125977</v>
      </c>
    </row>
    <row r="26" spans="1:14" ht="12.75" x14ac:dyDescent="0.2">
      <c r="E26" s="1"/>
      <c r="F26" s="1" t="s">
        <v>21</v>
      </c>
      <c r="G26" s="1" t="s">
        <v>22</v>
      </c>
      <c r="H26" s="6">
        <f>(1/H25)*((SUM(J8:J10)*SUM(M8:M10))-(SUM(L8:L10)*SUM(N8:N10)))</f>
        <v>2.7340861467030488E-2</v>
      </c>
    </row>
    <row r="27" spans="1:14" ht="12.75" x14ac:dyDescent="0.2">
      <c r="G27" s="1" t="s">
        <v>23</v>
      </c>
      <c r="H27" s="6">
        <f>SQRT((1/H25)*(SUM(J8:J10)))</f>
        <v>8.5326756853215137E-4</v>
      </c>
    </row>
    <row r="28" spans="1:14" ht="12.75" x14ac:dyDescent="0.2">
      <c r="A28" s="13"/>
    </row>
    <row r="29" spans="1:14" ht="12.75" x14ac:dyDescent="0.2">
      <c r="A29" s="1" t="s">
        <v>25</v>
      </c>
      <c r="D29" s="2"/>
      <c r="E29" s="1"/>
      <c r="I29" s="1" t="s">
        <v>26</v>
      </c>
    </row>
    <row r="30" spans="1:14" ht="114.75" x14ac:dyDescent="0.2">
      <c r="A30" s="1" t="s">
        <v>4</v>
      </c>
      <c r="B30" s="3" t="s">
        <v>5</v>
      </c>
      <c r="C30" s="1" t="s">
        <v>6</v>
      </c>
      <c r="D30" s="2" t="s">
        <v>7</v>
      </c>
      <c r="E30" s="3" t="s">
        <v>8</v>
      </c>
      <c r="F30" s="1" t="s">
        <v>9</v>
      </c>
      <c r="G30" s="1" t="s">
        <v>10</v>
      </c>
      <c r="H30" s="1" t="s">
        <v>11</v>
      </c>
      <c r="I30" s="1" t="s">
        <v>12</v>
      </c>
      <c r="J30" s="1" t="s">
        <v>13</v>
      </c>
      <c r="K30" s="1" t="s">
        <v>14</v>
      </c>
      <c r="L30" s="1" t="s">
        <v>15</v>
      </c>
      <c r="M30" s="1" t="s">
        <v>16</v>
      </c>
      <c r="N30" s="1" t="s">
        <v>17</v>
      </c>
    </row>
    <row r="31" spans="1:14" ht="12.75" x14ac:dyDescent="0.2">
      <c r="A31" s="1">
        <v>1</v>
      </c>
      <c r="B31" s="4">
        <v>-23.18</v>
      </c>
      <c r="C31" s="1">
        <v>17</v>
      </c>
      <c r="D31" s="2">
        <f t="shared" ref="D31:D41" si="12">SQRT(C31)</f>
        <v>4.1231056256176606</v>
      </c>
      <c r="E31" s="2">
        <f>(40/20) * 20</f>
        <v>40</v>
      </c>
      <c r="F31" s="2">
        <f t="shared" ref="F31:F41" si="13">C31*E31</f>
        <v>680</v>
      </c>
      <c r="G31" s="2">
        <f t="shared" ref="G31:G41" si="14">D31*E31</f>
        <v>164.92422502470643</v>
      </c>
      <c r="H31" s="5">
        <f t="shared" ref="H31:H41" si="15">LOG10(F31)</f>
        <v>2.8325089127062362</v>
      </c>
      <c r="I31" s="6">
        <f t="shared" ref="I31:I41" si="16">0.434 * G31/F31</f>
        <v>0.10526046126576852</v>
      </c>
      <c r="J31" s="7">
        <f t="shared" ref="J31:J41" si="17">(1/I31^2)</f>
        <v>90.254624222217487</v>
      </c>
      <c r="K31" s="6">
        <f t="shared" ref="K31:K41" si="18">B31^2 * J31</f>
        <v>48494.928751937812</v>
      </c>
      <c r="L31" s="6">
        <f t="shared" ref="L31:L41" si="19">B31 * J31</f>
        <v>-2092.1021894710011</v>
      </c>
      <c r="M31" s="6">
        <f t="shared" ref="M31:M41" si="20">B31*H31*J31</f>
        <v>-5925.8980979688422</v>
      </c>
      <c r="N31" s="7">
        <f t="shared" ref="N31:N41" si="21">H31*J31</f>
        <v>255.64702752238318</v>
      </c>
    </row>
    <row r="32" spans="1:14" ht="12.75" x14ac:dyDescent="0.2">
      <c r="A32" s="8">
        <f t="shared" ref="A32:A38" si="22">A31+1</f>
        <v>2</v>
      </c>
      <c r="B32" s="9">
        <v>6.27</v>
      </c>
      <c r="C32" s="1">
        <v>31</v>
      </c>
      <c r="D32" s="2">
        <f t="shared" si="12"/>
        <v>5.5677643628300215</v>
      </c>
      <c r="E32" s="2">
        <v>20</v>
      </c>
      <c r="F32" s="2">
        <f t="shared" si="13"/>
        <v>620</v>
      </c>
      <c r="G32" s="2">
        <f t="shared" si="14"/>
        <v>111.35528725660043</v>
      </c>
      <c r="H32" s="5">
        <f t="shared" si="15"/>
        <v>2.7923916894982539</v>
      </c>
      <c r="I32" s="6">
        <f t="shared" si="16"/>
        <v>7.7948701079620292E-2</v>
      </c>
      <c r="J32" s="7">
        <f t="shared" si="17"/>
        <v>164.58196181698494</v>
      </c>
      <c r="K32" s="6">
        <f t="shared" si="18"/>
        <v>6470.1942067149457</v>
      </c>
      <c r="L32" s="6">
        <f t="shared" si="19"/>
        <v>1031.9289005924954</v>
      </c>
      <c r="M32" s="6">
        <f t="shared" si="20"/>
        <v>2881.5496861675547</v>
      </c>
      <c r="N32" s="7">
        <f t="shared" si="21"/>
        <v>459.57730241906768</v>
      </c>
    </row>
    <row r="33" spans="1:15" ht="12.75" x14ac:dyDescent="0.2">
      <c r="A33" s="8">
        <f t="shared" si="22"/>
        <v>3</v>
      </c>
      <c r="B33" s="10">
        <v>27.61</v>
      </c>
      <c r="C33" s="1">
        <v>76</v>
      </c>
      <c r="D33" s="2">
        <f t="shared" si="12"/>
        <v>8.717797887081348</v>
      </c>
      <c r="E33" s="2">
        <v>20</v>
      </c>
      <c r="F33" s="2">
        <f t="shared" si="13"/>
        <v>1520</v>
      </c>
      <c r="G33" s="2">
        <f t="shared" si="14"/>
        <v>174.35595774162695</v>
      </c>
      <c r="H33" s="5">
        <f t="shared" si="15"/>
        <v>3.1818435879447726</v>
      </c>
      <c r="I33" s="6">
        <f t="shared" si="16"/>
        <v>4.978321424991191E-2</v>
      </c>
      <c r="J33" s="7">
        <f t="shared" si="17"/>
        <v>403.49126122873696</v>
      </c>
      <c r="K33" s="6">
        <f t="shared" si="18"/>
        <v>307586.27067892707</v>
      </c>
      <c r="L33" s="6">
        <f t="shared" si="19"/>
        <v>11140.393722525427</v>
      </c>
      <c r="M33" s="6">
        <f t="shared" si="20"/>
        <v>35446.990333197726</v>
      </c>
      <c r="N33" s="7">
        <f t="shared" si="21"/>
        <v>1283.846082332406</v>
      </c>
    </row>
    <row r="34" spans="1:15" ht="12.75" x14ac:dyDescent="0.2">
      <c r="A34" s="8">
        <f t="shared" si="22"/>
        <v>4</v>
      </c>
      <c r="B34" s="11">
        <v>55.11</v>
      </c>
      <c r="C34" s="1">
        <v>115</v>
      </c>
      <c r="D34" s="2">
        <f t="shared" si="12"/>
        <v>10.723805294763608</v>
      </c>
      <c r="E34" s="2">
        <v>20</v>
      </c>
      <c r="F34" s="2">
        <f t="shared" si="13"/>
        <v>2300</v>
      </c>
      <c r="G34" s="2">
        <f t="shared" si="14"/>
        <v>214.47610589527216</v>
      </c>
      <c r="H34" s="5">
        <f t="shared" si="15"/>
        <v>3.3617278360175931</v>
      </c>
      <c r="I34" s="6">
        <f t="shared" si="16"/>
        <v>4.0470708677629613E-2</v>
      </c>
      <c r="J34" s="7">
        <f t="shared" si="17"/>
        <v>610.54598738558911</v>
      </c>
      <c r="K34" s="6">
        <f t="shared" si="18"/>
        <v>1854296.6058952201</v>
      </c>
      <c r="L34" s="6">
        <f t="shared" si="19"/>
        <v>33647.189364819817</v>
      </c>
      <c r="M34" s="6">
        <f t="shared" si="20"/>
        <v>113112.69309146989</v>
      </c>
      <c r="N34" s="7">
        <f t="shared" si="21"/>
        <v>2052.489440962981</v>
      </c>
    </row>
    <row r="35" spans="1:15" ht="12.75" x14ac:dyDescent="0.2">
      <c r="A35" s="8">
        <f t="shared" si="22"/>
        <v>5</v>
      </c>
      <c r="B35" s="10">
        <v>73.510000000000005</v>
      </c>
      <c r="C35" s="1">
        <v>258</v>
      </c>
      <c r="D35" s="2">
        <f t="shared" si="12"/>
        <v>16.06237840420901</v>
      </c>
      <c r="E35" s="2">
        <v>20</v>
      </c>
      <c r="F35" s="2">
        <f t="shared" si="13"/>
        <v>5160</v>
      </c>
      <c r="G35" s="2">
        <f t="shared" si="14"/>
        <v>321.24756808418022</v>
      </c>
      <c r="H35" s="5">
        <f t="shared" si="15"/>
        <v>3.7126497016272113</v>
      </c>
      <c r="I35" s="6">
        <f t="shared" si="16"/>
        <v>2.7019659796227564E-2</v>
      </c>
      <c r="J35" s="7">
        <f t="shared" si="17"/>
        <v>1369.7466499607124</v>
      </c>
      <c r="K35" s="6">
        <f t="shared" si="18"/>
        <v>7401727.5043003662</v>
      </c>
      <c r="L35" s="6">
        <f t="shared" si="19"/>
        <v>100690.07623861197</v>
      </c>
      <c r="M35" s="6">
        <f t="shared" si="20"/>
        <v>373826.98150410393</v>
      </c>
      <c r="N35" s="7">
        <f t="shared" si="21"/>
        <v>5085.3894912815113</v>
      </c>
    </row>
    <row r="36" spans="1:15" ht="12.75" x14ac:dyDescent="0.2">
      <c r="A36" s="8">
        <f t="shared" si="22"/>
        <v>6</v>
      </c>
      <c r="B36" s="10">
        <v>96.97</v>
      </c>
      <c r="C36" s="1">
        <v>470</v>
      </c>
      <c r="D36" s="2">
        <f t="shared" si="12"/>
        <v>21.679483388678801</v>
      </c>
      <c r="E36" s="2">
        <v>20</v>
      </c>
      <c r="F36" s="2">
        <f t="shared" si="13"/>
        <v>9400</v>
      </c>
      <c r="G36" s="2">
        <f t="shared" si="14"/>
        <v>433.58966777357602</v>
      </c>
      <c r="H36" s="5">
        <f t="shared" si="15"/>
        <v>3.9731278535996988</v>
      </c>
      <c r="I36" s="6">
        <f t="shared" si="16"/>
        <v>2.0018927214226809E-2</v>
      </c>
      <c r="J36" s="7">
        <f t="shared" si="17"/>
        <v>2495.2749049671893</v>
      </c>
      <c r="K36" s="6">
        <f t="shared" si="18"/>
        <v>23463521.326636788</v>
      </c>
      <c r="L36" s="6">
        <f t="shared" si="19"/>
        <v>241966.80753466833</v>
      </c>
      <c r="M36" s="6">
        <f t="shared" si="20"/>
        <v>961365.0626625882</v>
      </c>
      <c r="N36" s="7">
        <f t="shared" si="21"/>
        <v>9914.0462273134817</v>
      </c>
    </row>
    <row r="37" spans="1:15" ht="12.75" x14ac:dyDescent="0.2">
      <c r="A37" s="8">
        <f t="shared" si="22"/>
        <v>7</v>
      </c>
      <c r="B37" s="11">
        <v>114.96</v>
      </c>
      <c r="C37" s="1">
        <v>752</v>
      </c>
      <c r="D37" s="2">
        <f t="shared" si="12"/>
        <v>27.422618401604176</v>
      </c>
      <c r="E37" s="2">
        <v>20</v>
      </c>
      <c r="F37" s="2">
        <f t="shared" si="13"/>
        <v>15040</v>
      </c>
      <c r="G37" s="2">
        <f t="shared" si="14"/>
        <v>548.45236803208354</v>
      </c>
      <c r="H37" s="5">
        <f t="shared" si="15"/>
        <v>4.1772478362556233</v>
      </c>
      <c r="I37" s="6">
        <f t="shared" si="16"/>
        <v>1.5826351577521557E-2</v>
      </c>
      <c r="J37" s="7">
        <f t="shared" si="17"/>
        <v>3992.4398479475049</v>
      </c>
      <c r="K37" s="6">
        <f t="shared" si="18"/>
        <v>52763292.930408388</v>
      </c>
      <c r="L37" s="6">
        <f t="shared" si="19"/>
        <v>458970.88492004515</v>
      </c>
      <c r="M37" s="6">
        <f t="shared" si="20"/>
        <v>1917235.1359365871</v>
      </c>
      <c r="N37" s="7">
        <f t="shared" si="21"/>
        <v>16677.410716219445</v>
      </c>
      <c r="O37" s="7"/>
    </row>
    <row r="38" spans="1:15" ht="12.75" x14ac:dyDescent="0.2">
      <c r="A38" s="8">
        <f t="shared" si="22"/>
        <v>8</v>
      </c>
      <c r="B38" s="10">
        <v>150.27000000000001</v>
      </c>
      <c r="C38" s="1">
        <v>36</v>
      </c>
      <c r="D38" s="2">
        <f t="shared" si="12"/>
        <v>6</v>
      </c>
      <c r="E38" s="2">
        <f t="shared" ref="E38:E39" si="23">(1/4)*10000</f>
        <v>2500</v>
      </c>
      <c r="F38" s="2">
        <f t="shared" si="13"/>
        <v>90000</v>
      </c>
      <c r="G38" s="2">
        <f t="shared" si="14"/>
        <v>15000</v>
      </c>
      <c r="H38" s="5">
        <f t="shared" si="15"/>
        <v>4.9542425094393252</v>
      </c>
      <c r="I38" s="6">
        <f t="shared" si="16"/>
        <v>7.2333333333333333E-2</v>
      </c>
      <c r="J38" s="7">
        <f t="shared" si="17"/>
        <v>191.12743952940178</v>
      </c>
      <c r="K38" s="6">
        <f t="shared" si="18"/>
        <v>4315862.6452037636</v>
      </c>
      <c r="L38" s="6">
        <f t="shared" si="19"/>
        <v>28720.720338083207</v>
      </c>
      <c r="M38" s="6">
        <f t="shared" si="20"/>
        <v>142289.41360065041</v>
      </c>
      <c r="N38" s="7">
        <f t="shared" si="21"/>
        <v>946.89168563685632</v>
      </c>
      <c r="O38" s="7"/>
    </row>
    <row r="39" spans="1:15" ht="15" x14ac:dyDescent="0.25">
      <c r="A39" s="1">
        <v>9</v>
      </c>
      <c r="B39" s="12">
        <v>164.02</v>
      </c>
      <c r="C39" s="1">
        <v>65</v>
      </c>
      <c r="D39" s="2">
        <f t="shared" si="12"/>
        <v>8.0622577482985491</v>
      </c>
      <c r="E39" s="2">
        <f t="shared" si="23"/>
        <v>2500</v>
      </c>
      <c r="F39" s="2">
        <f t="shared" si="13"/>
        <v>162500</v>
      </c>
      <c r="G39" s="2">
        <f t="shared" si="14"/>
        <v>20155.644370746373</v>
      </c>
      <c r="H39" s="5">
        <f t="shared" si="15"/>
        <v>5.2108533653148932</v>
      </c>
      <c r="I39" s="6">
        <f t="shared" si="16"/>
        <v>5.3831074811716464E-2</v>
      </c>
      <c r="J39" s="7">
        <f t="shared" si="17"/>
        <v>345.09121026141992</v>
      </c>
      <c r="K39" s="6">
        <f t="shared" si="18"/>
        <v>9283837.1275669504</v>
      </c>
      <c r="L39" s="6">
        <f t="shared" si="19"/>
        <v>56601.860307078096</v>
      </c>
      <c r="M39" s="6">
        <f t="shared" si="20"/>
        <v>294943.9942642214</v>
      </c>
      <c r="N39" s="7">
        <f t="shared" si="21"/>
        <v>1798.2196943313095</v>
      </c>
      <c r="O39" s="7"/>
    </row>
    <row r="40" spans="1:15" ht="12.75" x14ac:dyDescent="0.2">
      <c r="A40" s="1">
        <v>10</v>
      </c>
      <c r="B40" s="15">
        <v>197.44</v>
      </c>
      <c r="C40" s="1">
        <v>400</v>
      </c>
      <c r="D40" s="2">
        <f t="shared" si="12"/>
        <v>20</v>
      </c>
      <c r="E40" s="2">
        <v>10000</v>
      </c>
      <c r="F40" s="2">
        <f t="shared" si="13"/>
        <v>4000000</v>
      </c>
      <c r="G40" s="2">
        <f t="shared" si="14"/>
        <v>200000</v>
      </c>
      <c r="H40" s="5">
        <f t="shared" si="15"/>
        <v>6.6020599913279625</v>
      </c>
      <c r="I40" s="6">
        <f t="shared" si="16"/>
        <v>2.1700000000000001E-2</v>
      </c>
      <c r="J40" s="7">
        <f t="shared" si="17"/>
        <v>2123.6382169933531</v>
      </c>
      <c r="K40" s="6">
        <f t="shared" si="18"/>
        <v>82784840.620951816</v>
      </c>
      <c r="L40" s="6">
        <f t="shared" si="19"/>
        <v>419291.12956316763</v>
      </c>
      <c r="M40" s="6">
        <f t="shared" si="20"/>
        <v>2768185.1912076981</v>
      </c>
      <c r="N40" s="7">
        <f t="shared" si="21"/>
        <v>14020.386908466866</v>
      </c>
      <c r="O40" s="7"/>
    </row>
    <row r="41" spans="1:15" ht="12.75" x14ac:dyDescent="0.2">
      <c r="A41" s="1">
        <v>11</v>
      </c>
      <c r="B41" s="1">
        <v>215.97</v>
      </c>
      <c r="C41" s="1">
        <v>506</v>
      </c>
      <c r="D41" s="2">
        <f t="shared" si="12"/>
        <v>22.494443758403985</v>
      </c>
      <c r="E41" s="2">
        <v>10000</v>
      </c>
      <c r="F41" s="2">
        <f t="shared" si="13"/>
        <v>5060000</v>
      </c>
      <c r="G41" s="2">
        <f t="shared" si="14"/>
        <v>224944.43758403984</v>
      </c>
      <c r="H41" s="5">
        <f t="shared" si="15"/>
        <v>6.7041505168397988</v>
      </c>
      <c r="I41" s="6">
        <f t="shared" si="16"/>
        <v>1.9293653342188397E-2</v>
      </c>
      <c r="J41" s="7">
        <f t="shared" si="17"/>
        <v>2686.4023444965919</v>
      </c>
      <c r="K41" s="6">
        <f t="shared" si="18"/>
        <v>125301974.42821042</v>
      </c>
      <c r="L41" s="6">
        <f t="shared" si="19"/>
        <v>580182.31434092892</v>
      </c>
      <c r="M41" s="6">
        <f t="shared" si="20"/>
        <v>3889629.5625500497</v>
      </c>
      <c r="N41" s="7">
        <f t="shared" si="21"/>
        <v>18010.045666296475</v>
      </c>
      <c r="O41" s="7"/>
    </row>
    <row r="42" spans="1:15" ht="12.75" x14ac:dyDescent="0.2">
      <c r="D42" s="2"/>
      <c r="E42" s="2"/>
      <c r="F42" s="2"/>
      <c r="G42" s="2"/>
      <c r="H42" s="5"/>
      <c r="J42" s="7"/>
      <c r="K42" s="6"/>
      <c r="L42" s="6"/>
      <c r="M42" s="6"/>
      <c r="N42" s="7"/>
      <c r="O42" s="7"/>
    </row>
    <row r="43" spans="1:15" ht="12.75" x14ac:dyDescent="0.2">
      <c r="O43" s="7"/>
    </row>
    <row r="44" spans="1:15" ht="12.75" x14ac:dyDescent="0.2">
      <c r="O44" s="7"/>
    </row>
    <row r="45" spans="1:15" ht="12.75" x14ac:dyDescent="0.2">
      <c r="E45" s="1"/>
      <c r="F45" s="1" t="s">
        <v>18</v>
      </c>
      <c r="O45" s="7"/>
    </row>
    <row r="46" spans="1:15" ht="12.75" x14ac:dyDescent="0.2">
      <c r="A46" s="1" t="s">
        <v>27</v>
      </c>
      <c r="E46" s="1"/>
      <c r="F46" s="1" t="s">
        <v>19</v>
      </c>
      <c r="G46" s="1" t="s">
        <v>20</v>
      </c>
      <c r="H46" s="6">
        <f>SUM(J31:J38)*SUM(K31:K38)-(SUM(L31:L38))^2</f>
        <v>76065427295.251831</v>
      </c>
      <c r="O46" s="7"/>
    </row>
    <row r="47" spans="1:15" ht="12.75" x14ac:dyDescent="0.2">
      <c r="A47" s="1" t="s">
        <v>28</v>
      </c>
      <c r="E47" s="1"/>
      <c r="F47" s="1" t="s">
        <v>21</v>
      </c>
      <c r="G47" s="1" t="s">
        <v>22</v>
      </c>
      <c r="H47" s="6">
        <f>(1/H46)*((SUM(J31:J38)*SUM(M31:M38))-(SUM(L31:L38)*SUM(N31:N38)))</f>
        <v>1.2212970540980934E-2</v>
      </c>
      <c r="O47" s="7"/>
    </row>
    <row r="48" spans="1:15" ht="12.75" x14ac:dyDescent="0.2">
      <c r="G48" s="1" t="s">
        <v>23</v>
      </c>
      <c r="H48" s="6">
        <f>SQRT((1/H46)*(SUM(J31:J38)))</f>
        <v>3.4998962970225658E-4</v>
      </c>
      <c r="O48" s="7"/>
    </row>
    <row r="50" spans="1:15" ht="12.75" x14ac:dyDescent="0.2">
      <c r="E50" s="1"/>
      <c r="F50" s="1" t="s">
        <v>24</v>
      </c>
      <c r="G50" s="1" t="s">
        <v>20</v>
      </c>
      <c r="H50" s="6">
        <f>SUM(J39:J41)*SUM(K39:K41)-(SUM(L39:L41))^2</f>
        <v>5279307117.8466797</v>
      </c>
    </row>
    <row r="51" spans="1:15" ht="12.75" x14ac:dyDescent="0.2">
      <c r="E51" s="1"/>
      <c r="F51" s="1" t="s">
        <v>21</v>
      </c>
      <c r="G51" s="1" t="s">
        <v>22</v>
      </c>
      <c r="H51" s="6">
        <f>(1/H50)*((SUM(J39:J41)*SUM(M39:M41))-(SUM(L39:L41)*SUM(N39:N41)))</f>
        <v>2.2120949682456641E-2</v>
      </c>
    </row>
    <row r="52" spans="1:15" ht="12.75" x14ac:dyDescent="0.2">
      <c r="G52" s="1" t="s">
        <v>23</v>
      </c>
      <c r="H52" s="6">
        <f>SQRT((1/H50)*(SUM(J39:J41)))</f>
        <v>9.8816944670544879E-4</v>
      </c>
    </row>
    <row r="53" spans="1:15" ht="12.75" x14ac:dyDescent="0.2">
      <c r="G53" s="16"/>
      <c r="H53" s="16"/>
      <c r="I53" s="17"/>
      <c r="J53" s="16"/>
    </row>
    <row r="54" spans="1:15" ht="12.75" x14ac:dyDescent="0.2">
      <c r="A54" s="1" t="s">
        <v>29</v>
      </c>
      <c r="D54" s="2"/>
      <c r="E54" s="1"/>
      <c r="I54" s="1" t="s">
        <v>30</v>
      </c>
    </row>
    <row r="55" spans="1:15" ht="114.75" x14ac:dyDescent="0.2">
      <c r="A55" s="1" t="s">
        <v>4</v>
      </c>
      <c r="B55" s="3" t="s">
        <v>5</v>
      </c>
      <c r="C55" s="1" t="s">
        <v>6</v>
      </c>
      <c r="D55" s="2" t="s">
        <v>7</v>
      </c>
      <c r="E55" s="3" t="s">
        <v>8</v>
      </c>
      <c r="F55" s="1" t="s">
        <v>9</v>
      </c>
      <c r="G55" s="1" t="s">
        <v>10</v>
      </c>
      <c r="H55" s="1" t="s">
        <v>11</v>
      </c>
      <c r="I55" s="1" t="s">
        <v>12</v>
      </c>
      <c r="J55" s="1" t="s">
        <v>13</v>
      </c>
      <c r="K55" s="1" t="s">
        <v>14</v>
      </c>
      <c r="L55" s="1" t="s">
        <v>15</v>
      </c>
      <c r="M55" s="1" t="s">
        <v>16</v>
      </c>
      <c r="N55" s="1" t="s">
        <v>17</v>
      </c>
    </row>
    <row r="56" spans="1:15" ht="12.75" x14ac:dyDescent="0.2">
      <c r="A56" s="1">
        <v>1</v>
      </c>
      <c r="B56" s="4">
        <v>60.18</v>
      </c>
      <c r="C56" s="1">
        <v>32</v>
      </c>
      <c r="D56" s="2">
        <f t="shared" ref="D56:D64" si="24">SQRT(C56)</f>
        <v>5.6568542494923806</v>
      </c>
      <c r="E56" s="2">
        <v>20</v>
      </c>
      <c r="F56" s="2">
        <f t="shared" ref="F56:F64" si="25">C56*E56</f>
        <v>640</v>
      </c>
      <c r="G56" s="2">
        <f t="shared" ref="G56:G64" si="26">D56*E56</f>
        <v>113.13708498984761</v>
      </c>
      <c r="H56" s="5">
        <f t="shared" ref="H56:H64" si="27">LOG10(F56)</f>
        <v>2.8061799739838871</v>
      </c>
      <c r="I56" s="6">
        <f t="shared" ref="I56:I64" si="28">0.434 * G56/F56</f>
        <v>7.6721085758740398E-2</v>
      </c>
      <c r="J56" s="7">
        <f t="shared" ref="J56:J64" si="29">(1/I56^2)</f>
        <v>169.89105735946828</v>
      </c>
      <c r="K56" s="6">
        <f t="shared" ref="K56:K64" si="30">B56^2 * J56</f>
        <v>615282.95780330873</v>
      </c>
      <c r="L56" s="6">
        <f t="shared" ref="L56:L64" si="31">B56 * J56</f>
        <v>10224.043831892801</v>
      </c>
      <c r="M56" s="6">
        <f t="shared" ref="M56:M64" si="32">B56*H56*J56</f>
        <v>28690.507054191061</v>
      </c>
      <c r="N56" s="7">
        <f t="shared" ref="N56:N64" si="33">H56*J56</f>
        <v>476.74488292108776</v>
      </c>
    </row>
    <row r="57" spans="1:15" ht="12.75" x14ac:dyDescent="0.2">
      <c r="A57" s="8">
        <f t="shared" ref="A57:A63" si="34">A56+1</f>
        <v>2</v>
      </c>
      <c r="B57" s="9">
        <v>93.45</v>
      </c>
      <c r="C57" s="1">
        <v>160</v>
      </c>
      <c r="D57" s="2">
        <f t="shared" si="24"/>
        <v>12.649110640673518</v>
      </c>
      <c r="E57" s="2">
        <v>20</v>
      </c>
      <c r="F57" s="2">
        <f t="shared" si="25"/>
        <v>3200</v>
      </c>
      <c r="G57" s="2">
        <f t="shared" si="26"/>
        <v>252.98221281347037</v>
      </c>
      <c r="H57" s="5">
        <f t="shared" si="27"/>
        <v>3.5051499783199058</v>
      </c>
      <c r="I57" s="6">
        <f t="shared" si="28"/>
        <v>3.4310712612826914E-2</v>
      </c>
      <c r="J57" s="7">
        <f t="shared" si="29"/>
        <v>849.45528679734127</v>
      </c>
      <c r="K57" s="6">
        <f t="shared" si="30"/>
        <v>7418210.197710719</v>
      </c>
      <c r="L57" s="6">
        <f t="shared" si="31"/>
        <v>79381.596551211551</v>
      </c>
      <c r="M57" s="6">
        <f t="shared" si="32"/>
        <v>278244.40143047867</v>
      </c>
      <c r="N57" s="7">
        <f t="shared" si="33"/>
        <v>2977.4681801014303</v>
      </c>
    </row>
    <row r="58" spans="1:15" ht="12.75" x14ac:dyDescent="0.2">
      <c r="A58" s="8">
        <f t="shared" si="34"/>
        <v>3</v>
      </c>
      <c r="B58" s="10">
        <v>110.95</v>
      </c>
      <c r="C58" s="1">
        <v>420</v>
      </c>
      <c r="D58" s="2">
        <f t="shared" si="24"/>
        <v>20.493901531919196</v>
      </c>
      <c r="E58" s="2">
        <v>20</v>
      </c>
      <c r="F58" s="2">
        <f t="shared" si="25"/>
        <v>8400</v>
      </c>
      <c r="G58" s="2">
        <f t="shared" si="26"/>
        <v>409.8780306383839</v>
      </c>
      <c r="H58" s="5">
        <f t="shared" si="27"/>
        <v>3.9242792860618816</v>
      </c>
      <c r="I58" s="6">
        <f t="shared" si="28"/>
        <v>2.1177031582983171E-2</v>
      </c>
      <c r="J58" s="7">
        <f t="shared" si="29"/>
        <v>2229.8201278430206</v>
      </c>
      <c r="K58" s="6">
        <f t="shared" si="30"/>
        <v>27448868.366285119</v>
      </c>
      <c r="L58" s="6">
        <f t="shared" si="31"/>
        <v>247398.54318418313</v>
      </c>
      <c r="M58" s="6">
        <f t="shared" si="32"/>
        <v>970860.97841957572</v>
      </c>
      <c r="N58" s="7">
        <f t="shared" si="33"/>
        <v>8750.4369393382221</v>
      </c>
    </row>
    <row r="59" spans="1:15" ht="12.75" x14ac:dyDescent="0.2">
      <c r="A59" s="8">
        <f t="shared" si="34"/>
        <v>4</v>
      </c>
      <c r="B59" s="11">
        <v>135.86000000000001</v>
      </c>
      <c r="C59" s="1">
        <f>4 + 4+ 3 +2</f>
        <v>13</v>
      </c>
      <c r="D59" s="2">
        <f t="shared" si="24"/>
        <v>3.6055512754639891</v>
      </c>
      <c r="E59" s="2">
        <f>(1/4)*10000</f>
        <v>2500</v>
      </c>
      <c r="F59" s="2">
        <f t="shared" si="25"/>
        <v>32500</v>
      </c>
      <c r="G59" s="2">
        <f t="shared" si="26"/>
        <v>9013.8781886599736</v>
      </c>
      <c r="H59" s="5">
        <f t="shared" si="27"/>
        <v>4.5118833609788744</v>
      </c>
      <c r="I59" s="6">
        <f t="shared" si="28"/>
        <v>0.12036994258087472</v>
      </c>
      <c r="J59" s="7">
        <f t="shared" si="29"/>
        <v>69.018242052283981</v>
      </c>
      <c r="K59" s="6">
        <f t="shared" si="30"/>
        <v>1273934.5430992381</v>
      </c>
      <c r="L59" s="6">
        <f t="shared" si="31"/>
        <v>9376.818365223302</v>
      </c>
      <c r="M59" s="6">
        <f t="shared" si="32"/>
        <v>42307.110760972151</v>
      </c>
      <c r="N59" s="7">
        <f t="shared" si="33"/>
        <v>311.40225791971255</v>
      </c>
    </row>
    <row r="60" spans="1:15" ht="12.75" x14ac:dyDescent="0.2">
      <c r="A60" s="8">
        <f t="shared" si="34"/>
        <v>5</v>
      </c>
      <c r="B60" s="10">
        <v>166.58</v>
      </c>
      <c r="C60" s="1">
        <v>20</v>
      </c>
      <c r="D60" s="2">
        <f t="shared" si="24"/>
        <v>4.4721359549995796</v>
      </c>
      <c r="E60" s="2">
        <v>10000</v>
      </c>
      <c r="F60" s="2">
        <f t="shared" si="25"/>
        <v>200000</v>
      </c>
      <c r="G60" s="2">
        <f t="shared" si="26"/>
        <v>44721.359549995796</v>
      </c>
      <c r="H60" s="5">
        <f t="shared" si="27"/>
        <v>5.3010299956639813</v>
      </c>
      <c r="I60" s="6">
        <f t="shared" si="28"/>
        <v>9.7045350223490881E-2</v>
      </c>
      <c r="J60" s="7">
        <f t="shared" si="29"/>
        <v>106.18191084966763</v>
      </c>
      <c r="K60" s="6">
        <f t="shared" si="30"/>
        <v>2946430.8437214638</v>
      </c>
      <c r="L60" s="6">
        <f t="shared" si="31"/>
        <v>17687.782709337636</v>
      </c>
      <c r="M60" s="6">
        <f t="shared" si="32"/>
        <v>93763.466698985532</v>
      </c>
      <c r="N60" s="7">
        <f t="shared" si="33"/>
        <v>562.87349441100685</v>
      </c>
    </row>
    <row r="61" spans="1:15" ht="12.75" x14ac:dyDescent="0.2">
      <c r="A61" s="8">
        <f t="shared" si="34"/>
        <v>6</v>
      </c>
      <c r="B61" s="10">
        <v>187.95</v>
      </c>
      <c r="C61" s="1">
        <v>48</v>
      </c>
      <c r="D61" s="2">
        <f t="shared" si="24"/>
        <v>6.9282032302755088</v>
      </c>
      <c r="E61" s="2">
        <f>(16/8)*10000</f>
        <v>20000</v>
      </c>
      <c r="F61" s="2">
        <f t="shared" si="25"/>
        <v>960000</v>
      </c>
      <c r="G61" s="2">
        <f t="shared" si="26"/>
        <v>138564.06460551018</v>
      </c>
      <c r="H61" s="5">
        <f t="shared" si="27"/>
        <v>5.982271233039568</v>
      </c>
      <c r="I61" s="6">
        <f t="shared" si="28"/>
        <v>6.2642504207074387E-2</v>
      </c>
      <c r="J61" s="7">
        <f t="shared" si="29"/>
        <v>254.83658603920242</v>
      </c>
      <c r="K61" s="6">
        <f t="shared" si="30"/>
        <v>9002154.0062434971</v>
      </c>
      <c r="L61" s="6">
        <f t="shared" si="31"/>
        <v>47896.536346068089</v>
      </c>
      <c r="M61" s="6">
        <f t="shared" si="32"/>
        <v>286530.07154531725</v>
      </c>
      <c r="N61" s="7">
        <f t="shared" si="33"/>
        <v>1524.5015777883334</v>
      </c>
    </row>
    <row r="62" spans="1:15" ht="12.75" x14ac:dyDescent="0.2">
      <c r="A62" s="8">
        <f t="shared" si="34"/>
        <v>7</v>
      </c>
      <c r="B62" s="11">
        <v>208.78</v>
      </c>
      <c r="C62" s="1">
        <v>38</v>
      </c>
      <c r="D62" s="2">
        <f t="shared" si="24"/>
        <v>6.164414002968976</v>
      </c>
      <c r="E62" s="2">
        <f t="shared" ref="E62:E64" si="35">16 * 10000</f>
        <v>160000</v>
      </c>
      <c r="F62" s="2">
        <f t="shared" si="25"/>
        <v>6080000</v>
      </c>
      <c r="G62" s="2">
        <f t="shared" si="26"/>
        <v>986306.2404750362</v>
      </c>
      <c r="H62" s="5">
        <f t="shared" si="27"/>
        <v>6.7839035792727351</v>
      </c>
      <c r="I62" s="6">
        <f t="shared" si="28"/>
        <v>7.0404096770750935E-2</v>
      </c>
      <c r="J62" s="7">
        <f t="shared" si="29"/>
        <v>201.74563061436859</v>
      </c>
      <c r="K62" s="6">
        <f t="shared" si="30"/>
        <v>8793908.1271634586</v>
      </c>
      <c r="L62" s="6">
        <f t="shared" si="31"/>
        <v>42120.452759667874</v>
      </c>
      <c r="M62" s="6">
        <f t="shared" si="32"/>
        <v>285741.09023689909</v>
      </c>
      <c r="N62" s="7">
        <f t="shared" si="33"/>
        <v>1368.6229056274501</v>
      </c>
    </row>
    <row r="63" spans="1:15" ht="12.75" x14ac:dyDescent="0.2">
      <c r="A63" s="8">
        <f t="shared" si="34"/>
        <v>8</v>
      </c>
      <c r="B63" s="10">
        <v>231.3</v>
      </c>
      <c r="C63" s="1">
        <v>41</v>
      </c>
      <c r="D63" s="2">
        <f t="shared" si="24"/>
        <v>6.4031242374328485</v>
      </c>
      <c r="E63" s="2">
        <f t="shared" si="35"/>
        <v>160000</v>
      </c>
      <c r="F63" s="2">
        <f t="shared" si="25"/>
        <v>6560000</v>
      </c>
      <c r="G63" s="2">
        <f t="shared" si="26"/>
        <v>1024499.8779892558</v>
      </c>
      <c r="H63" s="5">
        <f t="shared" si="27"/>
        <v>6.8169038393756605</v>
      </c>
      <c r="I63" s="6">
        <f t="shared" si="28"/>
        <v>6.7779412659655036E-2</v>
      </c>
      <c r="J63" s="7">
        <f t="shared" si="29"/>
        <v>217.67291724181865</v>
      </c>
      <c r="K63" s="6">
        <f t="shared" si="30"/>
        <v>11645433.593832953</v>
      </c>
      <c r="L63" s="6">
        <f t="shared" si="31"/>
        <v>50347.745758032659</v>
      </c>
      <c r="M63" s="6">
        <f t="shared" si="32"/>
        <v>343215.74136184243</v>
      </c>
      <c r="N63" s="7">
        <f t="shared" si="33"/>
        <v>1483.855345273854</v>
      </c>
    </row>
    <row r="64" spans="1:15" ht="15" x14ac:dyDescent="0.25">
      <c r="A64" s="1">
        <v>9</v>
      </c>
      <c r="B64" s="12">
        <v>255.98</v>
      </c>
      <c r="C64" s="1">
        <v>78</v>
      </c>
      <c r="D64" s="2">
        <f t="shared" si="24"/>
        <v>8.8317608663278477</v>
      </c>
      <c r="E64" s="2">
        <f t="shared" si="35"/>
        <v>160000</v>
      </c>
      <c r="F64" s="2">
        <f t="shared" si="25"/>
        <v>12480000</v>
      </c>
      <c r="G64" s="2">
        <f t="shared" si="26"/>
        <v>1413081.7386124555</v>
      </c>
      <c r="H64" s="5">
        <f t="shared" si="27"/>
        <v>7.0962145853464049</v>
      </c>
      <c r="I64" s="6">
        <f t="shared" si="28"/>
        <v>4.9140823281875454E-2</v>
      </c>
      <c r="J64" s="7">
        <f t="shared" si="29"/>
        <v>414.10945231370391</v>
      </c>
      <c r="K64" s="6">
        <f t="shared" si="30"/>
        <v>27134836.751682986</v>
      </c>
      <c r="L64" s="6">
        <f t="shared" si="31"/>
        <v>106003.73760326192</v>
      </c>
      <c r="M64" s="6">
        <f t="shared" si="32"/>
        <v>752225.26888150047</v>
      </c>
      <c r="N64" s="7">
        <f t="shared" si="33"/>
        <v>2938.6095354383174</v>
      </c>
      <c r="O64" s="7"/>
    </row>
    <row r="65" spans="1:15" ht="12.75" x14ac:dyDescent="0.2">
      <c r="B65" s="15"/>
      <c r="D65" s="2"/>
      <c r="E65" s="2"/>
      <c r="F65" s="2"/>
      <c r="G65" s="2"/>
      <c r="H65" s="5"/>
      <c r="J65" s="7"/>
      <c r="K65" s="6"/>
      <c r="L65" s="6"/>
      <c r="M65" s="6"/>
      <c r="N65" s="7"/>
      <c r="O65" s="7"/>
    </row>
    <row r="66" spans="1:15" ht="12.75" x14ac:dyDescent="0.2">
      <c r="D66" s="2"/>
      <c r="E66" s="2"/>
      <c r="F66" s="2"/>
      <c r="G66" s="2"/>
      <c r="H66" s="5"/>
      <c r="J66" s="7"/>
      <c r="K66" s="6"/>
      <c r="L66" s="6"/>
      <c r="M66" s="6"/>
      <c r="N66" s="7"/>
      <c r="O66" s="7"/>
    </row>
    <row r="67" spans="1:15" ht="12.75" x14ac:dyDescent="0.2">
      <c r="D67" s="2"/>
      <c r="E67" s="2"/>
      <c r="F67" s="2"/>
      <c r="G67" s="2"/>
      <c r="H67" s="5"/>
      <c r="J67" s="7"/>
      <c r="K67" s="6"/>
      <c r="L67" s="6"/>
      <c r="M67" s="6"/>
      <c r="N67" s="7"/>
      <c r="O67" s="7"/>
    </row>
    <row r="68" spans="1:15" ht="12.75" x14ac:dyDescent="0.2">
      <c r="O68" s="7"/>
    </row>
    <row r="69" spans="1:15" ht="12.75" x14ac:dyDescent="0.2">
      <c r="O69" s="7"/>
    </row>
    <row r="70" spans="1:15" ht="12.75" x14ac:dyDescent="0.2">
      <c r="E70" s="1"/>
      <c r="F70" s="1" t="s">
        <v>18</v>
      </c>
      <c r="O70" s="7"/>
    </row>
    <row r="71" spans="1:15" ht="12.75" x14ac:dyDescent="0.2">
      <c r="A71" s="1" t="s">
        <v>27</v>
      </c>
      <c r="E71" s="1"/>
      <c r="F71" s="1" t="s">
        <v>19</v>
      </c>
      <c r="G71" s="1" t="s">
        <v>20</v>
      </c>
      <c r="H71" s="6">
        <f>SUM(J56:J59)*SUM(K56:K59)-(SUM(L56:L59))^2</f>
        <v>1984381247.9496307</v>
      </c>
      <c r="O71" s="7"/>
    </row>
    <row r="72" spans="1:15" ht="12.75" x14ac:dyDescent="0.2">
      <c r="A72" s="1" t="s">
        <v>28</v>
      </c>
      <c r="E72" s="1"/>
      <c r="F72" s="1" t="s">
        <v>21</v>
      </c>
      <c r="G72" s="1" t="s">
        <v>22</v>
      </c>
      <c r="H72" s="6">
        <f>(1/H71)*((SUM(J56:J59)*SUM(M56:M59))-(SUM(L56:L59)*SUM(N56:N59)))</f>
        <v>2.2688616775636637E-2</v>
      </c>
      <c r="O72" s="7"/>
    </row>
    <row r="73" spans="1:15" ht="12.75" x14ac:dyDescent="0.2">
      <c r="G73" s="1" t="s">
        <v>23</v>
      </c>
      <c r="H73" s="6">
        <f>SQRT((1/H71)*(SUM(J56:J59)))</f>
        <v>1.2931167045103667E-3</v>
      </c>
      <c r="O73" s="7"/>
    </row>
    <row r="74" spans="1:15" ht="12.75" x14ac:dyDescent="0.2">
      <c r="O74" s="7"/>
    </row>
    <row r="75" spans="1:15" ht="12.75" x14ac:dyDescent="0.2">
      <c r="E75" s="1"/>
      <c r="F75" s="1" t="s">
        <v>24</v>
      </c>
      <c r="G75" s="1" t="s">
        <v>20</v>
      </c>
      <c r="H75" s="6">
        <f>SUM(J60:J63)*SUM(K60:K63)-(SUM(L60:L63))^2</f>
        <v>296139387.26395416</v>
      </c>
      <c r="O75" s="7"/>
    </row>
    <row r="76" spans="1:15" ht="12.75" x14ac:dyDescent="0.2">
      <c r="E76" s="1"/>
      <c r="F76" s="1" t="s">
        <v>21</v>
      </c>
      <c r="G76" s="1" t="s">
        <v>22</v>
      </c>
      <c r="H76" s="6">
        <f>(1/H75)*((SUM(J60:J63)*SUM(M60:M63))-(SUM(L60:L63)*SUM(N60:N63)))</f>
        <v>2.3300250446185135E-2</v>
      </c>
    </row>
    <row r="77" spans="1:15" ht="12.75" x14ac:dyDescent="0.2">
      <c r="G77" s="1" t="s">
        <v>23</v>
      </c>
      <c r="H77" s="6">
        <f>SQRT((1/H75)*(SUM(J60:J63)))</f>
        <v>1.6233824669278274E-3</v>
      </c>
    </row>
    <row r="78" spans="1:15" ht="12.75" x14ac:dyDescent="0.2">
      <c r="G78" s="16"/>
      <c r="H78" s="16"/>
      <c r="I78" s="17"/>
      <c r="J78" s="16"/>
    </row>
    <row r="79" spans="1:15" ht="12.75" x14ac:dyDescent="0.2">
      <c r="A79" s="1" t="s">
        <v>31</v>
      </c>
      <c r="D79" s="2"/>
      <c r="E79" s="1"/>
      <c r="I79" s="1" t="s">
        <v>32</v>
      </c>
    </row>
    <row r="80" spans="1:15" ht="114.75" x14ac:dyDescent="0.2">
      <c r="A80" s="1" t="s">
        <v>4</v>
      </c>
      <c r="B80" s="3" t="s">
        <v>5</v>
      </c>
      <c r="C80" s="1" t="s">
        <v>6</v>
      </c>
      <c r="D80" s="2" t="s">
        <v>7</v>
      </c>
      <c r="E80" s="3" t="s">
        <v>8</v>
      </c>
      <c r="F80" s="1" t="s">
        <v>9</v>
      </c>
      <c r="G80" s="1" t="s">
        <v>10</v>
      </c>
      <c r="H80" s="1" t="s">
        <v>11</v>
      </c>
      <c r="I80" s="1" t="s">
        <v>12</v>
      </c>
      <c r="J80" s="1" t="s">
        <v>13</v>
      </c>
      <c r="K80" s="1" t="s">
        <v>14</v>
      </c>
      <c r="L80" s="1" t="s">
        <v>15</v>
      </c>
      <c r="M80" s="1" t="s">
        <v>16</v>
      </c>
      <c r="N80" s="1" t="s">
        <v>17</v>
      </c>
    </row>
    <row r="81" spans="1:19" ht="12.75" x14ac:dyDescent="0.2">
      <c r="A81" s="1">
        <v>1</v>
      </c>
      <c r="B81" s="4">
        <v>67.459999999999994</v>
      </c>
      <c r="C81" s="1">
        <v>20</v>
      </c>
      <c r="D81" s="2">
        <f t="shared" ref="D81:D87" si="36">SQRT(C81)</f>
        <v>4.4721359549995796</v>
      </c>
      <c r="E81" s="2">
        <f>(40/25)*20</f>
        <v>32</v>
      </c>
      <c r="F81" s="2">
        <f t="shared" ref="F81:F87" si="37">C81*E81</f>
        <v>640</v>
      </c>
      <c r="G81" s="2">
        <f t="shared" ref="G81:G87" si="38">D81*E81</f>
        <v>143.10835055998655</v>
      </c>
      <c r="H81" s="5">
        <f t="shared" ref="H81:H87" si="39">LOG10(F81)</f>
        <v>2.8061799739838871</v>
      </c>
      <c r="I81" s="6">
        <f t="shared" ref="I81:I87" si="40">0.434 * G81/F81</f>
        <v>9.7045350223490881E-2</v>
      </c>
      <c r="J81" s="7">
        <f t="shared" ref="J81:J87" si="41">(1/I81^2)</f>
        <v>106.18191084966763</v>
      </c>
      <c r="K81" s="6">
        <f t="shared" ref="K81:K87" si="42">B81^2 * J81</f>
        <v>483218.1188812672</v>
      </c>
      <c r="L81" s="6">
        <f t="shared" ref="L81:L87" si="43">B81 * J81</f>
        <v>7163.0317059185782</v>
      </c>
      <c r="M81" s="6">
        <f t="shared" ref="M81:M87" si="44">B81*H81*J81</f>
        <v>20100.756126160351</v>
      </c>
      <c r="N81" s="7">
        <f t="shared" ref="N81:N87" si="45">H81*J81</f>
        <v>297.96555182567971</v>
      </c>
    </row>
    <row r="82" spans="1:19" ht="12.75" x14ac:dyDescent="0.2">
      <c r="A82" s="8">
        <f t="shared" ref="A82:A87" si="46">A81+1</f>
        <v>2</v>
      </c>
      <c r="B82" s="9">
        <v>85.2</v>
      </c>
      <c r="C82" s="1">
        <v>52</v>
      </c>
      <c r="D82" s="2">
        <f t="shared" si="36"/>
        <v>7.2111025509279782</v>
      </c>
      <c r="E82" s="2">
        <v>20</v>
      </c>
      <c r="F82" s="2">
        <f t="shared" si="37"/>
        <v>1040</v>
      </c>
      <c r="G82" s="2">
        <f t="shared" si="38"/>
        <v>144.22205101855957</v>
      </c>
      <c r="H82" s="5">
        <f t="shared" si="39"/>
        <v>3.0170333392987803</v>
      </c>
      <c r="I82" s="6">
        <f t="shared" si="40"/>
        <v>6.0184971290437358E-2</v>
      </c>
      <c r="J82" s="7">
        <f t="shared" si="41"/>
        <v>276.07296820913592</v>
      </c>
      <c r="K82" s="6">
        <f t="shared" si="42"/>
        <v>2004024.7191488463</v>
      </c>
      <c r="L82" s="6">
        <f t="shared" si="43"/>
        <v>23521.416891418383</v>
      </c>
      <c r="M82" s="6">
        <f t="shared" si="44"/>
        <v>70964.898948954738</v>
      </c>
      <c r="N82" s="7">
        <f t="shared" si="45"/>
        <v>832.92134916613531</v>
      </c>
    </row>
    <row r="83" spans="1:19" ht="12.75" x14ac:dyDescent="0.2">
      <c r="A83" s="8">
        <f t="shared" si="46"/>
        <v>3</v>
      </c>
      <c r="B83" s="10">
        <v>120.87</v>
      </c>
      <c r="C83" s="1">
        <v>371</v>
      </c>
      <c r="D83" s="2">
        <f t="shared" si="36"/>
        <v>19.261360284258224</v>
      </c>
      <c r="E83" s="2">
        <v>20</v>
      </c>
      <c r="F83" s="2">
        <f t="shared" si="37"/>
        <v>7420</v>
      </c>
      <c r="G83" s="2">
        <f t="shared" si="38"/>
        <v>385.22720568516445</v>
      </c>
      <c r="H83" s="5">
        <f t="shared" si="39"/>
        <v>3.8704039052790269</v>
      </c>
      <c r="I83" s="6">
        <f t="shared" si="40"/>
        <v>2.253215731366056E-2</v>
      </c>
      <c r="J83" s="7">
        <f t="shared" si="41"/>
        <v>1969.6744462613353</v>
      </c>
      <c r="K83" s="6">
        <f t="shared" si="42"/>
        <v>28776070.897130974</v>
      </c>
      <c r="L83" s="6">
        <f t="shared" si="43"/>
        <v>238074.5503196076</v>
      </c>
      <c r="M83" s="6">
        <f t="shared" si="44"/>
        <v>921444.66930455749</v>
      </c>
      <c r="N83" s="7">
        <f t="shared" si="45"/>
        <v>7623.4356689381775</v>
      </c>
    </row>
    <row r="84" spans="1:19" ht="12.75" x14ac:dyDescent="0.2">
      <c r="A84" s="8">
        <f t="shared" si="46"/>
        <v>4</v>
      </c>
      <c r="B84" s="11">
        <v>139.82</v>
      </c>
      <c r="C84" s="1">
        <v>638</v>
      </c>
      <c r="D84" s="2">
        <f t="shared" si="36"/>
        <v>25.258661880630179</v>
      </c>
      <c r="E84" s="2">
        <f>(40/20) * 20</f>
        <v>40</v>
      </c>
      <c r="F84" s="2">
        <f t="shared" si="37"/>
        <v>25520</v>
      </c>
      <c r="G84" s="2">
        <f t="shared" si="38"/>
        <v>1010.3464752252071</v>
      </c>
      <c r="H84" s="5">
        <f t="shared" si="39"/>
        <v>4.4068806700491248</v>
      </c>
      <c r="I84" s="6">
        <f t="shared" si="40"/>
        <v>1.7182224539488238E-2</v>
      </c>
      <c r="J84" s="7">
        <f t="shared" si="41"/>
        <v>3387.2029561043987</v>
      </c>
      <c r="K84" s="6">
        <f t="shared" si="42"/>
        <v>66218572.656034328</v>
      </c>
      <c r="L84" s="6">
        <f t="shared" si="43"/>
        <v>473598.71732251701</v>
      </c>
      <c r="M84" s="6">
        <f t="shared" si="44"/>
        <v>2087093.0327286599</v>
      </c>
      <c r="N84" s="7">
        <f t="shared" si="45"/>
        <v>14926.999232789729</v>
      </c>
    </row>
    <row r="85" spans="1:19" ht="12.75" x14ac:dyDescent="0.2">
      <c r="A85" s="8">
        <f t="shared" si="46"/>
        <v>5</v>
      </c>
      <c r="B85" s="10">
        <v>165.95</v>
      </c>
      <c r="C85" s="1">
        <v>19</v>
      </c>
      <c r="D85" s="2">
        <f t="shared" si="36"/>
        <v>4.358898943540674</v>
      </c>
      <c r="E85" s="2">
        <v>10000</v>
      </c>
      <c r="F85" s="2">
        <f t="shared" si="37"/>
        <v>190000</v>
      </c>
      <c r="G85" s="2">
        <f t="shared" si="38"/>
        <v>43588.989435406736</v>
      </c>
      <c r="H85" s="5">
        <f t="shared" si="39"/>
        <v>5.2787536009528289</v>
      </c>
      <c r="I85" s="6">
        <f t="shared" si="40"/>
        <v>9.956642849982382E-2</v>
      </c>
      <c r="J85" s="7">
        <f t="shared" si="41"/>
        <v>100.87281530718424</v>
      </c>
      <c r="K85" s="6">
        <f t="shared" si="42"/>
        <v>2777977.0620527077</v>
      </c>
      <c r="L85" s="6">
        <f t="shared" si="43"/>
        <v>16739.843700227222</v>
      </c>
      <c r="M85" s="6">
        <f t="shared" si="44"/>
        <v>88365.510211961984</v>
      </c>
      <c r="N85" s="7">
        <f t="shared" si="45"/>
        <v>532.48273704104849</v>
      </c>
    </row>
    <row r="86" spans="1:19" ht="12.75" x14ac:dyDescent="0.2">
      <c r="A86" s="8">
        <f t="shared" si="46"/>
        <v>6</v>
      </c>
      <c r="B86" s="10">
        <v>192.2</v>
      </c>
      <c r="C86" s="1">
        <v>135</v>
      </c>
      <c r="D86" s="2">
        <f t="shared" si="36"/>
        <v>11.61895003862225</v>
      </c>
      <c r="E86" s="2">
        <v>10000</v>
      </c>
      <c r="F86" s="2">
        <f t="shared" si="37"/>
        <v>1350000</v>
      </c>
      <c r="G86" s="2">
        <f t="shared" si="38"/>
        <v>116189.5003862225</v>
      </c>
      <c r="H86" s="5">
        <f t="shared" si="39"/>
        <v>6.1303337684950066</v>
      </c>
      <c r="I86" s="6">
        <f t="shared" si="40"/>
        <v>3.7352772716755973E-2</v>
      </c>
      <c r="J86" s="7">
        <f t="shared" si="41"/>
        <v>716.7278982352567</v>
      </c>
      <c r="K86" s="6">
        <f t="shared" si="42"/>
        <v>26476530.612244897</v>
      </c>
      <c r="L86" s="6">
        <f t="shared" si="43"/>
        <v>137755.10204081633</v>
      </c>
      <c r="M86" s="6">
        <f t="shared" si="44"/>
        <v>844484.75382329174</v>
      </c>
      <c r="N86" s="7">
        <f t="shared" si="45"/>
        <v>4393.7812373740471</v>
      </c>
    </row>
    <row r="87" spans="1:19" ht="12.75" x14ac:dyDescent="0.2">
      <c r="A87" s="8">
        <f t="shared" si="46"/>
        <v>7</v>
      </c>
      <c r="B87" s="11">
        <v>216.45</v>
      </c>
      <c r="C87" s="1">
        <f>64+67</f>
        <v>131</v>
      </c>
      <c r="D87" s="2">
        <f t="shared" si="36"/>
        <v>11.445523142259598</v>
      </c>
      <c r="E87" s="2">
        <f>(16/2) * 10000</f>
        <v>80000</v>
      </c>
      <c r="F87" s="2">
        <f t="shared" si="37"/>
        <v>10480000</v>
      </c>
      <c r="G87" s="2">
        <f t="shared" si="38"/>
        <v>915641.85138076777</v>
      </c>
      <c r="H87" s="5">
        <f t="shared" si="39"/>
        <v>7.0203612826477082</v>
      </c>
      <c r="I87" s="6">
        <f t="shared" si="40"/>
        <v>3.7918756059089044E-2</v>
      </c>
      <c r="J87" s="7">
        <f t="shared" si="41"/>
        <v>695.49151606532314</v>
      </c>
      <c r="K87" s="6">
        <f t="shared" si="42"/>
        <v>32584196.561298814</v>
      </c>
      <c r="L87" s="6">
        <f t="shared" si="43"/>
        <v>150539.1386523392</v>
      </c>
      <c r="M87" s="6">
        <f t="shared" si="44"/>
        <v>1056839.1405180171</v>
      </c>
      <c r="N87" s="7">
        <f t="shared" si="45"/>
        <v>4882.6017117949514</v>
      </c>
    </row>
    <row r="88" spans="1:19" ht="12.75" x14ac:dyDescent="0.2">
      <c r="B88" s="10"/>
      <c r="D88" s="2"/>
      <c r="E88" s="2"/>
      <c r="F88" s="2"/>
      <c r="G88" s="2"/>
      <c r="H88" s="5"/>
      <c r="J88" s="7"/>
      <c r="K88" s="6"/>
      <c r="L88" s="6"/>
      <c r="M88" s="6"/>
      <c r="N88" s="7"/>
    </row>
    <row r="89" spans="1:19" ht="15" x14ac:dyDescent="0.25">
      <c r="A89" s="13"/>
      <c r="B89" s="12"/>
      <c r="D89" s="2"/>
      <c r="E89" s="2"/>
      <c r="F89" s="2"/>
      <c r="G89" s="2"/>
      <c r="H89" s="5"/>
      <c r="J89" s="7"/>
      <c r="K89" s="6"/>
      <c r="L89" s="6"/>
      <c r="M89" s="6"/>
      <c r="N89" s="7"/>
      <c r="O89" s="7"/>
      <c r="P89" s="6"/>
      <c r="Q89" s="2"/>
      <c r="R89" s="6"/>
      <c r="S89" s="7"/>
    </row>
    <row r="90" spans="1:19" ht="12.75" x14ac:dyDescent="0.2">
      <c r="B90" s="15"/>
      <c r="D90" s="2"/>
      <c r="E90" s="2"/>
      <c r="F90" s="2"/>
      <c r="G90" s="2"/>
      <c r="H90" s="5"/>
      <c r="J90" s="7"/>
      <c r="K90" s="6"/>
      <c r="L90" s="6"/>
      <c r="M90" s="6"/>
      <c r="N90" s="7"/>
      <c r="O90" s="7"/>
      <c r="P90" s="6"/>
      <c r="Q90" s="2"/>
      <c r="R90" s="6"/>
      <c r="S90" s="7"/>
    </row>
    <row r="91" spans="1:19" ht="12.75" x14ac:dyDescent="0.2">
      <c r="D91" s="2"/>
      <c r="E91" s="2"/>
      <c r="F91" s="2"/>
      <c r="G91" s="2"/>
      <c r="H91" s="5"/>
      <c r="J91" s="7"/>
      <c r="K91" s="6"/>
      <c r="L91" s="6"/>
      <c r="M91" s="6"/>
      <c r="N91" s="7"/>
      <c r="O91" s="7"/>
      <c r="P91" s="6"/>
      <c r="Q91" s="2"/>
      <c r="R91" s="6"/>
      <c r="S91" s="7"/>
    </row>
    <row r="92" spans="1:19" ht="12.75" x14ac:dyDescent="0.2">
      <c r="D92" s="2"/>
      <c r="E92" s="2"/>
      <c r="F92" s="2"/>
      <c r="G92" s="2"/>
      <c r="H92" s="5"/>
      <c r="J92" s="7"/>
      <c r="K92" s="6"/>
      <c r="L92" s="6"/>
      <c r="M92" s="6"/>
      <c r="N92" s="7"/>
      <c r="O92" s="7"/>
      <c r="P92" s="6"/>
      <c r="Q92" s="2"/>
      <c r="R92" s="6"/>
      <c r="S92" s="7"/>
    </row>
    <row r="93" spans="1:19" ht="12.75" x14ac:dyDescent="0.2">
      <c r="O93" s="7"/>
      <c r="P93" s="6"/>
      <c r="Q93" s="2"/>
      <c r="R93" s="6"/>
      <c r="S93" s="7"/>
    </row>
    <row r="94" spans="1:19" ht="12.75" x14ac:dyDescent="0.2">
      <c r="O94" s="7"/>
      <c r="P94" s="6"/>
      <c r="Q94" s="2"/>
      <c r="R94" s="6"/>
      <c r="S94" s="7"/>
    </row>
    <row r="95" spans="1:19" ht="12.75" x14ac:dyDescent="0.2">
      <c r="E95" s="1"/>
      <c r="F95" s="1" t="s">
        <v>18</v>
      </c>
      <c r="O95" s="7"/>
      <c r="P95" s="6"/>
      <c r="Q95" s="2"/>
      <c r="R95" s="6"/>
      <c r="S95" s="7"/>
    </row>
    <row r="96" spans="1:19" ht="12.75" x14ac:dyDescent="0.2">
      <c r="A96" s="1" t="s">
        <v>27</v>
      </c>
      <c r="E96" s="1"/>
      <c r="F96" s="1" t="s">
        <v>19</v>
      </c>
      <c r="G96" s="1" t="s">
        <v>20</v>
      </c>
      <c r="H96" s="6">
        <f>SUM(J81:J84)*SUM(K81:K84)-(SUM(L81:L84))^2</f>
        <v>8366462181.5999756</v>
      </c>
      <c r="O96" s="7"/>
      <c r="P96" s="6"/>
      <c r="Q96" s="2"/>
      <c r="R96" s="6"/>
      <c r="S96" s="7"/>
    </row>
    <row r="97" spans="1:19" ht="12.75" x14ac:dyDescent="0.2">
      <c r="A97" s="1" t="s">
        <v>28</v>
      </c>
      <c r="E97" s="1"/>
      <c r="F97" s="1" t="s">
        <v>21</v>
      </c>
      <c r="G97" s="1" t="s">
        <v>22</v>
      </c>
      <c r="H97" s="6">
        <f>(1/H96)*((SUM(J81:J84)*SUM(M81:M84))-(SUM(L81:L84)*SUM(N81:N84)))</f>
        <v>2.4983285749287151E-2</v>
      </c>
      <c r="O97" s="7"/>
      <c r="P97" s="6"/>
      <c r="Q97" s="2"/>
      <c r="R97" s="6"/>
      <c r="S97" s="7"/>
    </row>
    <row r="98" spans="1:19" ht="12.75" x14ac:dyDescent="0.2">
      <c r="G98" s="1" t="s">
        <v>23</v>
      </c>
      <c r="H98" s="6">
        <f>SQRT((1/H96)*(SUM(J81:J84)))</f>
        <v>8.2823235320363304E-4</v>
      </c>
      <c r="O98" s="7"/>
      <c r="P98" s="6"/>
      <c r="Q98" s="2"/>
      <c r="R98" s="6"/>
      <c r="S98" s="7"/>
    </row>
    <row r="99" spans="1:19" ht="12.75" x14ac:dyDescent="0.2">
      <c r="O99" s="7"/>
      <c r="P99" s="6"/>
      <c r="Q99" s="2"/>
      <c r="R99" s="6"/>
      <c r="S99" s="7"/>
    </row>
    <row r="100" spans="1:19" ht="12.75" x14ac:dyDescent="0.2">
      <c r="E100" s="1"/>
      <c r="F100" s="1" t="s">
        <v>24</v>
      </c>
      <c r="G100" s="1" t="s">
        <v>20</v>
      </c>
      <c r="H100" s="6">
        <f>SUM(J85:J86)*SUM(K85:K86)-(SUM(L85:L86))^2</f>
        <v>49818089.31055069</v>
      </c>
      <c r="O100" s="7"/>
      <c r="P100" s="6"/>
      <c r="Q100" s="2"/>
      <c r="R100" s="6"/>
      <c r="S100" s="7"/>
    </row>
    <row r="101" spans="1:19" ht="12.75" x14ac:dyDescent="0.2">
      <c r="E101" s="1"/>
      <c r="F101" s="1" t="s">
        <v>21</v>
      </c>
      <c r="G101" s="1" t="s">
        <v>22</v>
      </c>
      <c r="H101" s="6">
        <f>(1/H100)*((SUM(J85:J86)*SUM(M85:M86))-(SUM(L85:L86)*SUM(N85:N86)))</f>
        <v>3.2441149239699825E-2</v>
      </c>
    </row>
    <row r="102" spans="1:19" ht="12.75" x14ac:dyDescent="0.2">
      <c r="G102" s="1" t="s">
        <v>23</v>
      </c>
      <c r="H102" s="6">
        <f>SQRT((1/H100)*(SUM(J85:J86)))</f>
        <v>4.0511385597212955E-3</v>
      </c>
    </row>
    <row r="103" spans="1:19" ht="12.75" x14ac:dyDescent="0.2">
      <c r="G103" s="16"/>
      <c r="H103" s="16"/>
      <c r="I103" s="17"/>
      <c r="J103" s="16"/>
    </row>
    <row r="104" spans="1:19" ht="12.75" x14ac:dyDescent="0.2">
      <c r="A104" s="1" t="s">
        <v>33</v>
      </c>
      <c r="D104" s="2"/>
      <c r="E104" s="1"/>
      <c r="I104" s="1" t="s">
        <v>34</v>
      </c>
    </row>
    <row r="105" spans="1:19" ht="114.75" x14ac:dyDescent="0.2">
      <c r="A105" s="1" t="s">
        <v>4</v>
      </c>
      <c r="B105" s="3" t="s">
        <v>5</v>
      </c>
      <c r="C105" s="1" t="s">
        <v>6</v>
      </c>
      <c r="D105" s="2" t="s">
        <v>7</v>
      </c>
      <c r="E105" s="3" t="s">
        <v>8</v>
      </c>
      <c r="F105" s="1" t="s">
        <v>9</v>
      </c>
      <c r="G105" s="1" t="s">
        <v>10</v>
      </c>
      <c r="H105" s="1" t="s">
        <v>11</v>
      </c>
      <c r="I105" s="1" t="s">
        <v>12</v>
      </c>
      <c r="J105" s="1" t="s">
        <v>13</v>
      </c>
      <c r="K105" s="1" t="s">
        <v>14</v>
      </c>
      <c r="L105" s="1" t="s">
        <v>15</v>
      </c>
      <c r="M105" s="1" t="s">
        <v>16</v>
      </c>
      <c r="N105" s="1" t="s">
        <v>17</v>
      </c>
    </row>
    <row r="106" spans="1:19" ht="12.75" x14ac:dyDescent="0.2">
      <c r="A106" s="1">
        <v>1</v>
      </c>
      <c r="B106" s="4">
        <v>65.709999999999994</v>
      </c>
      <c r="C106" s="1">
        <v>18</v>
      </c>
      <c r="D106" s="2">
        <f t="shared" ref="D106:D112" si="47">SQRT(C106)</f>
        <v>4.2426406871192848</v>
      </c>
      <c r="E106" s="2">
        <v>20</v>
      </c>
      <c r="F106" s="2">
        <f t="shared" ref="F106:F112" si="48">C106*E106</f>
        <v>360</v>
      </c>
      <c r="G106" s="2">
        <f t="shared" ref="G106:G112" si="49">D106*E106</f>
        <v>84.852813742385692</v>
      </c>
      <c r="H106" s="5">
        <f t="shared" ref="H106:H112" si="50">LOG10(F106)</f>
        <v>2.5563025007672873</v>
      </c>
      <c r="I106" s="6">
        <f t="shared" ref="I106:I112" si="51">0.434 * G106/F106</f>
        <v>0.10229478101165387</v>
      </c>
      <c r="J106" s="7">
        <f t="shared" ref="J106:J112" si="52">(1/I106^2)</f>
        <v>95.563719764700892</v>
      </c>
      <c r="K106" s="6">
        <f t="shared" ref="K106:K112" si="53">B106^2 * J106</f>
        <v>412625.42101127648</v>
      </c>
      <c r="L106" s="6">
        <f t="shared" ref="L106:L112" si="54">B106 * J106</f>
        <v>6279.4920257384947</v>
      </c>
      <c r="M106" s="6">
        <f t="shared" ref="M106:M112" si="55">B106*H106*J106</f>
        <v>16052.281168943553</v>
      </c>
      <c r="N106" s="7">
        <f t="shared" ref="N106:N112" si="56">H106*J106</f>
        <v>244.28977581712914</v>
      </c>
    </row>
    <row r="107" spans="1:19" ht="12.75" x14ac:dyDescent="0.2">
      <c r="A107" s="8">
        <f t="shared" ref="A107:A112" si="57">A106+1</f>
        <v>2</v>
      </c>
      <c r="B107" s="9">
        <v>83.55</v>
      </c>
      <c r="C107" s="1">
        <v>41</v>
      </c>
      <c r="D107" s="2">
        <f t="shared" si="47"/>
        <v>6.4031242374328485</v>
      </c>
      <c r="E107" s="2">
        <v>20</v>
      </c>
      <c r="F107" s="2">
        <f t="shared" si="48"/>
        <v>820</v>
      </c>
      <c r="G107" s="2">
        <f t="shared" si="49"/>
        <v>128.06248474865697</v>
      </c>
      <c r="H107" s="5">
        <f t="shared" si="50"/>
        <v>2.9138138523837167</v>
      </c>
      <c r="I107" s="6">
        <f t="shared" si="51"/>
        <v>6.7779412659655022E-2</v>
      </c>
      <c r="J107" s="7">
        <f t="shared" si="52"/>
        <v>217.67291724181874</v>
      </c>
      <c r="K107" s="6">
        <f t="shared" si="53"/>
        <v>1519488.1102805331</v>
      </c>
      <c r="L107" s="6">
        <f t="shared" si="54"/>
        <v>18186.572235553955</v>
      </c>
      <c r="M107" s="6">
        <f t="shared" si="55"/>
        <v>52992.286107334214</v>
      </c>
      <c r="N107" s="7">
        <f t="shared" si="56"/>
        <v>634.25836154798583</v>
      </c>
    </row>
    <row r="108" spans="1:19" ht="12.75" x14ac:dyDescent="0.2">
      <c r="A108" s="8">
        <f t="shared" si="57"/>
        <v>3</v>
      </c>
      <c r="B108" s="10">
        <v>107.13</v>
      </c>
      <c r="C108" s="1">
        <v>279</v>
      </c>
      <c r="D108" s="2">
        <f t="shared" si="47"/>
        <v>16.703293088490067</v>
      </c>
      <c r="E108" s="2">
        <v>20</v>
      </c>
      <c r="F108" s="2">
        <f t="shared" si="48"/>
        <v>5580</v>
      </c>
      <c r="G108" s="2">
        <f t="shared" si="49"/>
        <v>334.06586176980136</v>
      </c>
      <c r="H108" s="5">
        <f t="shared" si="50"/>
        <v>3.7466341989375787</v>
      </c>
      <c r="I108" s="6">
        <f t="shared" si="51"/>
        <v>2.5982900359873436E-2</v>
      </c>
      <c r="J108" s="7">
        <f t="shared" si="52"/>
        <v>1481.2376563528637</v>
      </c>
      <c r="K108" s="6">
        <f t="shared" si="53"/>
        <v>16999922.992100064</v>
      </c>
      <c r="L108" s="6">
        <f t="shared" si="54"/>
        <v>158684.99012508229</v>
      </c>
      <c r="M108" s="6">
        <f t="shared" si="55"/>
        <v>594534.61086070526</v>
      </c>
      <c r="N108" s="7">
        <f t="shared" si="56"/>
        <v>5549.655660045788</v>
      </c>
    </row>
    <row r="109" spans="1:19" ht="12.75" x14ac:dyDescent="0.2">
      <c r="A109" s="8">
        <f t="shared" si="57"/>
        <v>4</v>
      </c>
      <c r="B109" s="11">
        <v>138</v>
      </c>
      <c r="C109" s="1">
        <v>7</v>
      </c>
      <c r="D109" s="2">
        <f t="shared" si="47"/>
        <v>2.6457513110645907</v>
      </c>
      <c r="E109" s="2">
        <f t="shared" ref="E109:E110" si="58">(1/4)*10000</f>
        <v>2500</v>
      </c>
      <c r="F109" s="2">
        <f t="shared" si="48"/>
        <v>17500</v>
      </c>
      <c r="G109" s="2">
        <f t="shared" si="49"/>
        <v>6614.3782776614771</v>
      </c>
      <c r="H109" s="5">
        <f t="shared" si="50"/>
        <v>4.2430380486862944</v>
      </c>
      <c r="I109" s="6">
        <f t="shared" si="51"/>
        <v>0.16403658128600462</v>
      </c>
      <c r="J109" s="7">
        <f t="shared" si="52"/>
        <v>37.163668797383679</v>
      </c>
      <c r="K109" s="6">
        <f t="shared" si="53"/>
        <v>707744.90857737476</v>
      </c>
      <c r="L109" s="6">
        <f t="shared" si="54"/>
        <v>5128.5862940389479</v>
      </c>
      <c r="M109" s="6">
        <f t="shared" si="55"/>
        <v>21760.786781578292</v>
      </c>
      <c r="N109" s="7">
        <f t="shared" si="56"/>
        <v>157.68686073607458</v>
      </c>
    </row>
    <row r="110" spans="1:19" ht="12.75" x14ac:dyDescent="0.2">
      <c r="A110" s="8">
        <f t="shared" si="57"/>
        <v>5</v>
      </c>
      <c r="B110" s="10">
        <v>164.26</v>
      </c>
      <c r="C110" s="1">
        <v>70</v>
      </c>
      <c r="D110" s="2">
        <f t="shared" si="47"/>
        <v>8.3666002653407556</v>
      </c>
      <c r="E110" s="2">
        <f t="shared" si="58"/>
        <v>2500</v>
      </c>
      <c r="F110" s="2">
        <f t="shared" si="48"/>
        <v>175000</v>
      </c>
      <c r="G110" s="2">
        <f t="shared" si="49"/>
        <v>20916.50066335189</v>
      </c>
      <c r="H110" s="5">
        <f t="shared" si="50"/>
        <v>5.2430380486862944</v>
      </c>
      <c r="I110" s="6">
        <f t="shared" si="51"/>
        <v>5.1872921645112688E-2</v>
      </c>
      <c r="J110" s="7">
        <f t="shared" si="52"/>
        <v>371.63668797383667</v>
      </c>
      <c r="K110" s="6">
        <f t="shared" si="53"/>
        <v>10027258.659134826</v>
      </c>
      <c r="L110" s="6">
        <f t="shared" si="54"/>
        <v>61045.042366582406</v>
      </c>
      <c r="M110" s="6">
        <f t="shared" si="55"/>
        <v>320061.47981165838</v>
      </c>
      <c r="N110" s="7">
        <f t="shared" si="56"/>
        <v>1948.5052953345819</v>
      </c>
    </row>
    <row r="111" spans="1:19" ht="12.75" x14ac:dyDescent="0.2">
      <c r="A111" s="8">
        <f t="shared" si="57"/>
        <v>6</v>
      </c>
      <c r="B111" s="10">
        <v>190.46</v>
      </c>
      <c r="C111" s="1">
        <v>152</v>
      </c>
      <c r="D111" s="2">
        <f t="shared" si="47"/>
        <v>12.328828005937952</v>
      </c>
      <c r="E111" s="2">
        <v>10000</v>
      </c>
      <c r="F111" s="2">
        <f t="shared" si="48"/>
        <v>1520000</v>
      </c>
      <c r="G111" s="2">
        <f t="shared" si="49"/>
        <v>123288.28005937953</v>
      </c>
      <c r="H111" s="5">
        <f t="shared" si="50"/>
        <v>6.1818435879447726</v>
      </c>
      <c r="I111" s="6">
        <f t="shared" si="51"/>
        <v>3.5202048385375467E-2</v>
      </c>
      <c r="J111" s="7">
        <f t="shared" si="52"/>
        <v>806.98252245747437</v>
      </c>
      <c r="K111" s="6">
        <f t="shared" si="53"/>
        <v>29273300.363142148</v>
      </c>
      <c r="L111" s="6">
        <f t="shared" si="54"/>
        <v>153697.89122725057</v>
      </c>
      <c r="M111" s="6">
        <f t="shared" si="55"/>
        <v>950136.32336381206</v>
      </c>
      <c r="N111" s="7">
        <f t="shared" si="56"/>
        <v>4988.6397320372362</v>
      </c>
    </row>
    <row r="112" spans="1:19" ht="12.75" x14ac:dyDescent="0.2">
      <c r="A112" s="8">
        <f t="shared" si="57"/>
        <v>7</v>
      </c>
      <c r="B112" s="11">
        <v>214.66</v>
      </c>
      <c r="C112" s="1">
        <v>86</v>
      </c>
      <c r="D112" s="2">
        <f t="shared" si="47"/>
        <v>9.2736184954957039</v>
      </c>
      <c r="E112" s="2">
        <f>(16/2) * 10000</f>
        <v>80000</v>
      </c>
      <c r="F112" s="2">
        <f t="shared" si="48"/>
        <v>6880000</v>
      </c>
      <c r="G112" s="2">
        <f t="shared" si="49"/>
        <v>741889.47963965626</v>
      </c>
      <c r="H112" s="5">
        <f t="shared" si="50"/>
        <v>6.8375884382355112</v>
      </c>
      <c r="I112" s="6">
        <f t="shared" si="51"/>
        <v>4.6799423570292271E-2</v>
      </c>
      <c r="J112" s="7">
        <f t="shared" si="52"/>
        <v>456.58221665357092</v>
      </c>
      <c r="K112" s="6">
        <f t="shared" si="53"/>
        <v>21038813.42564081</v>
      </c>
      <c r="L112" s="6">
        <f t="shared" si="54"/>
        <v>98009.938626855539</v>
      </c>
      <c r="M112" s="6">
        <f t="shared" si="55"/>
        <v>670151.62318715942</v>
      </c>
      <c r="N112" s="7">
        <f t="shared" si="56"/>
        <v>3121.9212856943977</v>
      </c>
    </row>
    <row r="113" spans="1:15" ht="12.75" x14ac:dyDescent="0.2">
      <c r="B113" s="10"/>
      <c r="D113" s="2"/>
      <c r="E113" s="2"/>
      <c r="F113" s="2"/>
      <c r="G113" s="2"/>
      <c r="H113" s="5"/>
      <c r="J113" s="7"/>
      <c r="K113" s="6"/>
      <c r="L113" s="6"/>
      <c r="M113" s="6"/>
      <c r="N113" s="7"/>
    </row>
    <row r="114" spans="1:15" ht="15" x14ac:dyDescent="0.25">
      <c r="A114" s="13"/>
      <c r="B114" s="12"/>
      <c r="D114" s="2"/>
      <c r="E114" s="2"/>
      <c r="F114" s="2"/>
      <c r="G114" s="2"/>
      <c r="H114" s="5"/>
      <c r="J114" s="7"/>
      <c r="K114" s="6"/>
      <c r="L114" s="6"/>
      <c r="M114" s="6"/>
      <c r="N114" s="7"/>
      <c r="O114" s="7"/>
    </row>
    <row r="115" spans="1:15" ht="12.75" x14ac:dyDescent="0.2">
      <c r="B115" s="15"/>
      <c r="D115" s="2"/>
      <c r="E115" s="2"/>
      <c r="F115" s="2"/>
      <c r="G115" s="2"/>
      <c r="H115" s="5"/>
      <c r="J115" s="7"/>
      <c r="K115" s="6"/>
      <c r="L115" s="6"/>
      <c r="M115" s="6"/>
      <c r="N115" s="7"/>
      <c r="O115" s="7"/>
    </row>
    <row r="116" spans="1:15" ht="12.75" x14ac:dyDescent="0.2">
      <c r="D116" s="2"/>
      <c r="E116" s="2"/>
      <c r="F116" s="2"/>
      <c r="G116" s="2"/>
      <c r="H116" s="5"/>
      <c r="J116" s="7"/>
      <c r="K116" s="6"/>
      <c r="L116" s="6"/>
      <c r="M116" s="6"/>
      <c r="N116" s="7"/>
      <c r="O116" s="7"/>
    </row>
    <row r="117" spans="1:15" ht="12.75" x14ac:dyDescent="0.2">
      <c r="D117" s="2"/>
      <c r="E117" s="2"/>
      <c r="F117" s="2"/>
      <c r="G117" s="2"/>
      <c r="H117" s="5"/>
      <c r="J117" s="7"/>
      <c r="K117" s="6"/>
      <c r="L117" s="6"/>
      <c r="M117" s="6"/>
      <c r="N117" s="7"/>
      <c r="O117" s="7"/>
    </row>
    <row r="118" spans="1:15" ht="12.75" x14ac:dyDescent="0.2">
      <c r="O118" s="7"/>
    </row>
    <row r="119" spans="1:15" ht="12.75" x14ac:dyDescent="0.2">
      <c r="O119" s="7"/>
    </row>
    <row r="120" spans="1:15" ht="12.75" x14ac:dyDescent="0.2">
      <c r="E120" s="1"/>
      <c r="F120" s="1" t="s">
        <v>18</v>
      </c>
      <c r="O120" s="7"/>
    </row>
    <row r="121" spans="1:15" ht="12.75" x14ac:dyDescent="0.2">
      <c r="A121" s="1" t="s">
        <v>27</v>
      </c>
      <c r="E121" s="1"/>
      <c r="F121" s="1" t="s">
        <v>19</v>
      </c>
      <c r="G121" s="1" t="s">
        <v>20</v>
      </c>
      <c r="H121" s="6">
        <f>SUM(J106:J109)*SUM(K106:K109)-(SUM(L106:L109))^2</f>
        <v>523746144.51078033</v>
      </c>
      <c r="O121" s="7"/>
    </row>
    <row r="122" spans="1:15" ht="12.75" x14ac:dyDescent="0.2">
      <c r="A122" s="1" t="s">
        <v>28</v>
      </c>
      <c r="E122" s="1"/>
      <c r="F122" s="1" t="s">
        <v>21</v>
      </c>
      <c r="G122" s="1" t="s">
        <v>22</v>
      </c>
      <c r="H122" s="6">
        <f>(1/H121)*((SUM(J106:J109)*SUM(M106:M109))-(SUM(L106:L109)*SUM(N106:N109)))</f>
        <v>2.9223260566270046E-2</v>
      </c>
      <c r="O122" s="7"/>
    </row>
    <row r="123" spans="1:15" ht="12.75" x14ac:dyDescent="0.2">
      <c r="G123" s="1" t="s">
        <v>23</v>
      </c>
      <c r="H123" s="6">
        <f>SQRT((1/H121)*(SUM(J106:J109)))</f>
        <v>1.8700766109518319E-3</v>
      </c>
      <c r="O123" s="7"/>
    </row>
    <row r="124" spans="1:15" ht="12.75" x14ac:dyDescent="0.2">
      <c r="O124" s="7"/>
    </row>
    <row r="125" spans="1:15" ht="12.75" x14ac:dyDescent="0.2">
      <c r="E125" s="1"/>
      <c r="F125" s="1" t="s">
        <v>24</v>
      </c>
      <c r="G125" s="1" t="s">
        <v>20</v>
      </c>
      <c r="H125" s="6">
        <f>SUM(J110:J112)*SUM(K110:K112)-(SUM(L110:L112))^2</f>
        <v>852668853.95106506</v>
      </c>
      <c r="O125" s="7"/>
    </row>
    <row r="126" spans="1:15" ht="12.75" x14ac:dyDescent="0.2">
      <c r="E126" s="1"/>
      <c r="F126" s="1" t="s">
        <v>21</v>
      </c>
      <c r="G126" s="1" t="s">
        <v>22</v>
      </c>
      <c r="H126" s="6">
        <f>(1/H125)*((SUM(J110:J112)*SUM(M110:M112))-(SUM(L110:L112)*SUM(N110:N112)))</f>
        <v>3.1501408357077681E-2</v>
      </c>
    </row>
    <row r="127" spans="1:15" ht="12.75" x14ac:dyDescent="0.2">
      <c r="G127" s="1" t="s">
        <v>23</v>
      </c>
      <c r="H127" s="6">
        <f>SQRT((1/H125)*(SUM(J110:J112)))</f>
        <v>1.3848267021662499E-3</v>
      </c>
    </row>
    <row r="128" spans="1:15" ht="12.75" x14ac:dyDescent="0.2">
      <c r="G128" s="18"/>
      <c r="H128" s="19"/>
      <c r="I128" s="19"/>
      <c r="J128" s="16"/>
    </row>
    <row r="129" spans="1:15" ht="12.75" x14ac:dyDescent="0.2">
      <c r="A129" s="1" t="s">
        <v>35</v>
      </c>
      <c r="B129" s="13"/>
      <c r="D129" s="2"/>
      <c r="E129" s="1"/>
      <c r="I129" s="1" t="s">
        <v>36</v>
      </c>
    </row>
    <row r="130" spans="1:15" ht="114.75" x14ac:dyDescent="0.2">
      <c r="A130" s="1" t="s">
        <v>4</v>
      </c>
      <c r="B130" s="3" t="s">
        <v>5</v>
      </c>
      <c r="C130" s="1" t="s">
        <v>6</v>
      </c>
      <c r="D130" s="2" t="s">
        <v>7</v>
      </c>
      <c r="E130" s="3" t="s">
        <v>8</v>
      </c>
      <c r="F130" s="1" t="s">
        <v>9</v>
      </c>
      <c r="G130" s="1" t="s">
        <v>10</v>
      </c>
      <c r="H130" s="1" t="s">
        <v>11</v>
      </c>
      <c r="I130" s="1" t="s">
        <v>12</v>
      </c>
      <c r="J130" s="1" t="s">
        <v>13</v>
      </c>
      <c r="K130" s="1" t="s">
        <v>14</v>
      </c>
      <c r="L130" s="1" t="s">
        <v>15</v>
      </c>
      <c r="M130" s="1" t="s">
        <v>16</v>
      </c>
      <c r="N130" s="1" t="s">
        <v>17</v>
      </c>
    </row>
    <row r="131" spans="1:15" ht="12.75" x14ac:dyDescent="0.2">
      <c r="A131" s="1">
        <v>1</v>
      </c>
      <c r="B131" s="4">
        <v>47.15</v>
      </c>
      <c r="C131" s="1">
        <v>25</v>
      </c>
      <c r="D131" s="2">
        <f t="shared" ref="D131:D139" si="59">SQRT(C131)</f>
        <v>5</v>
      </c>
      <c r="E131" s="2">
        <v>20</v>
      </c>
      <c r="F131" s="2">
        <f t="shared" ref="F131:F139" si="60">C131*E131</f>
        <v>500</v>
      </c>
      <c r="G131" s="2">
        <f t="shared" ref="G131:G139" si="61">D131*E131</f>
        <v>100</v>
      </c>
      <c r="H131" s="5">
        <f t="shared" ref="H131:H139" si="62">LOG10(F131)</f>
        <v>2.6989700043360187</v>
      </c>
      <c r="I131" s="6">
        <f t="shared" ref="I131:I139" si="63">0.434 * G131/F131</f>
        <v>8.6800000000000002E-2</v>
      </c>
      <c r="J131" s="7">
        <f t="shared" ref="J131:J139" si="64">(1/I131^2)</f>
        <v>132.72738856208457</v>
      </c>
      <c r="K131" s="6">
        <f t="shared" ref="K131:K139" si="65">B131^2 * J131</f>
        <v>295069.24387861288</v>
      </c>
      <c r="L131" s="6">
        <f t="shared" ref="L131:L139" si="66">B131 * J131</f>
        <v>6258.0963707022875</v>
      </c>
      <c r="M131" s="6">
        <f t="shared" ref="M131:M139" si="67">B131*H131*J131</f>
        <v>16890.414388769575</v>
      </c>
      <c r="N131" s="7">
        <f t="shared" ref="N131:N139" si="68">H131*J131</f>
        <v>358.22724048291786</v>
      </c>
    </row>
    <row r="132" spans="1:15" ht="12.75" x14ac:dyDescent="0.2">
      <c r="A132" s="8">
        <f t="shared" ref="A132:A137" si="69">A131+1</f>
        <v>2</v>
      </c>
      <c r="B132" s="9">
        <v>81.260000000000005</v>
      </c>
      <c r="C132" s="1">
        <v>97</v>
      </c>
      <c r="D132" s="2">
        <f t="shared" si="59"/>
        <v>9.8488578017961039</v>
      </c>
      <c r="E132" s="2">
        <v>20</v>
      </c>
      <c r="F132" s="2">
        <f t="shared" si="60"/>
        <v>1940</v>
      </c>
      <c r="G132" s="2">
        <f t="shared" si="61"/>
        <v>196.97715603592206</v>
      </c>
      <c r="H132" s="5">
        <f t="shared" si="62"/>
        <v>3.287801729930226</v>
      </c>
      <c r="I132" s="6">
        <f t="shared" si="63"/>
        <v>4.4066023566799062E-2</v>
      </c>
      <c r="J132" s="7">
        <f t="shared" si="64"/>
        <v>514.98226762088825</v>
      </c>
      <c r="K132" s="6">
        <f t="shared" si="65"/>
        <v>3400524.5237741312</v>
      </c>
      <c r="L132" s="6">
        <f t="shared" si="66"/>
        <v>41847.45906687338</v>
      </c>
      <c r="M132" s="6">
        <f t="shared" si="67"/>
        <v>137586.14831325063</v>
      </c>
      <c r="N132" s="7">
        <f t="shared" si="68"/>
        <v>1693.1595903673469</v>
      </c>
    </row>
    <row r="133" spans="1:15" ht="12.75" x14ac:dyDescent="0.2">
      <c r="A133" s="8">
        <f t="shared" si="69"/>
        <v>3</v>
      </c>
      <c r="B133" s="10">
        <v>107.13</v>
      </c>
      <c r="C133" s="1">
        <v>279</v>
      </c>
      <c r="D133" s="2">
        <f t="shared" si="59"/>
        <v>16.703293088490067</v>
      </c>
      <c r="E133" s="2">
        <v>20</v>
      </c>
      <c r="F133" s="2">
        <f t="shared" si="60"/>
        <v>5580</v>
      </c>
      <c r="G133" s="2">
        <f t="shared" si="61"/>
        <v>334.06586176980136</v>
      </c>
      <c r="H133" s="5">
        <f t="shared" si="62"/>
        <v>3.7466341989375787</v>
      </c>
      <c r="I133" s="6">
        <f t="shared" si="63"/>
        <v>2.5982900359873436E-2</v>
      </c>
      <c r="J133" s="7">
        <f t="shared" si="64"/>
        <v>1481.2376563528637</v>
      </c>
      <c r="K133" s="6">
        <f t="shared" si="65"/>
        <v>16999922.992100064</v>
      </c>
      <c r="L133" s="6">
        <f t="shared" si="66"/>
        <v>158684.99012508229</v>
      </c>
      <c r="M133" s="6">
        <f t="shared" si="67"/>
        <v>594534.61086070526</v>
      </c>
      <c r="N133" s="7">
        <f t="shared" si="68"/>
        <v>5549.655660045788</v>
      </c>
    </row>
    <row r="134" spans="1:15" ht="12.75" x14ac:dyDescent="0.2">
      <c r="A134" s="8">
        <f t="shared" si="69"/>
        <v>4</v>
      </c>
      <c r="B134" s="11">
        <v>100.38</v>
      </c>
      <c r="C134" s="1">
        <v>260</v>
      </c>
      <c r="D134" s="2">
        <f t="shared" si="59"/>
        <v>16.124515496597098</v>
      </c>
      <c r="E134" s="2">
        <v>20</v>
      </c>
      <c r="F134" s="2">
        <f t="shared" si="60"/>
        <v>5200</v>
      </c>
      <c r="G134" s="2">
        <f t="shared" si="61"/>
        <v>322.49030993194197</v>
      </c>
      <c r="H134" s="5">
        <f t="shared" si="62"/>
        <v>3.716003343634799</v>
      </c>
      <c r="I134" s="6">
        <f t="shared" si="63"/>
        <v>2.6915537405858236E-2</v>
      </c>
      <c r="J134" s="7">
        <f t="shared" si="64"/>
        <v>1380.3648410456792</v>
      </c>
      <c r="K134" s="6">
        <f t="shared" si="65"/>
        <v>13908755.46305931</v>
      </c>
      <c r="L134" s="6">
        <f t="shared" si="66"/>
        <v>138561.02274416527</v>
      </c>
      <c r="M134" s="6">
        <f t="shared" si="67"/>
        <v>514893.22381477559</v>
      </c>
      <c r="N134" s="7">
        <f t="shared" si="68"/>
        <v>5129.4403647616618</v>
      </c>
    </row>
    <row r="135" spans="1:15" ht="12.75" x14ac:dyDescent="0.2">
      <c r="A135" s="8">
        <f t="shared" si="69"/>
        <v>5</v>
      </c>
      <c r="B135" s="10">
        <v>126.33</v>
      </c>
      <c r="C135" s="1">
        <v>14</v>
      </c>
      <c r="D135" s="2">
        <f t="shared" si="59"/>
        <v>3.7416573867739413</v>
      </c>
      <c r="E135" s="2">
        <f>(1/8)*10000</f>
        <v>1250</v>
      </c>
      <c r="F135" s="2">
        <f t="shared" si="60"/>
        <v>17500</v>
      </c>
      <c r="G135" s="2">
        <f t="shared" si="61"/>
        <v>4677.0717334674264</v>
      </c>
      <c r="H135" s="5">
        <f t="shared" si="62"/>
        <v>4.2430380486862944</v>
      </c>
      <c r="I135" s="6">
        <f t="shared" si="63"/>
        <v>0.11599137898999218</v>
      </c>
      <c r="J135" s="7">
        <f t="shared" si="64"/>
        <v>74.327337594767357</v>
      </c>
      <c r="K135" s="6">
        <f t="shared" si="65"/>
        <v>1186209.9672959715</v>
      </c>
      <c r="L135" s="6">
        <f t="shared" si="66"/>
        <v>9389.7725583469601</v>
      </c>
      <c r="M135" s="6">
        <f t="shared" si="67"/>
        <v>39841.162233576601</v>
      </c>
      <c r="N135" s="7">
        <f t="shared" si="68"/>
        <v>315.37372147214916</v>
      </c>
    </row>
    <row r="136" spans="1:15" ht="12.75" x14ac:dyDescent="0.2">
      <c r="A136" s="8">
        <f t="shared" si="69"/>
        <v>6</v>
      </c>
      <c r="B136" s="10">
        <v>152.55000000000001</v>
      </c>
      <c r="C136" s="1">
        <v>30</v>
      </c>
      <c r="D136" s="2">
        <f t="shared" si="59"/>
        <v>5.4772255750516612</v>
      </c>
      <c r="E136" s="2">
        <f>(1/4)*10000</f>
        <v>2500</v>
      </c>
      <c r="F136" s="2">
        <f t="shared" si="60"/>
        <v>75000</v>
      </c>
      <c r="G136" s="2">
        <f t="shared" si="61"/>
        <v>13693.063937629153</v>
      </c>
      <c r="H136" s="5">
        <f t="shared" si="62"/>
        <v>4.8750612633917001</v>
      </c>
      <c r="I136" s="6">
        <f t="shared" si="63"/>
        <v>7.9237196652414035E-2</v>
      </c>
      <c r="J136" s="7">
        <f t="shared" si="64"/>
        <v>159.27286627450147</v>
      </c>
      <c r="K136" s="6">
        <f t="shared" si="65"/>
        <v>3706518.9056892269</v>
      </c>
      <c r="L136" s="6">
        <f t="shared" si="66"/>
        <v>24297.075750175201</v>
      </c>
      <c r="M136" s="6">
        <f t="shared" si="67"/>
        <v>118449.73280337294</v>
      </c>
      <c r="N136" s="7">
        <f t="shared" si="68"/>
        <v>776.46498068418839</v>
      </c>
    </row>
    <row r="137" spans="1:15" ht="12.75" x14ac:dyDescent="0.2">
      <c r="A137" s="8">
        <f t="shared" si="69"/>
        <v>7</v>
      </c>
      <c r="B137" s="11">
        <v>176.76</v>
      </c>
      <c r="C137" s="1">
        <v>144</v>
      </c>
      <c r="D137" s="2">
        <f t="shared" si="59"/>
        <v>12</v>
      </c>
      <c r="E137" s="2">
        <f>(1/3)*10000</f>
        <v>3333.333333333333</v>
      </c>
      <c r="F137" s="2">
        <f t="shared" si="60"/>
        <v>479999.99999999994</v>
      </c>
      <c r="G137" s="2">
        <f t="shared" si="61"/>
        <v>40000</v>
      </c>
      <c r="H137" s="5">
        <f t="shared" si="62"/>
        <v>5.6812412373755867</v>
      </c>
      <c r="I137" s="6">
        <f t="shared" si="63"/>
        <v>3.6166666666666673E-2</v>
      </c>
      <c r="J137" s="7">
        <f t="shared" si="64"/>
        <v>764.50975811760679</v>
      </c>
      <c r="K137" s="6">
        <f t="shared" si="65"/>
        <v>23886417.498778898</v>
      </c>
      <c r="L137" s="6">
        <f t="shared" si="66"/>
        <v>135134.74484486817</v>
      </c>
      <c r="M137" s="6">
        <f t="shared" si="67"/>
        <v>767733.08501489309</v>
      </c>
      <c r="N137" s="7">
        <f t="shared" si="68"/>
        <v>4343.3643641937833</v>
      </c>
    </row>
    <row r="138" spans="1:15" ht="12.75" x14ac:dyDescent="0.2">
      <c r="A138" s="1">
        <v>8</v>
      </c>
      <c r="B138" s="10">
        <v>194.86</v>
      </c>
      <c r="C138" s="1">
        <v>92</v>
      </c>
      <c r="D138" s="2">
        <f t="shared" si="59"/>
        <v>9.5916630466254382</v>
      </c>
      <c r="E138" s="2">
        <f>(16/8)*10000</f>
        <v>20000</v>
      </c>
      <c r="F138" s="2">
        <f t="shared" si="60"/>
        <v>1840000</v>
      </c>
      <c r="G138" s="2">
        <f t="shared" si="61"/>
        <v>191833.26093250877</v>
      </c>
      <c r="H138" s="5">
        <f t="shared" si="62"/>
        <v>6.2648178230095368</v>
      </c>
      <c r="I138" s="6">
        <f t="shared" si="63"/>
        <v>4.5247627850385219E-2</v>
      </c>
      <c r="J138" s="7">
        <f t="shared" si="64"/>
        <v>488.43678990847133</v>
      </c>
      <c r="K138" s="6">
        <f t="shared" si="65"/>
        <v>18546149.860901706</v>
      </c>
      <c r="L138" s="6">
        <f t="shared" si="66"/>
        <v>95176.792881564732</v>
      </c>
      <c r="M138" s="6">
        <f t="shared" si="67"/>
        <v>596265.268381314</v>
      </c>
      <c r="N138" s="7">
        <f t="shared" si="68"/>
        <v>3059.9675068321558</v>
      </c>
    </row>
    <row r="139" spans="1:15" ht="15" x14ac:dyDescent="0.25">
      <c r="A139" s="20">
        <v>9</v>
      </c>
      <c r="B139" s="12">
        <v>218.95</v>
      </c>
      <c r="C139" s="1">
        <v>34</v>
      </c>
      <c r="D139" s="2">
        <f t="shared" si="59"/>
        <v>5.8309518948453007</v>
      </c>
      <c r="E139" s="2">
        <f>16 * 10000</f>
        <v>160000</v>
      </c>
      <c r="F139" s="2">
        <f t="shared" si="60"/>
        <v>5440000</v>
      </c>
      <c r="G139" s="2">
        <f t="shared" si="61"/>
        <v>932952.30317524809</v>
      </c>
      <c r="H139" s="5">
        <f t="shared" si="62"/>
        <v>6.7355988996981795</v>
      </c>
      <c r="I139" s="6">
        <f t="shared" si="63"/>
        <v>7.4430385951848838E-2</v>
      </c>
      <c r="J139" s="7">
        <f t="shared" si="64"/>
        <v>180.509248444435</v>
      </c>
      <c r="K139" s="6">
        <f t="shared" si="65"/>
        <v>8653451.3633757345</v>
      </c>
      <c r="L139" s="6">
        <f t="shared" si="66"/>
        <v>39522.49994690904</v>
      </c>
      <c r="M139" s="6">
        <f t="shared" si="67"/>
        <v>266207.7071557219</v>
      </c>
      <c r="N139" s="7">
        <f t="shared" si="68"/>
        <v>1215.8378952076816</v>
      </c>
      <c r="O139" s="7"/>
    </row>
    <row r="140" spans="1:15" ht="12.75" x14ac:dyDescent="0.2">
      <c r="B140" s="15"/>
      <c r="D140" s="2"/>
      <c r="E140" s="2"/>
      <c r="F140" s="2"/>
      <c r="G140" s="2"/>
      <c r="H140" s="5"/>
      <c r="J140" s="7"/>
      <c r="K140" s="6"/>
      <c r="L140" s="6"/>
      <c r="M140" s="6"/>
      <c r="N140" s="7"/>
      <c r="O140" s="7"/>
    </row>
    <row r="141" spans="1:15" ht="12.75" x14ac:dyDescent="0.2">
      <c r="D141" s="2"/>
      <c r="E141" s="2"/>
      <c r="F141" s="2"/>
      <c r="G141" s="2"/>
      <c r="H141" s="5"/>
      <c r="J141" s="7"/>
      <c r="K141" s="6"/>
      <c r="L141" s="6"/>
      <c r="M141" s="6"/>
      <c r="N141" s="7"/>
      <c r="O141" s="7"/>
    </row>
    <row r="142" spans="1:15" ht="12.75" x14ac:dyDescent="0.2">
      <c r="D142" s="2"/>
      <c r="E142" s="2"/>
      <c r="F142" s="2"/>
      <c r="G142" s="2"/>
      <c r="H142" s="5"/>
      <c r="J142" s="7"/>
      <c r="K142" s="6"/>
      <c r="L142" s="6"/>
      <c r="M142" s="6"/>
      <c r="N142" s="7"/>
      <c r="O142" s="7"/>
    </row>
    <row r="143" spans="1:15" ht="12.75" x14ac:dyDescent="0.2">
      <c r="O143" s="7"/>
    </row>
    <row r="144" spans="1:15" ht="12.75" x14ac:dyDescent="0.2">
      <c r="O144" s="7"/>
    </row>
    <row r="145" spans="1:15" ht="12.75" x14ac:dyDescent="0.2">
      <c r="E145" s="1"/>
      <c r="F145" s="1" t="s">
        <v>18</v>
      </c>
      <c r="O145" s="7"/>
    </row>
    <row r="146" spans="1:15" ht="12.75" x14ac:dyDescent="0.2">
      <c r="A146" s="1" t="s">
        <v>27</v>
      </c>
      <c r="E146" s="1"/>
      <c r="F146" s="1" t="s">
        <v>19</v>
      </c>
      <c r="G146" s="1" t="s">
        <v>20</v>
      </c>
      <c r="H146" s="6">
        <f>SUM(J131:J136)*SUM(K131:K136)-(SUM(L131:L136))^2</f>
        <v>4163692213.4387512</v>
      </c>
      <c r="O146" s="7"/>
    </row>
    <row r="147" spans="1:15" ht="12.75" x14ac:dyDescent="0.2">
      <c r="A147" s="1" t="s">
        <v>28</v>
      </c>
      <c r="E147" s="1"/>
      <c r="F147" s="1" t="s">
        <v>21</v>
      </c>
      <c r="G147" s="1" t="s">
        <v>22</v>
      </c>
      <c r="H147" s="6">
        <f>(1/H146)*((SUM(J131:J136)*SUM(M131:M136))-(SUM(L131:L136)*SUM(N131:N136)))</f>
        <v>2.0165145058847211E-2</v>
      </c>
      <c r="O147" s="7"/>
    </row>
    <row r="148" spans="1:15" ht="12.75" x14ac:dyDescent="0.2">
      <c r="G148" s="1" t="s">
        <v>23</v>
      </c>
      <c r="H148" s="6">
        <f>SQRT((1/H146)*(SUM(J131:J136)))</f>
        <v>9.4812482905899133E-4</v>
      </c>
      <c r="O148" s="7"/>
    </row>
    <row r="149" spans="1:15" ht="12.75" x14ac:dyDescent="0.2">
      <c r="O149" s="7"/>
    </row>
    <row r="150" spans="1:15" ht="12.75" x14ac:dyDescent="0.2">
      <c r="E150" s="1"/>
      <c r="F150" s="1" t="s">
        <v>24</v>
      </c>
      <c r="G150" s="1" t="s">
        <v>20</v>
      </c>
      <c r="H150" s="6">
        <f>SUM(J137:J139)*SUM(K137:K139)-(SUM(L137:L139))^2</f>
        <v>419141770.06777954</v>
      </c>
      <c r="O150" s="7"/>
    </row>
    <row r="151" spans="1:15" ht="12.75" x14ac:dyDescent="0.2">
      <c r="E151" s="1"/>
      <c r="F151" s="1" t="s">
        <v>21</v>
      </c>
      <c r="G151" s="1" t="s">
        <v>22</v>
      </c>
      <c r="H151" s="6">
        <f>(1/H150)*((SUM(J137:J139)*SUM(M137:M139))-(SUM(L137:L139)*SUM(N137:N139)))</f>
        <v>2.644200200547521E-2</v>
      </c>
    </row>
    <row r="152" spans="1:15" ht="12.75" x14ac:dyDescent="0.2">
      <c r="G152" s="1" t="s">
        <v>23</v>
      </c>
      <c r="H152" s="6">
        <f>SQRT((1/H150)*(SUM(J137:J139)))</f>
        <v>1.8493183585242109E-3</v>
      </c>
    </row>
    <row r="153" spans="1:15" ht="12.75" x14ac:dyDescent="0.2">
      <c r="G153" s="18"/>
      <c r="H153" s="19"/>
      <c r="I153" s="19"/>
      <c r="J153" s="16"/>
    </row>
    <row r="154" spans="1:15" ht="12.75" x14ac:dyDescent="0.2">
      <c r="A154" s="1" t="s">
        <v>37</v>
      </c>
      <c r="B154" s="13"/>
      <c r="D154" s="21"/>
      <c r="E154" s="1"/>
      <c r="I154" s="1" t="s">
        <v>34</v>
      </c>
    </row>
    <row r="155" spans="1:15" ht="114.75" x14ac:dyDescent="0.2">
      <c r="A155" s="1" t="s">
        <v>4</v>
      </c>
      <c r="B155" s="3" t="s">
        <v>5</v>
      </c>
      <c r="C155" s="1" t="s">
        <v>6</v>
      </c>
      <c r="D155" s="2" t="s">
        <v>7</v>
      </c>
      <c r="E155" s="3" t="s">
        <v>8</v>
      </c>
      <c r="F155" s="1" t="s">
        <v>9</v>
      </c>
      <c r="G155" s="1" t="s">
        <v>10</v>
      </c>
      <c r="H155" s="1" t="s">
        <v>11</v>
      </c>
      <c r="I155" s="1" t="s">
        <v>12</v>
      </c>
      <c r="J155" s="1" t="s">
        <v>13</v>
      </c>
      <c r="K155" s="1" t="s">
        <v>14</v>
      </c>
      <c r="L155" s="1" t="s">
        <v>15</v>
      </c>
      <c r="M155" s="1" t="s">
        <v>16</v>
      </c>
      <c r="N155" s="1" t="s">
        <v>17</v>
      </c>
    </row>
    <row r="156" spans="1:15" ht="12.75" x14ac:dyDescent="0.2">
      <c r="A156" s="1">
        <v>1</v>
      </c>
      <c r="B156" s="4">
        <v>62.17</v>
      </c>
      <c r="C156" s="1">
        <v>27</v>
      </c>
      <c r="D156" s="2">
        <f t="shared" ref="D156:D162" si="70">SQRT(C156)</f>
        <v>5.196152422706632</v>
      </c>
      <c r="E156" s="2">
        <f>(40/30)*20</f>
        <v>26.666666666666664</v>
      </c>
      <c r="F156" s="2">
        <f t="shared" ref="F156:F162" si="71">C156*E156</f>
        <v>719.99999999999989</v>
      </c>
      <c r="G156" s="2">
        <f t="shared" ref="G156:G162" si="72">D156*E156</f>
        <v>138.56406460551017</v>
      </c>
      <c r="H156" s="5">
        <f t="shared" ref="H156:H162" si="73">LOG10(F156)</f>
        <v>2.8573324964312685</v>
      </c>
      <c r="I156" s="6">
        <f t="shared" ref="I156:I162" si="74">0.434 * G156/F156</f>
        <v>8.3523338942765868E-2</v>
      </c>
      <c r="J156" s="7">
        <f t="shared" ref="J156:J162" si="75">(1/I156^2)</f>
        <v>143.3455796470513</v>
      </c>
      <c r="K156" s="6">
        <f t="shared" ref="K156:K162" si="76">B156^2 * J156</f>
        <v>554046.27566947683</v>
      </c>
      <c r="L156" s="6">
        <f t="shared" ref="L156:L162" si="77">B156 * J156</f>
        <v>8911.7946866571801</v>
      </c>
      <c r="M156" s="6">
        <f t="shared" ref="M156:M162" si="78">B156*H156*J156</f>
        <v>25463.960559709074</v>
      </c>
      <c r="N156" s="7">
        <f t="shared" ref="N156:N162" si="79">H156*J156</f>
        <v>409.58598294529634</v>
      </c>
    </row>
    <row r="157" spans="1:15" ht="12.75" x14ac:dyDescent="0.2">
      <c r="A157" s="8">
        <f t="shared" ref="A157:A162" si="80">A156+1</f>
        <v>2</v>
      </c>
      <c r="B157" s="9">
        <v>96.15</v>
      </c>
      <c r="C157" s="1">
        <v>83</v>
      </c>
      <c r="D157" s="2">
        <f t="shared" si="70"/>
        <v>9.1104335791442992</v>
      </c>
      <c r="E157" s="2">
        <v>20</v>
      </c>
      <c r="F157" s="2">
        <f t="shared" si="71"/>
        <v>1660</v>
      </c>
      <c r="G157" s="2">
        <f t="shared" si="72"/>
        <v>182.20867158288598</v>
      </c>
      <c r="H157" s="5">
        <f t="shared" si="73"/>
        <v>3.220108088040055</v>
      </c>
      <c r="I157" s="6">
        <f t="shared" si="74"/>
        <v>4.7637688835525611E-2</v>
      </c>
      <c r="J157" s="7">
        <f t="shared" si="75"/>
        <v>440.65493002612072</v>
      </c>
      <c r="K157" s="6">
        <f t="shared" si="76"/>
        <v>4073776.6118414067</v>
      </c>
      <c r="L157" s="6">
        <f t="shared" si="77"/>
        <v>42368.97152201151</v>
      </c>
      <c r="M157" s="6">
        <f t="shared" si="78"/>
        <v>136432.66787996804</v>
      </c>
      <c r="N157" s="7">
        <f t="shared" si="79"/>
        <v>1418.9565042118359</v>
      </c>
    </row>
    <row r="158" spans="1:15" ht="12.75" x14ac:dyDescent="0.2">
      <c r="A158" s="8">
        <f t="shared" si="80"/>
        <v>3</v>
      </c>
      <c r="B158" s="10">
        <v>115.22</v>
      </c>
      <c r="C158" s="1">
        <v>287</v>
      </c>
      <c r="D158" s="2">
        <f t="shared" si="70"/>
        <v>16.941074346097416</v>
      </c>
      <c r="E158" s="2">
        <f>(40/30)*20</f>
        <v>26.666666666666664</v>
      </c>
      <c r="F158" s="2">
        <f t="shared" si="71"/>
        <v>7653.333333333333</v>
      </c>
      <c r="G158" s="2">
        <f t="shared" si="72"/>
        <v>451.76198256259772</v>
      </c>
      <c r="H158" s="5">
        <f t="shared" si="73"/>
        <v>3.8838506290062735</v>
      </c>
      <c r="I158" s="6">
        <f t="shared" si="74"/>
        <v>2.5618209986781455E-2</v>
      </c>
      <c r="J158" s="7">
        <f t="shared" si="75"/>
        <v>1523.7104206927313</v>
      </c>
      <c r="K158" s="6">
        <f t="shared" si="76"/>
        <v>20228243.808532786</v>
      </c>
      <c r="L158" s="6">
        <f t="shared" si="77"/>
        <v>175561.91467221649</v>
      </c>
      <c r="M158" s="6">
        <f t="shared" si="78"/>
        <v>681856.25272923382</v>
      </c>
      <c r="N158" s="7">
        <f t="shared" si="79"/>
        <v>5917.8636758308785</v>
      </c>
    </row>
    <row r="159" spans="1:15" ht="12.75" x14ac:dyDescent="0.2">
      <c r="A159" s="8">
        <f t="shared" si="80"/>
        <v>4</v>
      </c>
      <c r="B159" s="11">
        <v>141.22</v>
      </c>
      <c r="C159" s="1">
        <v>16</v>
      </c>
      <c r="D159" s="2">
        <f t="shared" si="70"/>
        <v>4</v>
      </c>
      <c r="E159" s="2">
        <f>(1/4)*10000</f>
        <v>2500</v>
      </c>
      <c r="F159" s="2">
        <f t="shared" si="71"/>
        <v>40000</v>
      </c>
      <c r="G159" s="2">
        <f t="shared" si="72"/>
        <v>10000</v>
      </c>
      <c r="H159" s="5">
        <f t="shared" si="73"/>
        <v>4.6020599913279625</v>
      </c>
      <c r="I159" s="6">
        <f t="shared" si="74"/>
        <v>0.1085</v>
      </c>
      <c r="J159" s="7">
        <f t="shared" si="75"/>
        <v>84.945528679734124</v>
      </c>
      <c r="K159" s="6">
        <f t="shared" si="76"/>
        <v>1694076.187644673</v>
      </c>
      <c r="L159" s="6">
        <f t="shared" si="77"/>
        <v>11996.007560152053</v>
      </c>
      <c r="M159" s="6">
        <f t="shared" si="78"/>
        <v>55206.34644824353</v>
      </c>
      <c r="N159" s="7">
        <f t="shared" si="79"/>
        <v>390.92441897920639</v>
      </c>
    </row>
    <row r="160" spans="1:15" ht="12.75" x14ac:dyDescent="0.2">
      <c r="A160" s="8">
        <f t="shared" si="80"/>
        <v>5</v>
      </c>
      <c r="B160" s="10">
        <v>167.4</v>
      </c>
      <c r="C160" s="1">
        <f>(20+22)</f>
        <v>42</v>
      </c>
      <c r="D160" s="2">
        <f t="shared" si="70"/>
        <v>6.4807406984078604</v>
      </c>
      <c r="E160" s="2">
        <f>(1/2)*10000</f>
        <v>5000</v>
      </c>
      <c r="F160" s="2">
        <f t="shared" si="71"/>
        <v>210000</v>
      </c>
      <c r="G160" s="2">
        <f t="shared" si="72"/>
        <v>32403.703492039302</v>
      </c>
      <c r="H160" s="5">
        <f t="shared" si="73"/>
        <v>5.3222192947339195</v>
      </c>
      <c r="I160" s="6">
        <f t="shared" si="74"/>
        <v>6.696765388354789E-2</v>
      </c>
      <c r="J160" s="7">
        <f t="shared" si="75"/>
        <v>222.98201278430207</v>
      </c>
      <c r="K160" s="6">
        <f t="shared" si="76"/>
        <v>6248571.4285714291</v>
      </c>
      <c r="L160" s="6">
        <f t="shared" si="77"/>
        <v>37327.188940092165</v>
      </c>
      <c r="M160" s="6">
        <f t="shared" si="78"/>
        <v>198663.48519513709</v>
      </c>
      <c r="N160" s="7">
        <f t="shared" si="79"/>
        <v>1186.7591708192181</v>
      </c>
    </row>
    <row r="161" spans="1:15" ht="12.75" x14ac:dyDescent="0.2">
      <c r="A161" s="8">
        <f t="shared" si="80"/>
        <v>6</v>
      </c>
      <c r="B161" s="10">
        <v>191.6</v>
      </c>
      <c r="C161" s="1">
        <v>161</v>
      </c>
      <c r="D161" s="2">
        <f t="shared" si="70"/>
        <v>12.68857754044952</v>
      </c>
      <c r="E161" s="2">
        <v>10000</v>
      </c>
      <c r="F161" s="2">
        <f t="shared" si="71"/>
        <v>1610000</v>
      </c>
      <c r="G161" s="2">
        <f t="shared" si="72"/>
        <v>126885.7754044952</v>
      </c>
      <c r="H161" s="5">
        <f t="shared" si="73"/>
        <v>6.20682587603185</v>
      </c>
      <c r="I161" s="6">
        <f t="shared" si="74"/>
        <v>3.4203991630776968E-2</v>
      </c>
      <c r="J161" s="7">
        <f t="shared" si="75"/>
        <v>854.76438233982446</v>
      </c>
      <c r="K161" s="6">
        <f t="shared" si="76"/>
        <v>31378879.143749066</v>
      </c>
      <c r="L161" s="6">
        <f t="shared" si="77"/>
        <v>163772.85565631036</v>
      </c>
      <c r="M161" s="6">
        <f t="shared" si="78"/>
        <v>1016509.5982792163</v>
      </c>
      <c r="N161" s="7">
        <f t="shared" si="79"/>
        <v>5305.3736862172045</v>
      </c>
    </row>
    <row r="162" spans="1:15" ht="12.75" x14ac:dyDescent="0.2">
      <c r="A162" s="8">
        <f t="shared" si="80"/>
        <v>7</v>
      </c>
      <c r="B162" s="11">
        <v>209.8</v>
      </c>
      <c r="C162" s="1">
        <v>117</v>
      </c>
      <c r="D162" s="2">
        <f t="shared" si="70"/>
        <v>10.816653826391969</v>
      </c>
      <c r="E162" s="2">
        <f>(16/2) * 10000</f>
        <v>80000</v>
      </c>
      <c r="F162" s="2">
        <f t="shared" si="71"/>
        <v>9360000</v>
      </c>
      <c r="G162" s="2">
        <f t="shared" si="72"/>
        <v>865332.30611135752</v>
      </c>
      <c r="H162" s="5">
        <f t="shared" si="73"/>
        <v>6.971275848738105</v>
      </c>
      <c r="I162" s="6">
        <f t="shared" si="74"/>
        <v>4.0123314193624908E-2</v>
      </c>
      <c r="J162" s="7">
        <f t="shared" si="75"/>
        <v>621.16417847055573</v>
      </c>
      <c r="K162" s="6">
        <f t="shared" si="76"/>
        <v>27341187.326127123</v>
      </c>
      <c r="L162" s="6">
        <f t="shared" si="77"/>
        <v>130320.2446431226</v>
      </c>
      <c r="M162" s="6">
        <f t="shared" si="78"/>
        <v>908498.37408224202</v>
      </c>
      <c r="N162" s="7">
        <f t="shared" si="79"/>
        <v>4330.3068354730312</v>
      </c>
    </row>
    <row r="163" spans="1:15" ht="12.75" x14ac:dyDescent="0.2">
      <c r="B163" s="10"/>
      <c r="D163" s="2"/>
      <c r="E163" s="2"/>
      <c r="F163" s="2"/>
      <c r="G163" s="2"/>
      <c r="H163" s="5"/>
      <c r="J163" s="7"/>
      <c r="K163" s="6"/>
      <c r="L163" s="6"/>
      <c r="M163" s="6"/>
      <c r="N163" s="7"/>
    </row>
    <row r="164" spans="1:15" ht="15" x14ac:dyDescent="0.25">
      <c r="A164" s="20"/>
      <c r="B164" s="12"/>
      <c r="D164" s="2"/>
      <c r="E164" s="2"/>
      <c r="F164" s="2"/>
      <c r="G164" s="2"/>
      <c r="H164" s="5"/>
      <c r="J164" s="7"/>
      <c r="K164" s="6"/>
      <c r="L164" s="6"/>
      <c r="M164" s="6"/>
      <c r="N164" s="7"/>
      <c r="O164" s="7"/>
    </row>
    <row r="165" spans="1:15" ht="12.75" x14ac:dyDescent="0.2">
      <c r="B165" s="15"/>
      <c r="D165" s="2"/>
      <c r="E165" s="2"/>
      <c r="F165" s="2"/>
      <c r="G165" s="2"/>
      <c r="H165" s="5"/>
      <c r="J165" s="7"/>
      <c r="K165" s="6"/>
      <c r="L165" s="6"/>
      <c r="M165" s="6"/>
      <c r="N165" s="7"/>
      <c r="O165" s="7"/>
    </row>
    <row r="166" spans="1:15" ht="12.75" x14ac:dyDescent="0.2">
      <c r="D166" s="2"/>
      <c r="E166" s="2"/>
      <c r="F166" s="2"/>
      <c r="G166" s="2"/>
      <c r="H166" s="5"/>
      <c r="J166" s="7"/>
      <c r="K166" s="6"/>
      <c r="L166" s="6"/>
      <c r="M166" s="6"/>
      <c r="N166" s="7"/>
      <c r="O166" s="7"/>
    </row>
    <row r="167" spans="1:15" ht="12.75" x14ac:dyDescent="0.2">
      <c r="D167" s="2"/>
      <c r="E167" s="2"/>
      <c r="F167" s="2"/>
      <c r="G167" s="2"/>
      <c r="H167" s="5"/>
      <c r="J167" s="7"/>
      <c r="K167" s="6"/>
      <c r="L167" s="6"/>
      <c r="M167" s="6"/>
      <c r="N167" s="7"/>
      <c r="O167" s="7"/>
    </row>
    <row r="168" spans="1:15" ht="12.75" x14ac:dyDescent="0.2">
      <c r="O168" s="7"/>
    </row>
    <row r="169" spans="1:15" ht="12.75" x14ac:dyDescent="0.2">
      <c r="O169" s="7"/>
    </row>
    <row r="170" spans="1:15" ht="12.75" x14ac:dyDescent="0.2">
      <c r="E170" s="1"/>
      <c r="F170" s="1" t="s">
        <v>18</v>
      </c>
      <c r="O170" s="7"/>
    </row>
    <row r="171" spans="1:15" ht="12.75" x14ac:dyDescent="0.2">
      <c r="A171" s="1" t="s">
        <v>27</v>
      </c>
      <c r="E171" s="1"/>
      <c r="F171" s="1" t="s">
        <v>19</v>
      </c>
      <c r="G171" s="1" t="s">
        <v>20</v>
      </c>
      <c r="H171" s="6">
        <f>SUM(J156:J159)*SUM(K156:K159)-(SUM(L156:L159))^2</f>
        <v>1171423186.2689743</v>
      </c>
      <c r="O171" s="7"/>
    </row>
    <row r="172" spans="1:15" ht="12.75" x14ac:dyDescent="0.2">
      <c r="A172" s="1" t="s">
        <v>28</v>
      </c>
      <c r="E172" s="1"/>
      <c r="F172" s="1" t="s">
        <v>21</v>
      </c>
      <c r="G172" s="1" t="s">
        <v>22</v>
      </c>
      <c r="H172" s="6">
        <f>(1/H171)*((SUM(J156:J159)*SUM(M156:M159))-(SUM(L156:L159)*SUM(N156:N159)))</f>
        <v>2.3560565958357316E-2</v>
      </c>
      <c r="O172" s="7"/>
    </row>
    <row r="173" spans="1:15" ht="12.75" x14ac:dyDescent="0.2">
      <c r="G173" s="1" t="s">
        <v>23</v>
      </c>
      <c r="H173" s="6">
        <f>SQRT((1/H171)*(SUM(J156:J159)))</f>
        <v>1.368133220428052E-3</v>
      </c>
      <c r="O173" s="7"/>
    </row>
    <row r="174" spans="1:15" ht="12.75" x14ac:dyDescent="0.2">
      <c r="O174" s="7"/>
    </row>
    <row r="175" spans="1:15" ht="12.75" x14ac:dyDescent="0.2">
      <c r="E175" s="1"/>
      <c r="F175" s="1" t="s">
        <v>24</v>
      </c>
      <c r="G175" s="1" t="s">
        <v>20</v>
      </c>
      <c r="H175" s="6">
        <f>SUM(J160:J162)*SUM(K160:K162)-(SUM(L160:L162))^2</f>
        <v>536497758.10638428</v>
      </c>
      <c r="O175" s="7"/>
    </row>
    <row r="176" spans="1:15" ht="12.75" x14ac:dyDescent="0.2">
      <c r="E176" s="1"/>
      <c r="F176" s="1" t="s">
        <v>21</v>
      </c>
      <c r="G176" s="1" t="s">
        <v>22</v>
      </c>
      <c r="H176" s="6">
        <f>(1/H175)*((SUM(J160:J162)*SUM(M160:M162))-(SUM(L160:L162)*SUM(N160:N162)))</f>
        <v>3.9425702336554055E-2</v>
      </c>
    </row>
    <row r="177" spans="1:14" ht="12.75" x14ac:dyDescent="0.2">
      <c r="G177" s="1" t="s">
        <v>23</v>
      </c>
      <c r="H177" s="6">
        <f>SQRT((1/H175)*(SUM(J160:J162)))</f>
        <v>1.7795135690046085E-3</v>
      </c>
    </row>
    <row r="178" spans="1:14" ht="12.75" x14ac:dyDescent="0.2">
      <c r="G178" s="18"/>
      <c r="H178" s="19"/>
      <c r="I178" s="19"/>
      <c r="J178" s="16"/>
    </row>
    <row r="179" spans="1:14" ht="12.75" x14ac:dyDescent="0.2">
      <c r="A179" s="1" t="s">
        <v>38</v>
      </c>
      <c r="B179" s="13"/>
      <c r="D179" s="21"/>
      <c r="E179" s="1"/>
      <c r="I179" s="1" t="s">
        <v>34</v>
      </c>
    </row>
    <row r="180" spans="1:14" ht="114.75" x14ac:dyDescent="0.2">
      <c r="A180" s="1" t="s">
        <v>4</v>
      </c>
      <c r="B180" s="3" t="s">
        <v>5</v>
      </c>
      <c r="C180" s="1" t="s">
        <v>6</v>
      </c>
      <c r="D180" s="2" t="s">
        <v>7</v>
      </c>
      <c r="E180" s="3" t="s">
        <v>8</v>
      </c>
      <c r="F180" s="1" t="s">
        <v>9</v>
      </c>
      <c r="G180" s="1" t="s">
        <v>10</v>
      </c>
      <c r="H180" s="1" t="s">
        <v>11</v>
      </c>
      <c r="I180" s="1" t="s">
        <v>12</v>
      </c>
      <c r="J180" s="1" t="s">
        <v>13</v>
      </c>
      <c r="K180" s="1" t="s">
        <v>14</v>
      </c>
      <c r="L180" s="1" t="s">
        <v>15</v>
      </c>
      <c r="M180" s="1" t="s">
        <v>16</v>
      </c>
      <c r="N180" s="1" t="s">
        <v>17</v>
      </c>
    </row>
    <row r="181" spans="1:14" ht="12.75" x14ac:dyDescent="0.2">
      <c r="A181" s="1">
        <v>1</v>
      </c>
      <c r="B181" s="4">
        <v>63.7</v>
      </c>
      <c r="C181" s="1">
        <v>18</v>
      </c>
      <c r="D181" s="2">
        <f t="shared" ref="D181:D187" si="81">SQRT(C181)</f>
        <v>4.2426406871192848</v>
      </c>
      <c r="E181" s="2">
        <f>(40/30)*20</f>
        <v>26.666666666666664</v>
      </c>
      <c r="F181" s="2">
        <f t="shared" ref="F181:F187" si="82">C181*E181</f>
        <v>479.99999999999994</v>
      </c>
      <c r="G181" s="2">
        <f t="shared" ref="G181:G187" si="83">D181*E181</f>
        <v>113.13708498984758</v>
      </c>
      <c r="H181" s="5">
        <f t="shared" ref="H181:H187" si="84">LOG10(F181)</f>
        <v>2.6812412373755872</v>
      </c>
      <c r="I181" s="6">
        <f t="shared" ref="I181:I187" si="85">0.434 * G181/F181</f>
        <v>0.10229478101165387</v>
      </c>
      <c r="J181" s="7">
        <f t="shared" ref="J181:J187" si="86">(1/I181^2)</f>
        <v>95.563719764700892</v>
      </c>
      <c r="K181" s="6">
        <f t="shared" ref="K181:K187" si="87">B181^2 * J181</f>
        <v>387767.95005202922</v>
      </c>
      <c r="L181" s="6">
        <f t="shared" ref="L181:L187" si="88">B181 * J181</f>
        <v>6087.4089490114475</v>
      </c>
      <c r="M181" s="6">
        <f t="shared" ref="M181:M187" si="89">B181*H181*J181</f>
        <v>16321.811902858673</v>
      </c>
      <c r="N181" s="7">
        <f t="shared" ref="N181:N187" si="90">H181*J181</f>
        <v>256.2293862301205</v>
      </c>
    </row>
    <row r="182" spans="1:14" ht="12.75" x14ac:dyDescent="0.2">
      <c r="A182" s="8">
        <f t="shared" ref="A182:A187" si="91">A181+1</f>
        <v>2</v>
      </c>
      <c r="B182" s="9">
        <v>97.62</v>
      </c>
      <c r="C182" s="1">
        <v>54</v>
      </c>
      <c r="D182" s="2">
        <f t="shared" si="81"/>
        <v>7.3484692283495345</v>
      </c>
      <c r="E182" s="2">
        <f t="shared" ref="E182:E183" si="92">(40/20) * 20</f>
        <v>40</v>
      </c>
      <c r="F182" s="2">
        <f t="shared" si="82"/>
        <v>2160</v>
      </c>
      <c r="G182" s="2">
        <f t="shared" si="83"/>
        <v>293.9387691339814</v>
      </c>
      <c r="H182" s="5">
        <f t="shared" si="84"/>
        <v>3.3344537511509307</v>
      </c>
      <c r="I182" s="6">
        <f t="shared" si="85"/>
        <v>5.9059919353772188E-2</v>
      </c>
      <c r="J182" s="7">
        <f t="shared" si="86"/>
        <v>286.69115929410265</v>
      </c>
      <c r="K182" s="6">
        <f t="shared" si="87"/>
        <v>2732070.5345197394</v>
      </c>
      <c r="L182" s="6">
        <f t="shared" si="88"/>
        <v>27986.790970290302</v>
      </c>
      <c r="M182" s="6">
        <f t="shared" si="89"/>
        <v>93320.660133561498</v>
      </c>
      <c r="N182" s="7">
        <f t="shared" si="90"/>
        <v>955.95841153002959</v>
      </c>
    </row>
    <row r="183" spans="1:14" ht="12.75" x14ac:dyDescent="0.2">
      <c r="A183" s="8">
        <f t="shared" si="91"/>
        <v>3</v>
      </c>
      <c r="B183" s="10">
        <v>116.7</v>
      </c>
      <c r="C183" s="1">
        <v>168</v>
      </c>
      <c r="D183" s="2">
        <f t="shared" si="81"/>
        <v>12.961481396815721</v>
      </c>
      <c r="E183" s="2">
        <f t="shared" si="92"/>
        <v>40</v>
      </c>
      <c r="F183" s="2">
        <f t="shared" si="82"/>
        <v>6720</v>
      </c>
      <c r="G183" s="2">
        <f t="shared" si="83"/>
        <v>518.45925587262877</v>
      </c>
      <c r="H183" s="5">
        <f t="shared" si="84"/>
        <v>3.8273692730538253</v>
      </c>
      <c r="I183" s="6">
        <f t="shared" si="85"/>
        <v>3.3483826941773938E-2</v>
      </c>
      <c r="J183" s="7">
        <f t="shared" si="86"/>
        <v>891.92805113720863</v>
      </c>
      <c r="K183" s="6">
        <f t="shared" si="87"/>
        <v>12147070.01635202</v>
      </c>
      <c r="L183" s="6">
        <f t="shared" si="88"/>
        <v>104088.00356771225</v>
      </c>
      <c r="M183" s="6">
        <f t="shared" si="89"/>
        <v>398383.22654857882</v>
      </c>
      <c r="N183" s="7">
        <f t="shared" si="90"/>
        <v>3413.7380166973335</v>
      </c>
    </row>
    <row r="184" spans="1:14" ht="12.75" x14ac:dyDescent="0.2">
      <c r="A184" s="8">
        <f t="shared" si="91"/>
        <v>4</v>
      </c>
      <c r="B184" s="11">
        <v>142.65</v>
      </c>
      <c r="C184" s="1">
        <v>17</v>
      </c>
      <c r="D184" s="2">
        <f t="shared" si="81"/>
        <v>4.1231056256176606</v>
      </c>
      <c r="E184" s="2">
        <f>(1/4)*10000</f>
        <v>2500</v>
      </c>
      <c r="F184" s="2">
        <f t="shared" si="82"/>
        <v>42500</v>
      </c>
      <c r="G184" s="2">
        <f t="shared" si="83"/>
        <v>10307.764064044151</v>
      </c>
      <c r="H184" s="5">
        <f t="shared" si="84"/>
        <v>4.6283889300503116</v>
      </c>
      <c r="I184" s="6">
        <f t="shared" si="85"/>
        <v>0.10526046126576852</v>
      </c>
      <c r="J184" s="7">
        <f t="shared" si="86"/>
        <v>90.254624222217487</v>
      </c>
      <c r="K184" s="6">
        <f t="shared" si="87"/>
        <v>1836593.3790269489</v>
      </c>
      <c r="L184" s="6">
        <f t="shared" si="88"/>
        <v>12874.822145299326</v>
      </c>
      <c r="M184" s="6">
        <f t="shared" si="89"/>
        <v>59589.684293670005</v>
      </c>
      <c r="N184" s="7">
        <f t="shared" si="90"/>
        <v>417.73350363596211</v>
      </c>
    </row>
    <row r="185" spans="1:14" ht="12.75" x14ac:dyDescent="0.2">
      <c r="A185" s="8">
        <f t="shared" si="91"/>
        <v>5</v>
      </c>
      <c r="B185" s="10">
        <v>168.87</v>
      </c>
      <c r="C185" s="1">
        <f>19+18</f>
        <v>37</v>
      </c>
      <c r="D185" s="2">
        <f t="shared" si="81"/>
        <v>6.0827625302982193</v>
      </c>
      <c r="E185" s="2">
        <f>(1/2)*10000</f>
        <v>5000</v>
      </c>
      <c r="F185" s="2">
        <f t="shared" si="82"/>
        <v>185000</v>
      </c>
      <c r="G185" s="2">
        <f t="shared" si="83"/>
        <v>30413.812651491098</v>
      </c>
      <c r="H185" s="5">
        <f t="shared" si="84"/>
        <v>5.2671717284030137</v>
      </c>
      <c r="I185" s="6">
        <f t="shared" si="85"/>
        <v>7.134916049052506E-2</v>
      </c>
      <c r="J185" s="7">
        <f t="shared" si="86"/>
        <v>196.43653507188517</v>
      </c>
      <c r="K185" s="6">
        <f t="shared" si="87"/>
        <v>5601795.7766144965</v>
      </c>
      <c r="L185" s="6">
        <f t="shared" si="88"/>
        <v>33172.237677589248</v>
      </c>
      <c r="M185" s="6">
        <f t="shared" si="89"/>
        <v>174723.87246326334</v>
      </c>
      <c r="N185" s="7">
        <f t="shared" si="90"/>
        <v>1034.6649639560806</v>
      </c>
    </row>
    <row r="186" spans="1:14" ht="12.75" x14ac:dyDescent="0.2">
      <c r="A186" s="8">
        <f t="shared" si="91"/>
        <v>6</v>
      </c>
      <c r="B186" s="10">
        <v>193.04</v>
      </c>
      <c r="C186" s="1">
        <v>161</v>
      </c>
      <c r="D186" s="2">
        <f t="shared" si="81"/>
        <v>12.68857754044952</v>
      </c>
      <c r="E186" s="2">
        <v>10000</v>
      </c>
      <c r="F186" s="2">
        <f t="shared" si="82"/>
        <v>1610000</v>
      </c>
      <c r="G186" s="2">
        <f t="shared" si="83"/>
        <v>126885.7754044952</v>
      </c>
      <c r="H186" s="5">
        <f t="shared" si="84"/>
        <v>6.20682587603185</v>
      </c>
      <c r="I186" s="6">
        <f t="shared" si="85"/>
        <v>3.4203991630776968E-2</v>
      </c>
      <c r="J186" s="7">
        <f t="shared" si="86"/>
        <v>854.76438233982446</v>
      </c>
      <c r="K186" s="6">
        <f t="shared" si="87"/>
        <v>31852317.407462459</v>
      </c>
      <c r="L186" s="6">
        <f t="shared" si="88"/>
        <v>165003.7163668797</v>
      </c>
      <c r="M186" s="6">
        <f t="shared" si="89"/>
        <v>1024149.336387369</v>
      </c>
      <c r="N186" s="7">
        <f t="shared" si="90"/>
        <v>5305.3736862172045</v>
      </c>
    </row>
    <row r="187" spans="1:14" ht="12.75" x14ac:dyDescent="0.2">
      <c r="A187" s="8">
        <f t="shared" si="91"/>
        <v>7</v>
      </c>
      <c r="B187" s="11">
        <v>211.24</v>
      </c>
      <c r="C187" s="1">
        <v>117</v>
      </c>
      <c r="D187" s="2">
        <f t="shared" si="81"/>
        <v>10.816653826391969</v>
      </c>
      <c r="E187" s="2">
        <f>(16/2) * 10000</f>
        <v>80000</v>
      </c>
      <c r="F187" s="2">
        <f t="shared" si="82"/>
        <v>9360000</v>
      </c>
      <c r="G187" s="2">
        <f t="shared" si="83"/>
        <v>865332.30611135752</v>
      </c>
      <c r="H187" s="5">
        <f t="shared" si="84"/>
        <v>6.971275848738105</v>
      </c>
      <c r="I187" s="6">
        <f t="shared" si="85"/>
        <v>4.0123314193624908E-2</v>
      </c>
      <c r="J187" s="7">
        <f t="shared" si="86"/>
        <v>621.16417847055573</v>
      </c>
      <c r="K187" s="6">
        <f t="shared" si="87"/>
        <v>27717797.676739793</v>
      </c>
      <c r="L187" s="6">
        <f t="shared" si="88"/>
        <v>131214.72106012021</v>
      </c>
      <c r="M187" s="6">
        <f t="shared" si="89"/>
        <v>914734.01592532312</v>
      </c>
      <c r="N187" s="7">
        <f t="shared" si="90"/>
        <v>4330.3068354730312</v>
      </c>
    </row>
    <row r="188" spans="1:14" ht="12.75" x14ac:dyDescent="0.2">
      <c r="B188" s="10"/>
      <c r="D188" s="2"/>
      <c r="E188" s="2"/>
      <c r="F188" s="2"/>
      <c r="G188" s="2"/>
      <c r="H188" s="5"/>
      <c r="J188" s="7"/>
      <c r="K188" s="6"/>
      <c r="L188" s="6"/>
      <c r="M188" s="6"/>
      <c r="N188" s="7"/>
    </row>
    <row r="189" spans="1:14" ht="15" x14ac:dyDescent="0.25">
      <c r="A189" s="20"/>
      <c r="B189" s="12"/>
      <c r="D189" s="2"/>
      <c r="E189" s="2"/>
      <c r="F189" s="2"/>
      <c r="G189" s="2"/>
      <c r="H189" s="5"/>
      <c r="J189" s="7"/>
      <c r="K189" s="6"/>
      <c r="L189" s="6"/>
      <c r="M189" s="6"/>
      <c r="N189" s="7"/>
    </row>
    <row r="190" spans="1:14" ht="12.75" x14ac:dyDescent="0.2">
      <c r="B190" s="15"/>
      <c r="D190" s="2"/>
      <c r="E190" s="2"/>
      <c r="F190" s="2"/>
      <c r="G190" s="2"/>
      <c r="H190" s="5"/>
      <c r="J190" s="7"/>
      <c r="K190" s="6"/>
      <c r="L190" s="6"/>
      <c r="M190" s="6"/>
      <c r="N190" s="7"/>
    </row>
    <row r="191" spans="1:14" ht="12.75" x14ac:dyDescent="0.2">
      <c r="D191" s="2"/>
      <c r="E191" s="2"/>
      <c r="F191" s="2"/>
      <c r="G191" s="2"/>
      <c r="H191" s="5"/>
      <c r="J191" s="7"/>
      <c r="K191" s="6"/>
      <c r="L191" s="6"/>
      <c r="M191" s="6"/>
      <c r="N191" s="7"/>
    </row>
    <row r="192" spans="1:14" ht="12.75" x14ac:dyDescent="0.2">
      <c r="D192" s="2"/>
      <c r="E192" s="2"/>
      <c r="F192" s="2"/>
      <c r="G192" s="2"/>
      <c r="H192" s="5"/>
      <c r="J192" s="7"/>
      <c r="K192" s="6"/>
      <c r="L192" s="6"/>
      <c r="M192" s="6"/>
      <c r="N192" s="7"/>
    </row>
    <row r="195" spans="1:10" ht="12.75" x14ac:dyDescent="0.2">
      <c r="E195" s="1"/>
      <c r="F195" s="1" t="s">
        <v>18</v>
      </c>
    </row>
    <row r="196" spans="1:10" ht="12.75" x14ac:dyDescent="0.2">
      <c r="A196" s="1" t="s">
        <v>27</v>
      </c>
      <c r="E196" s="1"/>
      <c r="F196" s="1" t="s">
        <v>19</v>
      </c>
      <c r="G196" s="1" t="s">
        <v>20</v>
      </c>
      <c r="H196" s="6">
        <f>SUM(J181:J184)*SUM(K181:K184)-(SUM(L181:L184))^2</f>
        <v>524477165.21151352</v>
      </c>
    </row>
    <row r="197" spans="1:10" ht="12.75" x14ac:dyDescent="0.2">
      <c r="A197" s="1" t="s">
        <v>28</v>
      </c>
      <c r="E197" s="1"/>
      <c r="F197" s="1" t="s">
        <v>21</v>
      </c>
      <c r="G197" s="1" t="s">
        <v>22</v>
      </c>
      <c r="H197" s="6">
        <f>(1/H196)*((SUM(J181:J184)*SUM(M181:M184))-(SUM(L181:L184)*SUM(N181:N184)))</f>
        <v>2.4207809223653023E-2</v>
      </c>
    </row>
    <row r="198" spans="1:10" ht="12.75" x14ac:dyDescent="0.2">
      <c r="G198" s="1" t="s">
        <v>23</v>
      </c>
      <c r="H198" s="6">
        <f>SQRT((1/H196)*(SUM(J181:J184)))</f>
        <v>1.6129226470382315E-3</v>
      </c>
    </row>
    <row r="200" spans="1:10" ht="12.75" x14ac:dyDescent="0.2">
      <c r="E200" s="1"/>
      <c r="F200" s="1" t="s">
        <v>24</v>
      </c>
      <c r="G200" s="1" t="s">
        <v>20</v>
      </c>
      <c r="H200" s="6">
        <f>SUM(J185:J187)*SUM(K185:K187)-(SUM(L185:L187))^2</f>
        <v>493012109.7232666</v>
      </c>
    </row>
    <row r="201" spans="1:10" ht="12.75" x14ac:dyDescent="0.2">
      <c r="E201" s="1"/>
      <c r="F201" s="1" t="s">
        <v>21</v>
      </c>
      <c r="G201" s="1" t="s">
        <v>22</v>
      </c>
      <c r="H201" s="6">
        <f>(1/H200)*((SUM(J185:J187)*SUM(M185:M187))-(SUM(L185:L187)*SUM(N185:N187)))</f>
        <v>4.0588548656292994E-2</v>
      </c>
    </row>
    <row r="202" spans="1:10" ht="12.75" x14ac:dyDescent="0.2">
      <c r="G202" s="1" t="s">
        <v>23</v>
      </c>
      <c r="H202" s="6">
        <f>SQRT((1/H200)*(SUM(J185:J187)))</f>
        <v>1.8417757647463189E-3</v>
      </c>
    </row>
    <row r="203" spans="1:10" ht="12.75" x14ac:dyDescent="0.2">
      <c r="G203" s="18"/>
      <c r="H203" s="19"/>
      <c r="I203" s="19"/>
      <c r="J203" s="16"/>
    </row>
    <row r="205" spans="1:10" ht="12.75" x14ac:dyDescent="0.2">
      <c r="A205" s="22" t="s">
        <v>39</v>
      </c>
      <c r="B205" s="23"/>
      <c r="C205" s="23"/>
      <c r="D205" s="24" t="s">
        <v>40</v>
      </c>
      <c r="E205" s="25"/>
      <c r="F205" s="24" t="s">
        <v>41</v>
      </c>
      <c r="G205" s="25"/>
      <c r="H205" s="23"/>
      <c r="I205" s="23"/>
    </row>
    <row r="206" spans="1:10" ht="12.75" x14ac:dyDescent="0.2">
      <c r="A206" s="23"/>
      <c r="B206" s="23"/>
      <c r="C206" s="23"/>
      <c r="D206" s="22" t="s">
        <v>42</v>
      </c>
      <c r="E206" s="23"/>
      <c r="F206" s="23"/>
      <c r="G206" s="23"/>
      <c r="H206" s="23"/>
      <c r="I206" s="23"/>
    </row>
    <row r="207" spans="1:10" ht="12.75" x14ac:dyDescent="0.2">
      <c r="A207" s="22" t="s">
        <v>43</v>
      </c>
      <c r="B207" s="23"/>
      <c r="C207" s="23"/>
      <c r="D207" s="23"/>
      <c r="E207" s="23"/>
      <c r="F207" s="23"/>
      <c r="G207" s="23"/>
      <c r="H207" s="23"/>
      <c r="I207" s="23"/>
    </row>
    <row r="208" spans="1:10" ht="12.75" x14ac:dyDescent="0.2">
      <c r="A208" s="25" t="s">
        <v>44</v>
      </c>
      <c r="B208" s="25" t="s">
        <v>45</v>
      </c>
      <c r="C208" s="25" t="s">
        <v>46</v>
      </c>
      <c r="D208" s="25" t="s">
        <v>47</v>
      </c>
      <c r="E208" s="25" t="s">
        <v>46</v>
      </c>
      <c r="F208" s="25" t="s">
        <v>48</v>
      </c>
      <c r="G208" s="25" t="s">
        <v>46</v>
      </c>
      <c r="H208" s="26" t="s">
        <v>49</v>
      </c>
      <c r="I208" s="25" t="s">
        <v>50</v>
      </c>
    </row>
    <row r="209" spans="1:9" ht="12.75" x14ac:dyDescent="0.2">
      <c r="A209" s="27" t="s">
        <v>51</v>
      </c>
      <c r="B209" s="28">
        <f ca="1">OFFSET(H22,0,0)</f>
        <v>1.3436861623624438E-2</v>
      </c>
      <c r="C209" s="29">
        <f ca="1">OFFSET(H22,1,0)</f>
        <v>1.1500915707018445E-3</v>
      </c>
      <c r="D209" s="29">
        <f ca="1">OFFSET(H22,4,0)</f>
        <v>2.7340861467030488E-2</v>
      </c>
      <c r="E209" s="29">
        <f ca="1">OFFSET(H22,5,0)</f>
        <v>8.5326756853215137E-4</v>
      </c>
      <c r="F209" s="30">
        <f t="shared" ref="F209:F216" ca="1" si="93">D209/B209</f>
        <v>2.0347654260992236</v>
      </c>
      <c r="G209" s="31">
        <f t="shared" ref="G209:G216" ca="1" si="94">F209* SQRT(((E209/D209)^2 + (C209/B209)^2))</f>
        <v>0.18537605178971642</v>
      </c>
      <c r="H209" s="32">
        <f t="shared" ref="H209:H216" ca="1" si="95">D209-B209</f>
        <v>1.390399984340605E-2</v>
      </c>
      <c r="I209" s="32">
        <f t="shared" ref="I209:I216" ca="1" si="96">SQRT(C209^2 +E209^2)</f>
        <v>1.432053129080135E-3</v>
      </c>
    </row>
    <row r="210" spans="1:9" ht="12.75" x14ac:dyDescent="0.2">
      <c r="A210" s="22" t="s">
        <v>52</v>
      </c>
      <c r="B210" s="28">
        <f ca="1">OFFSET(H47,0,0)</f>
        <v>1.2212970540980934E-2</v>
      </c>
      <c r="C210" s="29">
        <f ca="1">OFFSET(H47,1,0)</f>
        <v>3.4998962970225658E-4</v>
      </c>
      <c r="D210" s="29">
        <f ca="1">OFFSET(H47,4,0)</f>
        <v>2.2120949682456641E-2</v>
      </c>
      <c r="E210" s="29">
        <f ca="1">OFFSET(H47,5,0)</f>
        <v>9.8816944670544879E-4</v>
      </c>
      <c r="F210" s="30">
        <f t="shared" ca="1" si="93"/>
        <v>1.8112669320071828</v>
      </c>
      <c r="G210" s="31">
        <f t="shared" ca="1" si="94"/>
        <v>9.6129517249730581E-2</v>
      </c>
      <c r="H210" s="32">
        <f t="shared" ca="1" si="95"/>
        <v>9.9079791414757069E-3</v>
      </c>
      <c r="I210" s="32">
        <f t="shared" ca="1" si="96"/>
        <v>1.0483184612994638E-3</v>
      </c>
    </row>
    <row r="211" spans="1:9" ht="12.75" x14ac:dyDescent="0.2">
      <c r="A211" s="22" t="s">
        <v>53</v>
      </c>
      <c r="B211" s="28">
        <f ca="1">OFFSET(H72,0,0)</f>
        <v>2.2688616775636637E-2</v>
      </c>
      <c r="C211" s="29">
        <f ca="1">OFFSET(H72,1,0)</f>
        <v>1.2931167045103667E-3</v>
      </c>
      <c r="D211" s="29">
        <f ca="1">OFFSET(H72,4,0)</f>
        <v>2.3300250446185135E-2</v>
      </c>
      <c r="E211" s="29">
        <f ca="1">OFFSET(H72,5,0)</f>
        <v>1.6233824669278274E-3</v>
      </c>
      <c r="F211" s="30">
        <f t="shared" ca="1" si="93"/>
        <v>1.0269577328841519</v>
      </c>
      <c r="G211" s="31">
        <f t="shared" ca="1" si="94"/>
        <v>9.2440780015560151E-2</v>
      </c>
      <c r="H211" s="32">
        <f t="shared" ca="1" si="95"/>
        <v>6.1163367054849899E-4</v>
      </c>
      <c r="I211" s="32">
        <f t="shared" ca="1" si="96"/>
        <v>2.0754569244897446E-3</v>
      </c>
    </row>
    <row r="212" spans="1:9" ht="12.75" x14ac:dyDescent="0.2">
      <c r="A212" s="22" t="s">
        <v>54</v>
      </c>
      <c r="B212" s="28">
        <f ca="1">OFFSET(H97,0,0)</f>
        <v>2.4983285749287151E-2</v>
      </c>
      <c r="C212" s="29">
        <f ca="1">OFFSET(H97,1,0)</f>
        <v>8.2823235320363304E-4</v>
      </c>
      <c r="D212" s="29">
        <f ca="1">OFFSET(H97,4,0)</f>
        <v>3.2441149239699825E-2</v>
      </c>
      <c r="E212" s="29">
        <f ca="1">OFFSET(H97,5,0)</f>
        <v>4.0511385597212955E-3</v>
      </c>
      <c r="F212" s="30">
        <f t="shared" ca="1" si="93"/>
        <v>1.2985141172083607</v>
      </c>
      <c r="G212" s="31">
        <f t="shared" ca="1" si="94"/>
        <v>0.16777068782912394</v>
      </c>
      <c r="H212" s="32">
        <f t="shared" ca="1" si="95"/>
        <v>7.4578634904126744E-3</v>
      </c>
      <c r="I212" s="32">
        <f t="shared" ca="1" si="96"/>
        <v>4.1349356054180527E-3</v>
      </c>
    </row>
    <row r="213" spans="1:9" ht="12.75" x14ac:dyDescent="0.2">
      <c r="A213" s="22" t="s">
        <v>55</v>
      </c>
      <c r="B213" s="28">
        <f ca="1">OFFSET(H122,0,0)</f>
        <v>2.9223260566270046E-2</v>
      </c>
      <c r="C213" s="29">
        <f ca="1">OFFSET(H122,1,0)</f>
        <v>1.8700766109518319E-3</v>
      </c>
      <c r="D213" s="29">
        <f ca="1">OFFSET(H122,4,0)</f>
        <v>3.1501408357077681E-2</v>
      </c>
      <c r="E213" s="29">
        <f ca="1">OFFSET(H122,5,0)</f>
        <v>1.3848267021662499E-3</v>
      </c>
      <c r="F213" s="30">
        <f t="shared" ca="1" si="93"/>
        <v>1.077956660094155</v>
      </c>
      <c r="G213" s="31">
        <f t="shared" ca="1" si="94"/>
        <v>8.3690141889061501E-2</v>
      </c>
      <c r="H213" s="32">
        <f t="shared" ca="1" si="95"/>
        <v>2.2781477908076359E-3</v>
      </c>
      <c r="I213" s="32">
        <f t="shared" ca="1" si="96"/>
        <v>2.327000542729146E-3</v>
      </c>
    </row>
    <row r="214" spans="1:9" ht="12.75" x14ac:dyDescent="0.2">
      <c r="A214" s="22" t="s">
        <v>56</v>
      </c>
      <c r="B214" s="28">
        <f ca="1">OFFSET(H147,0,0)</f>
        <v>2.0165145058847211E-2</v>
      </c>
      <c r="C214" s="29">
        <f ca="1">OFFSET(H147,1,0)</f>
        <v>9.4812482905899133E-4</v>
      </c>
      <c r="D214" s="29">
        <f ca="1">OFFSET(H147,4,0)</f>
        <v>2.644200200547521E-2</v>
      </c>
      <c r="E214" s="29">
        <f ca="1">OFFSET(H147,5,0)</f>
        <v>1.8493183585242109E-3</v>
      </c>
      <c r="F214" s="30">
        <f t="shared" ca="1" si="93"/>
        <v>1.3112725908150165</v>
      </c>
      <c r="G214" s="31">
        <f t="shared" ca="1" si="94"/>
        <v>0.11050620571462214</v>
      </c>
      <c r="H214" s="32">
        <f t="shared" ca="1" si="95"/>
        <v>6.276856946627999E-3</v>
      </c>
      <c r="I214" s="32">
        <f t="shared" ca="1" si="96"/>
        <v>2.0782009245144759E-3</v>
      </c>
    </row>
    <row r="215" spans="1:9" ht="12.75" x14ac:dyDescent="0.2">
      <c r="A215" s="22" t="s">
        <v>57</v>
      </c>
      <c r="B215" s="28">
        <f ca="1">OFFSET(H172,0,0)</f>
        <v>2.3560565958357316E-2</v>
      </c>
      <c r="C215" s="29">
        <f ca="1">OFFSET(H172,1,0)</f>
        <v>1.368133220428052E-3</v>
      </c>
      <c r="D215" s="29">
        <f ca="1">OFFSET(H172,4,0)</f>
        <v>3.9425702336554055E-2</v>
      </c>
      <c r="E215" s="29">
        <f ca="1">OFFSET(H172,5,0)</f>
        <v>1.7795135690046085E-3</v>
      </c>
      <c r="F215" s="30">
        <f t="shared" ca="1" si="93"/>
        <v>1.673376709466061</v>
      </c>
      <c r="G215" s="31">
        <f t="shared" ca="1" si="94"/>
        <v>0.12307261849336897</v>
      </c>
      <c r="H215" s="32">
        <f t="shared" ca="1" si="95"/>
        <v>1.586513637819674E-2</v>
      </c>
      <c r="I215" s="32">
        <f t="shared" ca="1" si="96"/>
        <v>2.2446507637292603E-3</v>
      </c>
    </row>
    <row r="216" spans="1:9" ht="12.75" x14ac:dyDescent="0.2">
      <c r="A216" s="22" t="s">
        <v>58</v>
      </c>
      <c r="B216" s="28">
        <f ca="1">OFFSET(H197,0,0)</f>
        <v>2.4207809223653023E-2</v>
      </c>
      <c r="C216" s="29">
        <f ca="1">OFFSET(H197,1,0)</f>
        <v>1.6129226470382315E-3</v>
      </c>
      <c r="D216" s="29">
        <f ca="1">OFFSET(H197,4,0)</f>
        <v>4.0588548656292994E-2</v>
      </c>
      <c r="E216" s="29">
        <f ca="1">OFFSET(H197,5,0)</f>
        <v>1.8417757647463189E-3</v>
      </c>
      <c r="F216" s="30">
        <f t="shared" ca="1" si="93"/>
        <v>1.6766717004955012</v>
      </c>
      <c r="G216" s="31">
        <f t="shared" ca="1" si="94"/>
        <v>0.13516058567216846</v>
      </c>
      <c r="H216" s="32">
        <f t="shared" ca="1" si="95"/>
        <v>1.6380739432639971E-2</v>
      </c>
      <c r="I216" s="32">
        <f t="shared" ca="1" si="96"/>
        <v>2.4481947293742185E-3</v>
      </c>
    </row>
    <row r="219" spans="1:9" ht="15.75" customHeight="1" x14ac:dyDescent="0.2">
      <c r="C219" t="s">
        <v>59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</cp:lastModifiedBy>
  <dcterms:created xsi:type="dcterms:W3CDTF">2021-12-14T02:24:27Z</dcterms:created>
  <dcterms:modified xsi:type="dcterms:W3CDTF">2022-01-16T23:33:05Z</dcterms:modified>
</cp:coreProperties>
</file>