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arl\Downloads\"/>
    </mc:Choice>
  </mc:AlternateContent>
  <xr:revisionPtr revIDLastSave="0" documentId="13_ncr:1_{671CF6E0-EE13-40E6-A77A-E25ED344E4CB}" xr6:coauthVersionLast="47" xr6:coauthVersionMax="47" xr10:uidLastSave="{00000000-0000-0000-0000-000000000000}"/>
  <bookViews>
    <workbookView xWindow="-120" yWindow="-120" windowWidth="20730" windowHeight="11160" xr2:uid="{FBC348C3-EAE9-4384-9B48-CD33A0D2B122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1" l="1"/>
  <c r="E280" i="1"/>
  <c r="F280" i="1" s="1"/>
  <c r="H280" i="1" s="1"/>
  <c r="E254" i="1"/>
  <c r="F254" i="1" s="1"/>
  <c r="H254" i="1" s="1"/>
  <c r="D254" i="1"/>
  <c r="D229" i="1"/>
  <c r="D204" i="1"/>
  <c r="E178" i="1"/>
  <c r="F178" i="1" s="1"/>
  <c r="H178" i="1" s="1"/>
  <c r="D178" i="1"/>
  <c r="G254" i="1" l="1"/>
  <c r="I254" i="1" s="1"/>
  <c r="G280" i="1"/>
  <c r="I280" i="1" s="1"/>
  <c r="G178" i="1"/>
  <c r="I178" i="1" s="1"/>
  <c r="A271" i="1"/>
  <c r="E271" i="1" s="1"/>
  <c r="E270" i="1"/>
  <c r="C270" i="1"/>
  <c r="D270" i="1" s="1"/>
  <c r="A245" i="1"/>
  <c r="C245" i="1" s="1"/>
  <c r="E244" i="1"/>
  <c r="C244" i="1"/>
  <c r="D244" i="1" s="1"/>
  <c r="A220" i="1"/>
  <c r="A221" i="1" s="1"/>
  <c r="E219" i="1"/>
  <c r="C219" i="1"/>
  <c r="D219" i="1" s="1"/>
  <c r="A195" i="1"/>
  <c r="C195" i="1" s="1"/>
  <c r="E194" i="1"/>
  <c r="C194" i="1"/>
  <c r="D194" i="1" s="1"/>
  <c r="A170" i="1"/>
  <c r="A171" i="1" s="1"/>
  <c r="E169" i="1"/>
  <c r="C169" i="1"/>
  <c r="D169" i="1" s="1"/>
  <c r="E152" i="1"/>
  <c r="C152" i="1"/>
  <c r="B152" i="1"/>
  <c r="C151" i="1"/>
  <c r="D151" i="1" s="1"/>
  <c r="B151" i="1"/>
  <c r="A142" i="1"/>
  <c r="A143" i="1" s="1"/>
  <c r="E141" i="1"/>
  <c r="C141" i="1"/>
  <c r="C121" i="1"/>
  <c r="B121" i="1"/>
  <c r="C120" i="1"/>
  <c r="B120" i="1"/>
  <c r="A111" i="1"/>
  <c r="A112" i="1" s="1"/>
  <c r="C110" i="1"/>
  <c r="E105" i="1"/>
  <c r="E101" i="1"/>
  <c r="E100" i="1"/>
  <c r="E99" i="1"/>
  <c r="E98" i="1"/>
  <c r="E97" i="1"/>
  <c r="C96" i="1"/>
  <c r="E151" i="1" s="1"/>
  <c r="C92" i="1"/>
  <c r="E92" i="1" s="1"/>
  <c r="C91" i="1"/>
  <c r="E91" i="1" s="1"/>
  <c r="E90" i="1"/>
  <c r="E89" i="1"/>
  <c r="E88" i="1"/>
  <c r="C87" i="1"/>
  <c r="E87" i="1" s="1"/>
  <c r="C83" i="1"/>
  <c r="E83" i="1" s="1"/>
  <c r="C82" i="1"/>
  <c r="E82" i="1" s="1"/>
  <c r="C81" i="1"/>
  <c r="E81" i="1" s="1"/>
  <c r="E80" i="1"/>
  <c r="C79" i="1"/>
  <c r="E79" i="1" s="1"/>
  <c r="E78" i="1"/>
  <c r="C74" i="1"/>
  <c r="E74" i="1" s="1"/>
  <c r="C73" i="1"/>
  <c r="E73" i="1" s="1"/>
  <c r="E72" i="1"/>
  <c r="E71" i="1"/>
  <c r="E70" i="1"/>
  <c r="E69" i="1"/>
  <c r="E65" i="1"/>
  <c r="E64" i="1"/>
  <c r="E63" i="1"/>
  <c r="E62" i="1"/>
  <c r="E61" i="1"/>
  <c r="E60" i="1"/>
  <c r="E56" i="1"/>
  <c r="E55" i="1"/>
  <c r="E54" i="1"/>
  <c r="E53" i="1"/>
  <c r="E52" i="1"/>
  <c r="E51" i="1"/>
  <c r="E47" i="1"/>
  <c r="E46" i="1"/>
  <c r="E45" i="1"/>
  <c r="E44" i="1"/>
  <c r="E43" i="1"/>
  <c r="E42" i="1"/>
  <c r="E38" i="1"/>
  <c r="E37" i="1"/>
  <c r="E36" i="1"/>
  <c r="E35" i="1"/>
  <c r="E34" i="1"/>
  <c r="E33" i="1"/>
  <c r="E29" i="1"/>
  <c r="E28" i="1"/>
  <c r="E27" i="1"/>
  <c r="E26" i="1"/>
  <c r="E25" i="1"/>
  <c r="E24" i="1"/>
  <c r="E20" i="1"/>
  <c r="E19" i="1"/>
  <c r="E18" i="1"/>
  <c r="E17" i="1"/>
  <c r="E16" i="1"/>
  <c r="E15" i="1"/>
  <c r="E11" i="1"/>
  <c r="E10" i="1"/>
  <c r="E9" i="1"/>
  <c r="E8" i="1"/>
  <c r="E7" i="1"/>
  <c r="E6" i="1"/>
  <c r="E195" i="1" l="1"/>
  <c r="F195" i="1" s="1"/>
  <c r="H195" i="1" s="1"/>
  <c r="A196" i="1"/>
  <c r="A197" i="1" s="1"/>
  <c r="C197" i="1" s="1"/>
  <c r="D197" i="1" s="1"/>
  <c r="A272" i="1"/>
  <c r="A273" i="1" s="1"/>
  <c r="E273" i="1" s="1"/>
  <c r="C170" i="1"/>
  <c r="D170" i="1" s="1"/>
  <c r="A113" i="1"/>
  <c r="C112" i="1"/>
  <c r="E112" i="1" s="1"/>
  <c r="G112" i="1" s="1"/>
  <c r="A198" i="1"/>
  <c r="E197" i="1"/>
  <c r="C221" i="1"/>
  <c r="D221" i="1" s="1"/>
  <c r="A222" i="1"/>
  <c r="E221" i="1"/>
  <c r="A144" i="1"/>
  <c r="E143" i="1"/>
  <c r="C143" i="1"/>
  <c r="D143" i="1" s="1"/>
  <c r="C171" i="1"/>
  <c r="D171" i="1" s="1"/>
  <c r="E171" i="1"/>
  <c r="A172" i="1"/>
  <c r="A274" i="1"/>
  <c r="E96" i="1"/>
  <c r="C111" i="1"/>
  <c r="D111" i="1" s="1"/>
  <c r="F111" i="1" s="1"/>
  <c r="C142" i="1"/>
  <c r="D142" i="1" s="1"/>
  <c r="C196" i="1"/>
  <c r="D196" i="1" s="1"/>
  <c r="E245" i="1"/>
  <c r="F245" i="1" s="1"/>
  <c r="H245" i="1" s="1"/>
  <c r="E142" i="1"/>
  <c r="E196" i="1"/>
  <c r="A246" i="1"/>
  <c r="C220" i="1"/>
  <c r="D220" i="1" s="1"/>
  <c r="E220" i="1"/>
  <c r="E170" i="1"/>
  <c r="C271" i="1"/>
  <c r="F271" i="1" s="1"/>
  <c r="H271" i="1" s="1"/>
  <c r="F152" i="1"/>
  <c r="H152" i="1" s="1"/>
  <c r="G169" i="1"/>
  <c r="G270" i="1"/>
  <c r="F169" i="1"/>
  <c r="H169" i="1" s="1"/>
  <c r="D110" i="1"/>
  <c r="F110" i="1" s="1"/>
  <c r="D120" i="1"/>
  <c r="F120" i="1" s="1"/>
  <c r="D121" i="1"/>
  <c r="D152" i="1"/>
  <c r="G152" i="1" s="1"/>
  <c r="F194" i="1"/>
  <c r="H194" i="1" s="1"/>
  <c r="E110" i="1"/>
  <c r="G110" i="1" s="1"/>
  <c r="E120" i="1"/>
  <c r="G120" i="1" s="1"/>
  <c r="E121" i="1"/>
  <c r="G121" i="1" s="1"/>
  <c r="F244" i="1"/>
  <c r="H244" i="1" s="1"/>
  <c r="G151" i="1"/>
  <c r="F151" i="1"/>
  <c r="H151" i="1" s="1"/>
  <c r="G219" i="1"/>
  <c r="F219" i="1"/>
  <c r="H219" i="1" s="1"/>
  <c r="D195" i="1"/>
  <c r="F141" i="1"/>
  <c r="H141" i="1" s="1"/>
  <c r="D141" i="1"/>
  <c r="G141" i="1" s="1"/>
  <c r="G194" i="1"/>
  <c r="G244" i="1"/>
  <c r="D245" i="1"/>
  <c r="F270" i="1"/>
  <c r="F170" i="1" l="1"/>
  <c r="H170" i="1" s="1"/>
  <c r="E272" i="1"/>
  <c r="G220" i="1"/>
  <c r="G171" i="1"/>
  <c r="G195" i="1"/>
  <c r="I195" i="1" s="1"/>
  <c r="L195" i="1" s="1"/>
  <c r="D271" i="1"/>
  <c r="G271" i="1" s="1"/>
  <c r="I271" i="1" s="1"/>
  <c r="L271" i="1" s="1"/>
  <c r="C273" i="1"/>
  <c r="D273" i="1" s="1"/>
  <c r="G273" i="1" s="1"/>
  <c r="F197" i="1"/>
  <c r="H197" i="1" s="1"/>
  <c r="G196" i="1"/>
  <c r="C272" i="1"/>
  <c r="F143" i="1"/>
  <c r="H143" i="1" s="1"/>
  <c r="E111" i="1"/>
  <c r="H111" i="1" s="1"/>
  <c r="D112" i="1"/>
  <c r="F112" i="1" s="1"/>
  <c r="H112" i="1" s="1"/>
  <c r="F221" i="1"/>
  <c r="H221" i="1" s="1"/>
  <c r="G245" i="1"/>
  <c r="I245" i="1" s="1"/>
  <c r="J245" i="1" s="1"/>
  <c r="G142" i="1"/>
  <c r="F142" i="1"/>
  <c r="H142" i="1" s="1"/>
  <c r="G170" i="1"/>
  <c r="F196" i="1"/>
  <c r="H196" i="1" s="1"/>
  <c r="G143" i="1"/>
  <c r="C274" i="1"/>
  <c r="A275" i="1"/>
  <c r="E274" i="1"/>
  <c r="A223" i="1"/>
  <c r="E222" i="1"/>
  <c r="C222" i="1"/>
  <c r="A173" i="1"/>
  <c r="E172" i="1"/>
  <c r="C172" i="1"/>
  <c r="G221" i="1"/>
  <c r="I221" i="1" s="1"/>
  <c r="G197" i="1"/>
  <c r="F220" i="1"/>
  <c r="H220" i="1" s="1"/>
  <c r="A247" i="1"/>
  <c r="E246" i="1"/>
  <c r="C246" i="1"/>
  <c r="C198" i="1"/>
  <c r="E198" i="1"/>
  <c r="A199" i="1"/>
  <c r="F171" i="1"/>
  <c r="H171" i="1" s="1"/>
  <c r="E144" i="1"/>
  <c r="C144" i="1"/>
  <c r="A145" i="1"/>
  <c r="A114" i="1"/>
  <c r="C113" i="1"/>
  <c r="I194" i="1"/>
  <c r="L194" i="1" s="1"/>
  <c r="I152" i="1"/>
  <c r="J152" i="1" s="1"/>
  <c r="M152" i="1" s="1"/>
  <c r="I141" i="1"/>
  <c r="J141" i="1" s="1"/>
  <c r="I169" i="1"/>
  <c r="I244" i="1"/>
  <c r="K244" i="1" s="1"/>
  <c r="I219" i="1"/>
  <c r="K219" i="1" s="1"/>
  <c r="I151" i="1"/>
  <c r="J151" i="1" s="1"/>
  <c r="N151" i="1" s="1"/>
  <c r="F121" i="1"/>
  <c r="H110" i="1"/>
  <c r="H270" i="1"/>
  <c r="I270" i="1"/>
  <c r="H120" i="1"/>
  <c r="I170" i="1" l="1"/>
  <c r="K170" i="1" s="1"/>
  <c r="I197" i="1"/>
  <c r="L197" i="1" s="1"/>
  <c r="F272" i="1"/>
  <c r="H272" i="1" s="1"/>
  <c r="D272" i="1"/>
  <c r="G272" i="1" s="1"/>
  <c r="F273" i="1"/>
  <c r="H273" i="1" s="1"/>
  <c r="G111" i="1"/>
  <c r="I143" i="1"/>
  <c r="J143" i="1" s="1"/>
  <c r="I171" i="1"/>
  <c r="J171" i="1" s="1"/>
  <c r="I220" i="1"/>
  <c r="K220" i="1" s="1"/>
  <c r="I142" i="1"/>
  <c r="J142" i="1" s="1"/>
  <c r="M142" i="1" s="1"/>
  <c r="I196" i="1"/>
  <c r="L196" i="1" s="1"/>
  <c r="D274" i="1"/>
  <c r="G274" i="1" s="1"/>
  <c r="F274" i="1"/>
  <c r="H274" i="1" s="1"/>
  <c r="C114" i="1"/>
  <c r="A115" i="1"/>
  <c r="D246" i="1"/>
  <c r="G246" i="1" s="1"/>
  <c r="F246" i="1"/>
  <c r="H246" i="1" s="1"/>
  <c r="A146" i="1"/>
  <c r="E145" i="1"/>
  <c r="C145" i="1"/>
  <c r="E173" i="1"/>
  <c r="C173" i="1"/>
  <c r="A174" i="1"/>
  <c r="A276" i="1"/>
  <c r="E275" i="1"/>
  <c r="C275" i="1"/>
  <c r="D144" i="1"/>
  <c r="G144" i="1" s="1"/>
  <c r="F144" i="1"/>
  <c r="H144" i="1" s="1"/>
  <c r="C247" i="1"/>
  <c r="A248" i="1"/>
  <c r="E247" i="1"/>
  <c r="D222" i="1"/>
  <c r="G222" i="1" s="1"/>
  <c r="F222" i="1"/>
  <c r="H222" i="1" s="1"/>
  <c r="D198" i="1"/>
  <c r="G198" i="1" s="1"/>
  <c r="F198" i="1"/>
  <c r="H198" i="1" s="1"/>
  <c r="D172" i="1"/>
  <c r="G172" i="1" s="1"/>
  <c r="F172" i="1"/>
  <c r="H172" i="1" s="1"/>
  <c r="A224" i="1"/>
  <c r="E223" i="1"/>
  <c r="C223" i="1"/>
  <c r="E113" i="1"/>
  <c r="G113" i="1" s="1"/>
  <c r="D113" i="1"/>
  <c r="F113" i="1" s="1"/>
  <c r="A200" i="1"/>
  <c r="E199" i="1"/>
  <c r="C199" i="1"/>
  <c r="K271" i="1"/>
  <c r="J271" i="1"/>
  <c r="M271" i="1" s="1"/>
  <c r="J195" i="1"/>
  <c r="N195" i="1" s="1"/>
  <c r="J194" i="1"/>
  <c r="M194" i="1" s="1"/>
  <c r="K194" i="1"/>
  <c r="K195" i="1"/>
  <c r="K141" i="1"/>
  <c r="L141" i="1"/>
  <c r="L152" i="1"/>
  <c r="K152" i="1"/>
  <c r="L151" i="1"/>
  <c r="J219" i="1"/>
  <c r="M219" i="1" s="1"/>
  <c r="L245" i="1"/>
  <c r="K245" i="1"/>
  <c r="L244" i="1"/>
  <c r="J244" i="1"/>
  <c r="N244" i="1" s="1"/>
  <c r="K151" i="1"/>
  <c r="L219" i="1"/>
  <c r="N152" i="1"/>
  <c r="M151" i="1"/>
  <c r="M245" i="1"/>
  <c r="N245" i="1"/>
  <c r="J169" i="1"/>
  <c r="K169" i="1"/>
  <c r="L169" i="1"/>
  <c r="H121" i="1"/>
  <c r="M141" i="1"/>
  <c r="I110" i="1"/>
  <c r="L270" i="1"/>
  <c r="K270" i="1"/>
  <c r="J270" i="1"/>
  <c r="M270" i="1" s="1"/>
  <c r="I111" i="1"/>
  <c r="I112" i="1"/>
  <c r="N141" i="1"/>
  <c r="I120" i="1"/>
  <c r="J221" i="1"/>
  <c r="L221" i="1"/>
  <c r="K221" i="1"/>
  <c r="J170" i="1" l="1"/>
  <c r="M170" i="1" s="1"/>
  <c r="L170" i="1"/>
  <c r="I272" i="1"/>
  <c r="L272" i="1" s="1"/>
  <c r="J197" i="1"/>
  <c r="N197" i="1" s="1"/>
  <c r="K197" i="1"/>
  <c r="K143" i="1"/>
  <c r="L171" i="1"/>
  <c r="K171" i="1"/>
  <c r="K142" i="1"/>
  <c r="L220" i="1"/>
  <c r="J220" i="1"/>
  <c r="N220" i="1" s="1"/>
  <c r="I273" i="1"/>
  <c r="N142" i="1"/>
  <c r="L142" i="1"/>
  <c r="L143" i="1"/>
  <c r="K196" i="1"/>
  <c r="H113" i="1"/>
  <c r="I113" i="1" s="1"/>
  <c r="L113" i="1" s="1"/>
  <c r="J196" i="1"/>
  <c r="M196" i="1" s="1"/>
  <c r="I172" i="1"/>
  <c r="I274" i="1"/>
  <c r="I144" i="1"/>
  <c r="K144" i="1" s="1"/>
  <c r="I198" i="1"/>
  <c r="E200" i="1"/>
  <c r="C200" i="1"/>
  <c r="A201" i="1"/>
  <c r="D275" i="1"/>
  <c r="G275" i="1" s="1"/>
  <c r="F275" i="1"/>
  <c r="H275" i="1" s="1"/>
  <c r="E146" i="1"/>
  <c r="A147" i="1"/>
  <c r="C146" i="1"/>
  <c r="D223" i="1"/>
  <c r="G223" i="1" s="1"/>
  <c r="F223" i="1"/>
  <c r="H223" i="1" s="1"/>
  <c r="I222" i="1"/>
  <c r="A277" i="1"/>
  <c r="E276" i="1"/>
  <c r="C276" i="1"/>
  <c r="I246" i="1"/>
  <c r="C174" i="1"/>
  <c r="A175" i="1"/>
  <c r="E174" i="1"/>
  <c r="A116" i="1"/>
  <c r="C115" i="1"/>
  <c r="E224" i="1"/>
  <c r="C224" i="1"/>
  <c r="A225" i="1"/>
  <c r="A249" i="1"/>
  <c r="E248" i="1"/>
  <c r="C248" i="1"/>
  <c r="D173" i="1"/>
  <c r="G173" i="1" s="1"/>
  <c r="F173" i="1"/>
  <c r="H173" i="1" s="1"/>
  <c r="E114" i="1"/>
  <c r="G114" i="1" s="1"/>
  <c r="D114" i="1"/>
  <c r="F114" i="1" s="1"/>
  <c r="D199" i="1"/>
  <c r="G199" i="1" s="1"/>
  <c r="F199" i="1"/>
  <c r="H199" i="1" s="1"/>
  <c r="D247" i="1"/>
  <c r="G247" i="1" s="1"/>
  <c r="F247" i="1"/>
  <c r="H247" i="1" s="1"/>
  <c r="D145" i="1"/>
  <c r="G145" i="1" s="1"/>
  <c r="F145" i="1"/>
  <c r="H145" i="1" s="1"/>
  <c r="M195" i="1"/>
  <c r="N271" i="1"/>
  <c r="N194" i="1"/>
  <c r="M244" i="1"/>
  <c r="N219" i="1"/>
  <c r="M169" i="1"/>
  <c r="N169" i="1"/>
  <c r="I121" i="1"/>
  <c r="N171" i="1"/>
  <c r="M171" i="1"/>
  <c r="N270" i="1"/>
  <c r="K120" i="1"/>
  <c r="J120" i="1"/>
  <c r="M120" i="1"/>
  <c r="L120" i="1"/>
  <c r="K111" i="1"/>
  <c r="J111" i="1"/>
  <c r="L111" i="1"/>
  <c r="M111" i="1"/>
  <c r="K112" i="1"/>
  <c r="J112" i="1"/>
  <c r="M112" i="1"/>
  <c r="L112" i="1"/>
  <c r="M221" i="1"/>
  <c r="N221" i="1"/>
  <c r="K110" i="1"/>
  <c r="J110" i="1"/>
  <c r="M110" i="1"/>
  <c r="L110" i="1"/>
  <c r="N143" i="1"/>
  <c r="M143" i="1"/>
  <c r="M220" i="1" l="1"/>
  <c r="N170" i="1"/>
  <c r="N196" i="1"/>
  <c r="M197" i="1"/>
  <c r="J272" i="1"/>
  <c r="M272" i="1" s="1"/>
  <c r="K272" i="1"/>
  <c r="J113" i="1"/>
  <c r="K113" i="1"/>
  <c r="M113" i="1"/>
  <c r="J273" i="1"/>
  <c r="L273" i="1"/>
  <c r="K273" i="1"/>
  <c r="H114" i="1"/>
  <c r="I114" i="1" s="1"/>
  <c r="K114" i="1" s="1"/>
  <c r="I173" i="1"/>
  <c r="K173" i="1" s="1"/>
  <c r="I275" i="1"/>
  <c r="L275" i="1" s="1"/>
  <c r="I223" i="1"/>
  <c r="J223" i="1" s="1"/>
  <c r="I199" i="1"/>
  <c r="L199" i="1" s="1"/>
  <c r="L198" i="1"/>
  <c r="K198" i="1"/>
  <c r="J198" i="1"/>
  <c r="J144" i="1"/>
  <c r="L144" i="1"/>
  <c r="J274" i="1"/>
  <c r="L274" i="1"/>
  <c r="K274" i="1"/>
  <c r="L172" i="1"/>
  <c r="J172" i="1"/>
  <c r="K172" i="1"/>
  <c r="D276" i="1"/>
  <c r="G276" i="1" s="1"/>
  <c r="F276" i="1"/>
  <c r="H276" i="1" s="1"/>
  <c r="A226" i="1"/>
  <c r="E225" i="1"/>
  <c r="C225" i="1"/>
  <c r="K246" i="1"/>
  <c r="J246" i="1"/>
  <c r="L246" i="1"/>
  <c r="I145" i="1"/>
  <c r="D146" i="1"/>
  <c r="G146" i="1" s="1"/>
  <c r="F146" i="1"/>
  <c r="H146" i="1" s="1"/>
  <c r="D224" i="1"/>
  <c r="G224" i="1" s="1"/>
  <c r="F224" i="1"/>
  <c r="H224" i="1" s="1"/>
  <c r="E115" i="1"/>
  <c r="G115" i="1" s="1"/>
  <c r="D115" i="1"/>
  <c r="F115" i="1" s="1"/>
  <c r="A278" i="1"/>
  <c r="E277" i="1"/>
  <c r="C277" i="1"/>
  <c r="I247" i="1"/>
  <c r="D248" i="1"/>
  <c r="G248" i="1" s="1"/>
  <c r="F248" i="1"/>
  <c r="H248" i="1" s="1"/>
  <c r="A117" i="1"/>
  <c r="C116" i="1"/>
  <c r="J222" i="1"/>
  <c r="K222" i="1"/>
  <c r="L222" i="1"/>
  <c r="C201" i="1"/>
  <c r="A202" i="1"/>
  <c r="E201" i="1"/>
  <c r="D174" i="1"/>
  <c r="G174" i="1" s="1"/>
  <c r="F174" i="1"/>
  <c r="H174" i="1" s="1"/>
  <c r="A148" i="1"/>
  <c r="C147" i="1"/>
  <c r="E147" i="1"/>
  <c r="D200" i="1"/>
  <c r="G200" i="1" s="1"/>
  <c r="F200" i="1"/>
  <c r="H200" i="1" s="1"/>
  <c r="A250" i="1"/>
  <c r="E249" i="1"/>
  <c r="C249" i="1"/>
  <c r="A176" i="1"/>
  <c r="E175" i="1"/>
  <c r="C175" i="1"/>
  <c r="M121" i="1"/>
  <c r="L121" i="1"/>
  <c r="K121" i="1"/>
  <c r="J121" i="1"/>
  <c r="N272" i="1" l="1"/>
  <c r="L223" i="1"/>
  <c r="J275" i="1"/>
  <c r="M275" i="1" s="1"/>
  <c r="J173" i="1"/>
  <c r="N173" i="1" s="1"/>
  <c r="L173" i="1"/>
  <c r="K275" i="1"/>
  <c r="L114" i="1"/>
  <c r="M114" i="1"/>
  <c r="J199" i="1"/>
  <c r="N199" i="1" s="1"/>
  <c r="K223" i="1"/>
  <c r="H233" i="1" s="1"/>
  <c r="K199" i="1"/>
  <c r="J114" i="1"/>
  <c r="N273" i="1"/>
  <c r="M273" i="1"/>
  <c r="I224" i="1"/>
  <c r="L224" i="1" s="1"/>
  <c r="I248" i="1"/>
  <c r="J248" i="1" s="1"/>
  <c r="N248" i="1" s="1"/>
  <c r="H115" i="1"/>
  <c r="I115" i="1" s="1"/>
  <c r="K115" i="1" s="1"/>
  <c r="N172" i="1"/>
  <c r="M172" i="1"/>
  <c r="H208" i="1"/>
  <c r="M198" i="1"/>
  <c r="N198" i="1"/>
  <c r="N144" i="1"/>
  <c r="M144" i="1"/>
  <c r="I276" i="1"/>
  <c r="L276" i="1" s="1"/>
  <c r="I200" i="1"/>
  <c r="J200" i="1" s="1"/>
  <c r="N200" i="1" s="1"/>
  <c r="H284" i="1"/>
  <c r="M274" i="1"/>
  <c r="N274" i="1"/>
  <c r="D175" i="1"/>
  <c r="G175" i="1" s="1"/>
  <c r="F175" i="1"/>
  <c r="H175" i="1" s="1"/>
  <c r="D225" i="1"/>
  <c r="G225" i="1" s="1"/>
  <c r="F225" i="1"/>
  <c r="H225" i="1" s="1"/>
  <c r="A203" i="1"/>
  <c r="E202" i="1"/>
  <c r="C202" i="1"/>
  <c r="C176" i="1"/>
  <c r="A177" i="1"/>
  <c r="E176" i="1"/>
  <c r="D201" i="1"/>
  <c r="G201" i="1" s="1"/>
  <c r="F201" i="1"/>
  <c r="H201" i="1" s="1"/>
  <c r="K247" i="1"/>
  <c r="J247" i="1"/>
  <c r="L247" i="1"/>
  <c r="E226" i="1"/>
  <c r="C226" i="1"/>
  <c r="A227" i="1"/>
  <c r="F249" i="1"/>
  <c r="H249" i="1" s="1"/>
  <c r="D249" i="1"/>
  <c r="G249" i="1" s="1"/>
  <c r="D277" i="1"/>
  <c r="G277" i="1" s="1"/>
  <c r="F277" i="1"/>
  <c r="H277" i="1" s="1"/>
  <c r="I146" i="1"/>
  <c r="D147" i="1"/>
  <c r="G147" i="1" s="1"/>
  <c r="F147" i="1"/>
  <c r="H147" i="1" s="1"/>
  <c r="K145" i="1"/>
  <c r="J145" i="1"/>
  <c r="L145" i="1"/>
  <c r="M223" i="1"/>
  <c r="N223" i="1"/>
  <c r="C250" i="1"/>
  <c r="E250" i="1"/>
  <c r="A251" i="1"/>
  <c r="A149" i="1"/>
  <c r="E148" i="1"/>
  <c r="C148" i="1"/>
  <c r="M222" i="1"/>
  <c r="N222" i="1"/>
  <c r="A279" i="1"/>
  <c r="E278" i="1"/>
  <c r="C278" i="1"/>
  <c r="E116" i="1"/>
  <c r="G116" i="1" s="1"/>
  <c r="D116" i="1"/>
  <c r="F116" i="1" s="1"/>
  <c r="N246" i="1"/>
  <c r="M246" i="1"/>
  <c r="I174" i="1"/>
  <c r="A118" i="1"/>
  <c r="C117" i="1"/>
  <c r="N275" i="1" l="1"/>
  <c r="M199" i="1"/>
  <c r="H183" i="1"/>
  <c r="H185" i="1" s="1"/>
  <c r="C297" i="1" s="1"/>
  <c r="L200" i="1"/>
  <c r="K200" i="1"/>
  <c r="K248" i="1"/>
  <c r="M173" i="1"/>
  <c r="K224" i="1"/>
  <c r="J224" i="1"/>
  <c r="N224" i="1" s="1"/>
  <c r="I249" i="1"/>
  <c r="J249" i="1" s="1"/>
  <c r="L248" i="1"/>
  <c r="M200" i="1"/>
  <c r="I147" i="1"/>
  <c r="J147" i="1" s="1"/>
  <c r="L115" i="1"/>
  <c r="J115" i="1"/>
  <c r="G125" i="1" s="1"/>
  <c r="G127" i="1" s="1"/>
  <c r="M115" i="1"/>
  <c r="K276" i="1"/>
  <c r="J276" i="1"/>
  <c r="H286" i="1"/>
  <c r="C301" i="1" s="1"/>
  <c r="H285" i="1"/>
  <c r="B301" i="1" s="1"/>
  <c r="H210" i="1"/>
  <c r="C298" i="1" s="1"/>
  <c r="H209" i="1"/>
  <c r="B298" i="1" s="1"/>
  <c r="I225" i="1"/>
  <c r="K146" i="1"/>
  <c r="L146" i="1"/>
  <c r="J146" i="1"/>
  <c r="E279" i="1"/>
  <c r="C279" i="1"/>
  <c r="H235" i="1"/>
  <c r="C299" i="1" s="1"/>
  <c r="H234" i="1"/>
  <c r="B299" i="1" s="1"/>
  <c r="A252" i="1"/>
  <c r="E251" i="1"/>
  <c r="C251" i="1"/>
  <c r="A119" i="1"/>
  <c r="C119" i="1" s="1"/>
  <c r="C118" i="1"/>
  <c r="D250" i="1"/>
  <c r="G250" i="1" s="1"/>
  <c r="F250" i="1"/>
  <c r="H250" i="1" s="1"/>
  <c r="N247" i="1"/>
  <c r="M247" i="1"/>
  <c r="D202" i="1"/>
  <c r="G202" i="1" s="1"/>
  <c r="F202" i="1"/>
  <c r="H202" i="1" s="1"/>
  <c r="M248" i="1"/>
  <c r="L174" i="1"/>
  <c r="J174" i="1"/>
  <c r="K174" i="1"/>
  <c r="H116" i="1"/>
  <c r="I116" i="1" s="1"/>
  <c r="M116" i="1" s="1"/>
  <c r="D148" i="1"/>
  <c r="G148" i="1" s="1"/>
  <c r="F148" i="1"/>
  <c r="H148" i="1" s="1"/>
  <c r="F176" i="1"/>
  <c r="H176" i="1" s="1"/>
  <c r="D176" i="1"/>
  <c r="G176" i="1" s="1"/>
  <c r="M145" i="1"/>
  <c r="N145" i="1"/>
  <c r="L147" i="1"/>
  <c r="C227" i="1"/>
  <c r="A228" i="1"/>
  <c r="E227" i="1"/>
  <c r="C203" i="1"/>
  <c r="E203" i="1"/>
  <c r="E204" i="1" s="1"/>
  <c r="E117" i="1"/>
  <c r="G117" i="1" s="1"/>
  <c r="D117" i="1"/>
  <c r="F117" i="1" s="1"/>
  <c r="I277" i="1"/>
  <c r="E177" i="1"/>
  <c r="C177" i="1"/>
  <c r="D278" i="1"/>
  <c r="G278" i="1" s="1"/>
  <c r="F278" i="1"/>
  <c r="H278" i="1" s="1"/>
  <c r="C149" i="1"/>
  <c r="A150" i="1"/>
  <c r="E149" i="1"/>
  <c r="F226" i="1"/>
  <c r="H226" i="1" s="1"/>
  <c r="D226" i="1"/>
  <c r="G226" i="1" s="1"/>
  <c r="I201" i="1"/>
  <c r="I175" i="1"/>
  <c r="K147" i="1" l="1"/>
  <c r="H184" i="1"/>
  <c r="B297" i="1" s="1"/>
  <c r="K249" i="1"/>
  <c r="L116" i="1"/>
  <c r="L249" i="1"/>
  <c r="M224" i="1"/>
  <c r="G126" i="1"/>
  <c r="I176" i="1"/>
  <c r="K176" i="1" s="1"/>
  <c r="M276" i="1"/>
  <c r="N276" i="1"/>
  <c r="I226" i="1"/>
  <c r="K226" i="1" s="1"/>
  <c r="H117" i="1"/>
  <c r="I117" i="1" s="1"/>
  <c r="M117" i="1" s="1"/>
  <c r="I202" i="1"/>
  <c r="J202" i="1" s="1"/>
  <c r="I278" i="1"/>
  <c r="K278" i="1" s="1"/>
  <c r="N146" i="1"/>
  <c r="M146" i="1"/>
  <c r="L277" i="1"/>
  <c r="K277" i="1"/>
  <c r="J277" i="1"/>
  <c r="E228" i="1"/>
  <c r="E229" i="1" s="1"/>
  <c r="C228" i="1"/>
  <c r="I148" i="1"/>
  <c r="E252" i="1"/>
  <c r="C252" i="1"/>
  <c r="A253" i="1"/>
  <c r="M249" i="1"/>
  <c r="D227" i="1"/>
  <c r="G227" i="1" s="1"/>
  <c r="F227" i="1"/>
  <c r="H227" i="1" s="1"/>
  <c r="K116" i="1"/>
  <c r="J116" i="1"/>
  <c r="L225" i="1"/>
  <c r="J225" i="1"/>
  <c r="K225" i="1"/>
  <c r="K201" i="1"/>
  <c r="J201" i="1"/>
  <c r="L201" i="1"/>
  <c r="M174" i="1"/>
  <c r="N174" i="1"/>
  <c r="I250" i="1"/>
  <c r="D177" i="1"/>
  <c r="G177" i="1" s="1"/>
  <c r="F177" i="1"/>
  <c r="H177" i="1" s="1"/>
  <c r="E150" i="1"/>
  <c r="C150" i="1"/>
  <c r="F204" i="1"/>
  <c r="H204" i="1" s="1"/>
  <c r="G204" i="1"/>
  <c r="N249" i="1"/>
  <c r="E118" i="1"/>
  <c r="G118" i="1" s="1"/>
  <c r="D118" i="1"/>
  <c r="F118" i="1" s="1"/>
  <c r="K175" i="1"/>
  <c r="L175" i="1"/>
  <c r="J175" i="1"/>
  <c r="D149" i="1"/>
  <c r="G149" i="1" s="1"/>
  <c r="F149" i="1"/>
  <c r="H149" i="1" s="1"/>
  <c r="F203" i="1"/>
  <c r="H203" i="1" s="1"/>
  <c r="D203" i="1"/>
  <c r="G203" i="1" s="1"/>
  <c r="M147" i="1"/>
  <c r="D119" i="1"/>
  <c r="F119" i="1" s="1"/>
  <c r="E119" i="1"/>
  <c r="G119" i="1" s="1"/>
  <c r="D279" i="1"/>
  <c r="G279" i="1" s="1"/>
  <c r="F279" i="1"/>
  <c r="H279" i="1" s="1"/>
  <c r="H156" i="1"/>
  <c r="N147" i="1"/>
  <c r="D251" i="1"/>
  <c r="G251" i="1" s="1"/>
  <c r="F251" i="1"/>
  <c r="H251" i="1" s="1"/>
  <c r="H259" i="1" l="1"/>
  <c r="H260" i="1" s="1"/>
  <c r="B300" i="1" s="1"/>
  <c r="J117" i="1"/>
  <c r="L117" i="1"/>
  <c r="K117" i="1"/>
  <c r="L176" i="1"/>
  <c r="J176" i="1"/>
  <c r="M176" i="1" s="1"/>
  <c r="J278" i="1"/>
  <c r="N278" i="1" s="1"/>
  <c r="L226" i="1"/>
  <c r="K202" i="1"/>
  <c r="L202" i="1"/>
  <c r="N202" i="1"/>
  <c r="M202" i="1"/>
  <c r="J226" i="1"/>
  <c r="N226" i="1" s="1"/>
  <c r="I251" i="1"/>
  <c r="K251" i="1" s="1"/>
  <c r="I204" i="1"/>
  <c r="L278" i="1"/>
  <c r="I279" i="1"/>
  <c r="K279" i="1" s="1"/>
  <c r="I177" i="1"/>
  <c r="L177" i="1" s="1"/>
  <c r="N277" i="1"/>
  <c r="M277" i="1"/>
  <c r="I149" i="1"/>
  <c r="J250" i="1"/>
  <c r="L250" i="1"/>
  <c r="K250" i="1"/>
  <c r="C253" i="1"/>
  <c r="E253" i="1"/>
  <c r="D252" i="1"/>
  <c r="G252" i="1" s="1"/>
  <c r="F252" i="1"/>
  <c r="H252" i="1" s="1"/>
  <c r="H158" i="1"/>
  <c r="C296" i="1" s="1"/>
  <c r="H157" i="1"/>
  <c r="B296" i="1" s="1"/>
  <c r="H119" i="1"/>
  <c r="I119" i="1" s="1"/>
  <c r="N201" i="1"/>
  <c r="M201" i="1"/>
  <c r="K148" i="1"/>
  <c r="J148" i="1"/>
  <c r="L148" i="1"/>
  <c r="N175" i="1"/>
  <c r="M175" i="1"/>
  <c r="N225" i="1"/>
  <c r="M225" i="1"/>
  <c r="F150" i="1"/>
  <c r="H150" i="1" s="1"/>
  <c r="D150" i="1"/>
  <c r="G150" i="1" s="1"/>
  <c r="I227" i="1"/>
  <c r="I203" i="1"/>
  <c r="D228" i="1"/>
  <c r="G228" i="1" s="1"/>
  <c r="F228" i="1"/>
  <c r="H228" i="1" s="1"/>
  <c r="H118" i="1"/>
  <c r="I118" i="1" s="1"/>
  <c r="F229" i="1"/>
  <c r="H229" i="1" s="1"/>
  <c r="G229" i="1"/>
  <c r="N176" i="1" l="1"/>
  <c r="H261" i="1"/>
  <c r="C300" i="1" s="1"/>
  <c r="M278" i="1"/>
  <c r="M226" i="1"/>
  <c r="L251" i="1"/>
  <c r="J251" i="1"/>
  <c r="N251" i="1" s="1"/>
  <c r="J177" i="1"/>
  <c r="M177" i="1" s="1"/>
  <c r="K177" i="1"/>
  <c r="I150" i="1"/>
  <c r="J150" i="1" s="1"/>
  <c r="N150" i="1" s="1"/>
  <c r="L279" i="1"/>
  <c r="J279" i="1"/>
  <c r="N279" i="1" s="1"/>
  <c r="I229" i="1"/>
  <c r="K118" i="1"/>
  <c r="J118" i="1"/>
  <c r="L118" i="1"/>
  <c r="I228" i="1"/>
  <c r="K149" i="1"/>
  <c r="J149" i="1"/>
  <c r="L149" i="1"/>
  <c r="K119" i="1"/>
  <c r="J119" i="1"/>
  <c r="F253" i="1"/>
  <c r="H253" i="1" s="1"/>
  <c r="D253" i="1"/>
  <c r="G253" i="1" s="1"/>
  <c r="J203" i="1"/>
  <c r="L203" i="1"/>
  <c r="K203" i="1"/>
  <c r="K227" i="1"/>
  <c r="J227" i="1"/>
  <c r="L227" i="1"/>
  <c r="L119" i="1"/>
  <c r="M148" i="1"/>
  <c r="N148" i="1"/>
  <c r="M250" i="1"/>
  <c r="N250" i="1"/>
  <c r="M119" i="1"/>
  <c r="M118" i="1"/>
  <c r="I252" i="1"/>
  <c r="M251" i="1" l="1"/>
  <c r="L150" i="1"/>
  <c r="K150" i="1"/>
  <c r="M279" i="1"/>
  <c r="N177" i="1"/>
  <c r="H187" i="1"/>
  <c r="H189" i="1" s="1"/>
  <c r="E297" i="1" s="1"/>
  <c r="I297" i="1" s="1"/>
  <c r="H288" i="1"/>
  <c r="G129" i="1"/>
  <c r="G130" i="1" s="1"/>
  <c r="M150" i="1"/>
  <c r="N227" i="1"/>
  <c r="M227" i="1"/>
  <c r="N149" i="1"/>
  <c r="M149" i="1"/>
  <c r="M203" i="1"/>
  <c r="H212" i="1"/>
  <c r="N203" i="1"/>
  <c r="K228" i="1"/>
  <c r="L228" i="1"/>
  <c r="J228" i="1"/>
  <c r="J252" i="1"/>
  <c r="K252" i="1"/>
  <c r="L252" i="1"/>
  <c r="I253" i="1"/>
  <c r="H160" i="1" l="1"/>
  <c r="H162" i="1" s="1"/>
  <c r="E296" i="1" s="1"/>
  <c r="I296" i="1" s="1"/>
  <c r="G131" i="1"/>
  <c r="H237" i="1"/>
  <c r="H239" i="1" s="1"/>
  <c r="E299" i="1" s="1"/>
  <c r="I299" i="1" s="1"/>
  <c r="H188" i="1"/>
  <c r="D297" i="1" s="1"/>
  <c r="H290" i="1"/>
  <c r="E301" i="1" s="1"/>
  <c r="I301" i="1" s="1"/>
  <c r="H289" i="1"/>
  <c r="D301" i="1" s="1"/>
  <c r="J253" i="1"/>
  <c r="L253" i="1"/>
  <c r="K253" i="1"/>
  <c r="N252" i="1"/>
  <c r="M252" i="1"/>
  <c r="H214" i="1"/>
  <c r="E298" i="1" s="1"/>
  <c r="I298" i="1" s="1"/>
  <c r="H213" i="1"/>
  <c r="D298" i="1" s="1"/>
  <c r="M228" i="1"/>
  <c r="N228" i="1"/>
  <c r="H161" i="1" l="1"/>
  <c r="D296" i="1" s="1"/>
  <c r="F296" i="1" s="1"/>
  <c r="G296" i="1" s="1"/>
  <c r="H238" i="1"/>
  <c r="D299" i="1" s="1"/>
  <c r="F299" i="1" s="1"/>
  <c r="G299" i="1" s="1"/>
  <c r="H263" i="1"/>
  <c r="H265" i="1" s="1"/>
  <c r="E300" i="1" s="1"/>
  <c r="I300" i="1" s="1"/>
  <c r="H297" i="1"/>
  <c r="F297" i="1"/>
  <c r="G297" i="1" s="1"/>
  <c r="F301" i="1"/>
  <c r="G301" i="1" s="1"/>
  <c r="H301" i="1"/>
  <c r="M253" i="1"/>
  <c r="N253" i="1"/>
  <c r="H298" i="1"/>
  <c r="F298" i="1"/>
  <c r="G298" i="1" s="1"/>
  <c r="H296" i="1" l="1"/>
  <c r="H299" i="1"/>
  <c r="H264" i="1"/>
  <c r="D300" i="1" s="1"/>
  <c r="H300" i="1" s="1"/>
  <c r="F300" i="1" l="1"/>
  <c r="G300" i="1" s="1"/>
</calcChain>
</file>

<file path=xl/sharedStrings.xml><?xml version="1.0" encoding="utf-8"?>
<sst xmlns="http://schemas.openxmlformats.org/spreadsheetml/2006/main" count="372" uniqueCount="87">
  <si>
    <t xml:space="preserve">I'm listing it here so we can measure slopes before and after the putative transition and see if they are significantly different and do indeed describe a lag/ log transition. </t>
  </si>
  <si>
    <t>page 527</t>
  </si>
  <si>
    <t xml:space="preserve">sample </t>
  </si>
  <si>
    <t>Counts</t>
  </si>
  <si>
    <t xml:space="preserve">multiplier </t>
  </si>
  <si>
    <t>conversion factor</t>
  </si>
  <si>
    <t>cells/ml</t>
  </si>
  <si>
    <t>diF524b</t>
  </si>
  <si>
    <t>c</t>
  </si>
  <si>
    <t>d</t>
  </si>
  <si>
    <t>e</t>
  </si>
  <si>
    <t>f</t>
  </si>
  <si>
    <t>g</t>
  </si>
  <si>
    <t>page 528</t>
  </si>
  <si>
    <t>page 529</t>
  </si>
  <si>
    <t>page 530</t>
  </si>
  <si>
    <t>page 531</t>
  </si>
  <si>
    <t>page 532</t>
  </si>
  <si>
    <t>page 533</t>
  </si>
  <si>
    <t>page 534</t>
  </si>
  <si>
    <t>page 535</t>
  </si>
  <si>
    <t>page 536</t>
  </si>
  <si>
    <t>page 537</t>
  </si>
  <si>
    <t>sample diF524b</t>
  </si>
  <si>
    <t>8/5/21: I am following notes on labbook diF, page 5</t>
  </si>
  <si>
    <t>1&lt;i&lt;6: lag, 7&lt;i&lt;12: log</t>
  </si>
  <si>
    <t>index (i)</t>
  </si>
  <si>
    <t>x = time (hours) (from Shaker Spreadsheet 8-1-10 in diF)</t>
  </si>
  <si>
    <t>raw counts</t>
  </si>
  <si>
    <t>sigma raw counts</t>
  </si>
  <si>
    <t xml:space="preserve">density </t>
  </si>
  <si>
    <t>sigma density</t>
  </si>
  <si>
    <t>y = log10(density)</t>
  </si>
  <si>
    <t>sigma y</t>
  </si>
  <si>
    <t>1/(sigma y)^2</t>
  </si>
  <si>
    <t>x^2/(sigma y)^2</t>
  </si>
  <si>
    <t>x/(sigma y)^2</t>
  </si>
  <si>
    <t>x y /(sigma y)^2</t>
  </si>
  <si>
    <t>y / (sigma y)^2</t>
  </si>
  <si>
    <t>for lag and log phase, get best fit to slope and uncertainty in slope</t>
  </si>
  <si>
    <t>1) for lag phase</t>
  </si>
  <si>
    <t>delta is</t>
  </si>
  <si>
    <t xml:space="preserve">best fit to slope is </t>
  </si>
  <si>
    <t>b* is</t>
  </si>
  <si>
    <t>sigma b is</t>
  </si>
  <si>
    <t>2) for log phase</t>
  </si>
  <si>
    <t xml:space="preserve">As a check that I have done the above correctly, I'm going to recompute the slopes and their uncertainties. </t>
  </si>
  <si>
    <t>raw counts (c)</t>
  </si>
  <si>
    <t>sigma c</t>
  </si>
  <si>
    <t>counts multiplier times conversion factor</t>
  </si>
  <si>
    <t>(1/sigma y)^2</t>
  </si>
  <si>
    <t>(x/sigma y)^2</t>
  </si>
  <si>
    <t>x y/(sigma y)^2</t>
  </si>
  <si>
    <t>y/(sigma y)^2</t>
  </si>
  <si>
    <t xml:space="preserve">I have eliminated first data point in the original series with that might </t>
  </si>
  <si>
    <t>for lag (i = 1...6) and log (i = 7...12) phase, get best fit to slope and uncertainty in slope</t>
  </si>
  <si>
    <t>have included the hook</t>
  </si>
  <si>
    <t xml:space="preserve">I also drop stationary phase values (1E7 cell/ml) and </t>
  </si>
  <si>
    <t>points that occurred after stationary phase was attained</t>
  </si>
  <si>
    <t>OK, that checks, now do all the rest of the curves, be careful on the last point for each (ends before i =12)</t>
  </si>
  <si>
    <t>sample diF524c</t>
  </si>
  <si>
    <t>for lag (i = 1...5) and log (i = 6...9) phase, get best fit to slope and uncertainty in slope</t>
  </si>
  <si>
    <t>sample diF524d</t>
  </si>
  <si>
    <t>for lag (i = 1...5) and log (i = 6...10) phase, get best fit to slope and uncertainty in slope</t>
  </si>
  <si>
    <t>sample diF524e</t>
  </si>
  <si>
    <t>sample diF524f</t>
  </si>
  <si>
    <t>for lag (i = 1...6) and log (i = 7...10) phase, get best fit to slope and uncertainty in slope</t>
  </si>
  <si>
    <t>sample diF524g</t>
  </si>
  <si>
    <t>let's get the ratio of the slopes</t>
  </si>
  <si>
    <t>R = b_high density/ b low density</t>
  </si>
  <si>
    <t xml:space="preserve">b_low density </t>
  </si>
  <si>
    <t xml:space="preserve">uncertainty </t>
  </si>
  <si>
    <t xml:space="preserve">b_high density </t>
  </si>
  <si>
    <t>R</t>
  </si>
  <si>
    <t>delta b</t>
  </si>
  <si>
    <t>uncertainty</t>
  </si>
  <si>
    <t>diF524c</t>
  </si>
  <si>
    <t>diF524d</t>
  </si>
  <si>
    <t>diF524e</t>
  </si>
  <si>
    <t>diF524f</t>
  </si>
  <si>
    <t>diF524g</t>
  </si>
  <si>
    <t>8/9/21 let's also find the change in slope (delta b = b_high_density - b_low_density) across the putative lag-log  transition to compare with what Arthur has found for the Figure 1f data</t>
  </si>
  <si>
    <t>Conclusions: delta b is roughly 0.021 +/- 0.002 this is significantly larger than the values in Arthur's figure, but not wildly so.</t>
  </si>
  <si>
    <t>Replacement for Fig. 1a</t>
  </si>
  <si>
    <t>12/13/21: replacement for Fig. 1a</t>
  </si>
  <si>
    <t xml:space="preserve"> 9/1/21: diF15a, revised 13a to give improved Fig. 1a for  paper 8/27/21: diFp13a updated diFp5a_21_08_21_excel_version for  error bars to include stationary pahse data in plots 8/9/21 This is the data from labbook F part 2, page 527 onwards that provides the 1/2 the plots in Fig 1a in the Allee paper </t>
  </si>
  <si>
    <t>12/13/21 diFp18a   revised 15a to give improved Fig. 1a with bolder axes labels by Carl Franck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</si>
</sst>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 &quot;AM/PM"/>
    <numFmt numFmtId="165" formatCode="0.0"/>
    <numFmt numFmtId="166" formatCode="0.0E+00"/>
  </numFmts>
  <fonts count="10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18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 applyAlignment="1"/>
    <xf numFmtId="1" fontId="2" fillId="0" borderId="0" xfId="0" applyNumberFormat="1" applyFont="1" applyAlignment="1"/>
    <xf numFmtId="11" fontId="2" fillId="0" borderId="0" xfId="0" applyNumberFormat="1" applyFont="1" applyAlignment="1"/>
    <xf numFmtId="11" fontId="2" fillId="0" borderId="0" xfId="0" applyNumberFormat="1" applyFont="1"/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right"/>
    </xf>
    <xf numFmtId="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1" fontId="2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/>
    </xf>
    <xf numFmtId="11" fontId="6" fillId="0" borderId="0" xfId="0" applyNumberFormat="1" applyFont="1" applyAlignment="1">
      <alignment horizontal="right"/>
    </xf>
    <xf numFmtId="11" fontId="0" fillId="2" borderId="0" xfId="0" applyNumberFormat="1" applyFont="1" applyFill="1"/>
    <xf numFmtId="166" fontId="2" fillId="0" borderId="0" xfId="0" applyNumberFormat="1" applyFont="1"/>
    <xf numFmtId="11" fontId="6" fillId="0" borderId="0" xfId="0" applyNumberFormat="1" applyFont="1"/>
    <xf numFmtId="0" fontId="8" fillId="0" borderId="0" xfId="0" applyFont="1" applyAlignment="1"/>
    <xf numFmtId="165" fontId="9" fillId="0" borderId="0" xfId="0" applyNumberFormat="1" applyFont="1" applyAlignment="1">
      <alignment horizontal="right"/>
    </xf>
    <xf numFmtId="11" fontId="0" fillId="0" borderId="0" xfId="0" applyNumberFormat="1" applyFont="1" applyAlignment="1"/>
    <xf numFmtId="11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plus>
            <c:min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Sheet1!$B$109:$B$121</c:f>
              <c:numCache>
                <c:formatCode>0.0</c:formatCode>
                <c:ptCount val="13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260.95</c:v>
                </c:pt>
                <c:pt idx="12">
                  <c:v>284.14999999999998</c:v>
                </c:pt>
              </c:numCache>
            </c:numRef>
          </c:xVal>
          <c:yVal>
            <c:numRef>
              <c:f>Sheet1!$G$109:$G$121</c:f>
              <c:numCache>
                <c:formatCode>#,##0.00</c:formatCode>
                <c:ptCount val="13"/>
                <c:pt idx="0" formatCode="General">
                  <c:v>2</c:v>
                </c:pt>
                <c:pt idx="1">
                  <c:v>2.5051499783199058</c:v>
                </c:pt>
                <c:pt idx="2">
                  <c:v>2.7323937598229686</c:v>
                </c:pt>
                <c:pt idx="3">
                  <c:v>2.7323937598229686</c:v>
                </c:pt>
                <c:pt idx="4">
                  <c:v>3.0934216851622351</c:v>
                </c:pt>
                <c:pt idx="5">
                  <c:v>3.4712917110589387</c:v>
                </c:pt>
                <c:pt idx="6">
                  <c:v>3.5843312243675309</c:v>
                </c:pt>
                <c:pt idx="7">
                  <c:v>3.7226339225338121</c:v>
                </c:pt>
                <c:pt idx="8">
                  <c:v>4.2552725051033065</c:v>
                </c:pt>
                <c:pt idx="9">
                  <c:v>4.7160033436347994</c:v>
                </c:pt>
                <c:pt idx="10">
                  <c:v>5.5378190950732744</c:v>
                </c:pt>
                <c:pt idx="11">
                  <c:v>6.3263358609287517</c:v>
                </c:pt>
                <c:pt idx="12">
                  <c:v>6.6020599913279625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B-4489-B5BF-6AF4E0B181E7}"/>
            </c:ext>
          </c:extLst>
        </c:ser>
        <c:ser>
          <c:idx val="1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plus>
            <c:min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Sheet1!$B$168:$B$178</c:f>
              <c:numCache>
                <c:formatCode>0.0</c:formatCode>
                <c:ptCount val="11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238</c:v>
                </c:pt>
              </c:numCache>
            </c:numRef>
          </c:xVal>
          <c:yVal>
            <c:numRef>
              <c:f>Sheet1!$H$168:$H$178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2.5051499783199058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3.2648178230095364</c:v>
                </c:pt>
                <c:pt idx="5">
                  <c:v>3.3654879848908998</c:v>
                </c:pt>
                <c:pt idx="6">
                  <c:v>4.030194785356751</c:v>
                </c:pt>
                <c:pt idx="7">
                  <c:v>4.7481880270062007</c:v>
                </c:pt>
                <c:pt idx="8">
                  <c:v>5.9777236052888476</c:v>
                </c:pt>
                <c:pt idx="9">
                  <c:v>6.4996870826184034</c:v>
                </c:pt>
                <c:pt idx="10">
                  <c:v>7.0553783313750005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6-4D9D-A303-17CAAD910DAB}"/>
            </c:ext>
          </c:extLst>
        </c:ser>
        <c:ser>
          <c:idx val="2"/>
          <c:order val="2"/>
          <c:tx>
            <c:strRef>
              <c:f>Sheet1!$A$191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plus>
            <c:min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Sheet1!$B$193:$B$204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Sheet1!$H$193:$H$204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2.255272505103306</c:v>
                </c:pt>
                <c:pt idx="2">
                  <c:v>2.7923916894982539</c:v>
                </c:pt>
                <c:pt idx="3">
                  <c:v>2.7923916894982539</c:v>
                </c:pt>
                <c:pt idx="4">
                  <c:v>3.12057393120585</c:v>
                </c:pt>
                <c:pt idx="5">
                  <c:v>3.4216039268698313</c:v>
                </c:pt>
                <c:pt idx="6">
                  <c:v>3.8762178405916421</c:v>
                </c:pt>
                <c:pt idx="7">
                  <c:v>4.5158738437116792</c:v>
                </c:pt>
                <c:pt idx="8">
                  <c:v>5.6127838567197355</c:v>
                </c:pt>
                <c:pt idx="9">
                  <c:v>6.0863598306747484</c:v>
                </c:pt>
                <c:pt idx="10">
                  <c:v>6.9201233262907236</c:v>
                </c:pt>
                <c:pt idx="11">
                  <c:v>6.9965116721541785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6-4D9D-A303-17CAAD910DAB}"/>
            </c:ext>
          </c:extLst>
        </c:ser>
        <c:ser>
          <c:idx val="3"/>
          <c:order val="3"/>
          <c:tx>
            <c:strRef>
              <c:f>Sheet1!$A$216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plus>
            <c:min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Sheet1!$B$218:$B$229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Sheet1!$H$218:$H$229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2.4149733479708178</c:v>
                </c:pt>
                <c:pt idx="2">
                  <c:v>2.7634279935629373</c:v>
                </c:pt>
                <c:pt idx="3">
                  <c:v>2.7634279935629373</c:v>
                </c:pt>
                <c:pt idx="4">
                  <c:v>3.214843848047698</c:v>
                </c:pt>
                <c:pt idx="5">
                  <c:v>3.3502480183341627</c:v>
                </c:pt>
                <c:pt idx="6">
                  <c:v>3.8375884382355112</c:v>
                </c:pt>
                <c:pt idx="7">
                  <c:v>4.5751878449276608</c:v>
                </c:pt>
                <c:pt idx="8">
                  <c:v>5.6434526764861879</c:v>
                </c:pt>
                <c:pt idx="9">
                  <c:v>6.1702617153949575</c:v>
                </c:pt>
                <c:pt idx="10">
                  <c:v>6.77232170672292</c:v>
                </c:pt>
                <c:pt idx="11">
                  <c:v>7.0429690733931798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6-4D9D-A303-17CAAD910DAB}"/>
            </c:ext>
          </c:extLst>
        </c:ser>
        <c:ser>
          <c:idx val="4"/>
          <c:order val="4"/>
          <c:tx>
            <c:strRef>
              <c:f>Sheet1!$A$241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plus>
            <c:min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Sheet1!$B$243:$B$254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Sheet1!$H$243:$H$254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2.2041199826559246</c:v>
                </c:pt>
                <c:pt idx="2">
                  <c:v>2.716003343634799</c:v>
                </c:pt>
                <c:pt idx="3">
                  <c:v>2.716003343634799</c:v>
                </c:pt>
                <c:pt idx="4">
                  <c:v>3.0791812460476247</c:v>
                </c:pt>
                <c:pt idx="5">
                  <c:v>3.3654879848908998</c:v>
                </c:pt>
                <c:pt idx="6">
                  <c:v>3.6190933306267428</c:v>
                </c:pt>
                <c:pt idx="7">
                  <c:v>4.2455126678141495</c:v>
                </c:pt>
                <c:pt idx="8">
                  <c:v>4.9777236052888476</c:v>
                </c:pt>
                <c:pt idx="9">
                  <c:v>5.6127838567197355</c:v>
                </c:pt>
                <c:pt idx="10">
                  <c:v>6.6190933306267423</c:v>
                </c:pt>
                <c:pt idx="11">
                  <c:v>7.0849335749367164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96-4D9D-A303-17CAAD910DAB}"/>
            </c:ext>
          </c:extLst>
        </c:ser>
        <c:ser>
          <c:idx val="5"/>
          <c:order val="5"/>
          <c:tx>
            <c:strRef>
              <c:f>Sheet1!$A$267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plus>
            <c:min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Sheet1!$B$269:$B$280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Sheet1!$H$269:$H$280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2.3010299956639813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3.0934216851622351</c:v>
                </c:pt>
                <c:pt idx="5">
                  <c:v>3.2833012287035497</c:v>
                </c:pt>
                <c:pt idx="6">
                  <c:v>3.7092699609758308</c:v>
                </c:pt>
                <c:pt idx="7">
                  <c:v>4.2455126678141495</c:v>
                </c:pt>
                <c:pt idx="8">
                  <c:v>5.0700378666077555</c:v>
                </c:pt>
                <c:pt idx="9">
                  <c:v>5.6074550232146683</c:v>
                </c:pt>
                <c:pt idx="10">
                  <c:v>6.5530735306370884</c:v>
                </c:pt>
                <c:pt idx="11">
                  <c:v>6.982271233039568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96-4D9D-A303-17CAAD91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19"/>
        <c:axId val="2553087"/>
      </c:scatterChart>
      <c:valAx>
        <c:axId val="25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87"/>
        <c:crosses val="autoZero"/>
        <c:crossBetween val="midCat"/>
        <c:majorUnit val="50"/>
      </c:valAx>
      <c:valAx>
        <c:axId val="2553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Log10(cell density (cells/ml))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plus>
            <c:min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Sheet1!$B$109:$B$121</c:f>
              <c:numCache>
                <c:formatCode>0.0</c:formatCode>
                <c:ptCount val="13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260.95</c:v>
                </c:pt>
                <c:pt idx="12">
                  <c:v>284.14999999999998</c:v>
                </c:pt>
              </c:numCache>
            </c:numRef>
          </c:xVal>
          <c:yVal>
            <c:numRef>
              <c:f>Sheet1!$G$109:$G$121</c:f>
              <c:numCache>
                <c:formatCode>#,##0.00</c:formatCode>
                <c:ptCount val="13"/>
                <c:pt idx="0" formatCode="General">
                  <c:v>2</c:v>
                </c:pt>
                <c:pt idx="1">
                  <c:v>2.5051499783199058</c:v>
                </c:pt>
                <c:pt idx="2">
                  <c:v>2.7323937598229686</c:v>
                </c:pt>
                <c:pt idx="3">
                  <c:v>2.7323937598229686</c:v>
                </c:pt>
                <c:pt idx="4">
                  <c:v>3.0934216851622351</c:v>
                </c:pt>
                <c:pt idx="5">
                  <c:v>3.4712917110589387</c:v>
                </c:pt>
                <c:pt idx="6">
                  <c:v>3.5843312243675309</c:v>
                </c:pt>
                <c:pt idx="7">
                  <c:v>3.7226339225338121</c:v>
                </c:pt>
                <c:pt idx="8">
                  <c:v>4.2552725051033065</c:v>
                </c:pt>
                <c:pt idx="9">
                  <c:v>4.7160033436347994</c:v>
                </c:pt>
                <c:pt idx="10">
                  <c:v>5.5378190950732744</c:v>
                </c:pt>
                <c:pt idx="11">
                  <c:v>6.3263358609287517</c:v>
                </c:pt>
                <c:pt idx="12">
                  <c:v>6.6020599913279625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1-49A6-9307-F513E0D85F5C}"/>
            </c:ext>
          </c:extLst>
        </c:ser>
        <c:ser>
          <c:idx val="1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plus>
            <c:min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Sheet1!$B$168:$B$178</c:f>
              <c:numCache>
                <c:formatCode>0.0</c:formatCode>
                <c:ptCount val="11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238</c:v>
                </c:pt>
              </c:numCache>
            </c:numRef>
          </c:xVal>
          <c:yVal>
            <c:numRef>
              <c:f>Sheet1!$H$168:$H$178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2.5051499783199058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3.2648178230095364</c:v>
                </c:pt>
                <c:pt idx="5">
                  <c:v>3.3654879848908998</c:v>
                </c:pt>
                <c:pt idx="6">
                  <c:v>4.030194785356751</c:v>
                </c:pt>
                <c:pt idx="7">
                  <c:v>4.7481880270062007</c:v>
                </c:pt>
                <c:pt idx="8">
                  <c:v>5.9777236052888476</c:v>
                </c:pt>
                <c:pt idx="9">
                  <c:v>6.4996870826184034</c:v>
                </c:pt>
                <c:pt idx="10">
                  <c:v>7.0553783313750005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1-49A6-9307-F513E0D85F5C}"/>
            </c:ext>
          </c:extLst>
        </c:ser>
        <c:ser>
          <c:idx val="2"/>
          <c:order val="2"/>
          <c:tx>
            <c:strRef>
              <c:f>Sheet1!$A$191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plus>
            <c:min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Sheet1!$B$193:$B$204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Sheet1!$H$193:$H$204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2.255272505103306</c:v>
                </c:pt>
                <c:pt idx="2">
                  <c:v>2.7923916894982539</c:v>
                </c:pt>
                <c:pt idx="3">
                  <c:v>2.7923916894982539</c:v>
                </c:pt>
                <c:pt idx="4">
                  <c:v>3.12057393120585</c:v>
                </c:pt>
                <c:pt idx="5">
                  <c:v>3.4216039268698313</c:v>
                </c:pt>
                <c:pt idx="6">
                  <c:v>3.8762178405916421</c:v>
                </c:pt>
                <c:pt idx="7">
                  <c:v>4.5158738437116792</c:v>
                </c:pt>
                <c:pt idx="8">
                  <c:v>5.6127838567197355</c:v>
                </c:pt>
                <c:pt idx="9">
                  <c:v>6.0863598306747484</c:v>
                </c:pt>
                <c:pt idx="10">
                  <c:v>6.9201233262907236</c:v>
                </c:pt>
                <c:pt idx="11">
                  <c:v>6.9965116721541785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1-49A6-9307-F513E0D85F5C}"/>
            </c:ext>
          </c:extLst>
        </c:ser>
        <c:ser>
          <c:idx val="3"/>
          <c:order val="3"/>
          <c:tx>
            <c:strRef>
              <c:f>Sheet1!$A$216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plus>
            <c:min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Sheet1!$B$218:$B$229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Sheet1!$H$218:$H$229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2.4149733479708178</c:v>
                </c:pt>
                <c:pt idx="2">
                  <c:v>2.7634279935629373</c:v>
                </c:pt>
                <c:pt idx="3">
                  <c:v>2.7634279935629373</c:v>
                </c:pt>
                <c:pt idx="4">
                  <c:v>3.214843848047698</c:v>
                </c:pt>
                <c:pt idx="5">
                  <c:v>3.3502480183341627</c:v>
                </c:pt>
                <c:pt idx="6">
                  <c:v>3.8375884382355112</c:v>
                </c:pt>
                <c:pt idx="7">
                  <c:v>4.5751878449276608</c:v>
                </c:pt>
                <c:pt idx="8">
                  <c:v>5.6434526764861879</c:v>
                </c:pt>
                <c:pt idx="9">
                  <c:v>6.1702617153949575</c:v>
                </c:pt>
                <c:pt idx="10">
                  <c:v>6.77232170672292</c:v>
                </c:pt>
                <c:pt idx="11">
                  <c:v>7.0429690733931798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1-49A6-9307-F513E0D85F5C}"/>
            </c:ext>
          </c:extLst>
        </c:ser>
        <c:ser>
          <c:idx val="4"/>
          <c:order val="4"/>
          <c:tx>
            <c:strRef>
              <c:f>Sheet1!$A$241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plus>
            <c:min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Sheet1!$B$243:$B$254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Sheet1!$H$243:$H$254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2.2041199826559246</c:v>
                </c:pt>
                <c:pt idx="2">
                  <c:v>2.716003343634799</c:v>
                </c:pt>
                <c:pt idx="3">
                  <c:v>2.716003343634799</c:v>
                </c:pt>
                <c:pt idx="4">
                  <c:v>3.0791812460476247</c:v>
                </c:pt>
                <c:pt idx="5">
                  <c:v>3.3654879848908998</c:v>
                </c:pt>
                <c:pt idx="6">
                  <c:v>3.6190933306267428</c:v>
                </c:pt>
                <c:pt idx="7">
                  <c:v>4.2455126678141495</c:v>
                </c:pt>
                <c:pt idx="8">
                  <c:v>4.9777236052888476</c:v>
                </c:pt>
                <c:pt idx="9">
                  <c:v>5.6127838567197355</c:v>
                </c:pt>
                <c:pt idx="10">
                  <c:v>6.6190933306267423</c:v>
                </c:pt>
                <c:pt idx="11">
                  <c:v>7.0849335749367164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71-49A6-9307-F513E0D85F5C}"/>
            </c:ext>
          </c:extLst>
        </c:ser>
        <c:ser>
          <c:idx val="5"/>
          <c:order val="5"/>
          <c:tx>
            <c:strRef>
              <c:f>Sheet1!$A$267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plus>
            <c:min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Sheet1!$B$269:$B$280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Sheet1!$H$269:$H$280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2.3010299956639813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3.0934216851622351</c:v>
                </c:pt>
                <c:pt idx="5">
                  <c:v>3.2833012287035497</c:v>
                </c:pt>
                <c:pt idx="6">
                  <c:v>3.7092699609758308</c:v>
                </c:pt>
                <c:pt idx="7">
                  <c:v>4.2455126678141495</c:v>
                </c:pt>
                <c:pt idx="8">
                  <c:v>5.0700378666077555</c:v>
                </c:pt>
                <c:pt idx="9">
                  <c:v>5.6074550232146683</c:v>
                </c:pt>
                <c:pt idx="10">
                  <c:v>6.5530735306370884</c:v>
                </c:pt>
                <c:pt idx="11">
                  <c:v>6.982271233039568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71-49A6-9307-F513E0D8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19"/>
        <c:axId val="2553087"/>
      </c:scatterChart>
      <c:valAx>
        <c:axId val="25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87"/>
        <c:crosses val="autoZero"/>
        <c:crossBetween val="midCat"/>
      </c:valAx>
      <c:valAx>
        <c:axId val="25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 density (cells/ml))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plus>
            <c:minus>
              <c:numRef>
                <c:f>Sheet1!$H$110:$H$121</c:f>
                <c:numCache>
                  <c:formatCode>General</c:formatCode>
                  <c:ptCount val="12"/>
                  <c:pt idx="0">
                    <c:v>0.1085</c:v>
                  </c:pt>
                  <c:pt idx="1">
                    <c:v>8.3523338942765868E-2</c:v>
                  </c:pt>
                  <c:pt idx="2">
                    <c:v>8.3523338942765868E-2</c:v>
                  </c:pt>
                  <c:pt idx="3">
                    <c:v>7.7948701079620292E-2</c:v>
                  </c:pt>
                  <c:pt idx="4">
                    <c:v>7.134916049052506E-2</c:v>
                  </c:pt>
                  <c:pt idx="5">
                    <c:v>6.2642504207074387E-2</c:v>
                  </c:pt>
                  <c:pt idx="6">
                    <c:v>7.554970268477286E-2</c:v>
                  </c:pt>
                  <c:pt idx="7">
                    <c:v>6.469690014899393E-2</c:v>
                  </c:pt>
                  <c:pt idx="8">
                    <c:v>5.3831074811716464E-2</c:v>
                  </c:pt>
                  <c:pt idx="9">
                    <c:v>5.2247460239223838E-2</c:v>
                  </c:pt>
                  <c:pt idx="10">
                    <c:v>5.9614484753731038E-2</c:v>
                  </c:pt>
                  <c:pt idx="11">
                    <c:v>8.6800000000000002E-2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Sheet1!$B$109:$B$121</c:f>
              <c:numCache>
                <c:formatCode>0.0</c:formatCode>
                <c:ptCount val="13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260.95</c:v>
                </c:pt>
                <c:pt idx="12">
                  <c:v>284.14999999999998</c:v>
                </c:pt>
              </c:numCache>
            </c:numRef>
          </c:xVal>
          <c:yVal>
            <c:numRef>
              <c:f>Sheet1!$G$109:$G$121</c:f>
              <c:numCache>
                <c:formatCode>#,##0.00</c:formatCode>
                <c:ptCount val="13"/>
                <c:pt idx="0" formatCode="General">
                  <c:v>2</c:v>
                </c:pt>
                <c:pt idx="1">
                  <c:v>2.5051499783199058</c:v>
                </c:pt>
                <c:pt idx="2">
                  <c:v>2.7323937598229686</c:v>
                </c:pt>
                <c:pt idx="3">
                  <c:v>2.7323937598229686</c:v>
                </c:pt>
                <c:pt idx="4">
                  <c:v>3.0934216851622351</c:v>
                </c:pt>
                <c:pt idx="5">
                  <c:v>3.4712917110589387</c:v>
                </c:pt>
                <c:pt idx="6">
                  <c:v>3.5843312243675309</c:v>
                </c:pt>
                <c:pt idx="7">
                  <c:v>3.7226339225338121</c:v>
                </c:pt>
                <c:pt idx="8">
                  <c:v>4.2552725051033065</c:v>
                </c:pt>
                <c:pt idx="9">
                  <c:v>4.7160033436347994</c:v>
                </c:pt>
                <c:pt idx="10">
                  <c:v>5.5378190950732744</c:v>
                </c:pt>
                <c:pt idx="11">
                  <c:v>6.3263358609287517</c:v>
                </c:pt>
                <c:pt idx="12">
                  <c:v>6.6020599913279625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B-4E43-8EBF-696C5C8BCECF}"/>
            </c:ext>
          </c:extLst>
        </c:ser>
        <c:ser>
          <c:idx val="1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plus>
            <c:minus>
              <c:numRef>
                <c:f>Sheet1!$I$168:$I$178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0.1085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9.0495255700770452E-2</c:v>
                  </c:pt>
                  <c:pt idx="5">
                    <c:v>8.0591776768840509E-2</c:v>
                  </c:pt>
                  <c:pt idx="6">
                    <c:v>5.3021538850636464E-2</c:v>
                  </c:pt>
                  <c:pt idx="7">
                    <c:v>5.1872921645112681E-2</c:v>
                  </c:pt>
                  <c:pt idx="8">
                    <c:v>4.4527460480495683E-2</c:v>
                  </c:pt>
                  <c:pt idx="9">
                    <c:v>4.8828814900189442E-2</c:v>
                  </c:pt>
                  <c:pt idx="10">
                    <c:v>5.1506323965613235E-2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Sheet1!$B$168:$B$178</c:f>
              <c:numCache>
                <c:formatCode>0.0</c:formatCode>
                <c:ptCount val="11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238</c:v>
                </c:pt>
              </c:numCache>
            </c:numRef>
          </c:xVal>
          <c:yVal>
            <c:numRef>
              <c:f>Sheet1!$H$168:$H$178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2.5051499783199058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3.2648178230095364</c:v>
                </c:pt>
                <c:pt idx="5">
                  <c:v>3.3654879848908998</c:v>
                </c:pt>
                <c:pt idx="6">
                  <c:v>4.030194785356751</c:v>
                </c:pt>
                <c:pt idx="7">
                  <c:v>4.7481880270062007</c:v>
                </c:pt>
                <c:pt idx="8">
                  <c:v>5.9777236052888476</c:v>
                </c:pt>
                <c:pt idx="9">
                  <c:v>6.4996870826184034</c:v>
                </c:pt>
                <c:pt idx="10">
                  <c:v>7.0553783313750005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BB-4E43-8EBF-696C5C8BCECF}"/>
            </c:ext>
          </c:extLst>
        </c:ser>
        <c:ser>
          <c:idx val="2"/>
          <c:order val="2"/>
          <c:tx>
            <c:strRef>
              <c:f>Sheet1!$A$191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plus>
            <c:minus>
              <c:numRef>
                <c:f>Sheet1!$I$193:$I$204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0.14466666666666667</c:v>
                  </c:pt>
                  <c:pt idx="2">
                    <c:v>7.7948701079620292E-2</c:v>
                  </c:pt>
                  <c:pt idx="3">
                    <c:v>7.7948701079620292E-2</c:v>
                  </c:pt>
                  <c:pt idx="4">
                    <c:v>7.554970268477286E-2</c:v>
                  </c:pt>
                  <c:pt idx="5">
                    <c:v>7.554970268477286E-2</c:v>
                  </c:pt>
                  <c:pt idx="6">
                    <c:v>6.3305406310086229E-2</c:v>
                  </c:pt>
                  <c:pt idx="7">
                    <c:v>6.7779412659655022E-2</c:v>
                  </c:pt>
                  <c:pt idx="8">
                    <c:v>6.7779412659655036E-2</c:v>
                  </c:pt>
                  <c:pt idx="9">
                    <c:v>3.9292513782453048E-2</c:v>
                  </c:pt>
                  <c:pt idx="10">
                    <c:v>6.0184971290437358E-2</c:v>
                  </c:pt>
                  <c:pt idx="11">
                    <c:v>5.5118055118082682E-2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Sheet1!$B$193:$B$204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Sheet1!$H$193:$H$204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2.255272505103306</c:v>
                </c:pt>
                <c:pt idx="2">
                  <c:v>2.7923916894982539</c:v>
                </c:pt>
                <c:pt idx="3">
                  <c:v>2.7923916894982539</c:v>
                </c:pt>
                <c:pt idx="4">
                  <c:v>3.12057393120585</c:v>
                </c:pt>
                <c:pt idx="5">
                  <c:v>3.4216039268698313</c:v>
                </c:pt>
                <c:pt idx="6">
                  <c:v>3.8762178405916421</c:v>
                </c:pt>
                <c:pt idx="7">
                  <c:v>4.5158738437116792</c:v>
                </c:pt>
                <c:pt idx="8">
                  <c:v>5.6127838567197355</c:v>
                </c:pt>
                <c:pt idx="9">
                  <c:v>6.0863598306747484</c:v>
                </c:pt>
                <c:pt idx="10">
                  <c:v>6.9201233262907236</c:v>
                </c:pt>
                <c:pt idx="11">
                  <c:v>6.9965116721541785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BB-4E43-8EBF-696C5C8BCECF}"/>
            </c:ext>
          </c:extLst>
        </c:ser>
        <c:ser>
          <c:idx val="3"/>
          <c:order val="3"/>
          <c:tx>
            <c:strRef>
              <c:f>Sheet1!$A$216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plus>
            <c:minus>
              <c:numRef>
                <c:f>Sheet1!$I$218:$I$229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0.12036994258087472</c:v>
                  </c:pt>
                  <c:pt idx="2">
                    <c:v>8.0591776768840509E-2</c:v>
                  </c:pt>
                  <c:pt idx="3">
                    <c:v>8.0591776768840509E-2</c:v>
                  </c:pt>
                  <c:pt idx="4">
                    <c:v>6.7779412659655022E-2</c:v>
                  </c:pt>
                  <c:pt idx="5">
                    <c:v>8.2018290643002312E-2</c:v>
                  </c:pt>
                  <c:pt idx="6">
                    <c:v>6.6184379524350426E-2</c:v>
                  </c:pt>
                  <c:pt idx="7">
                    <c:v>6.3305406310086229E-2</c:v>
                  </c:pt>
                  <c:pt idx="8">
                    <c:v>6.5427961773374704E-2</c:v>
                  </c:pt>
                  <c:pt idx="9">
                    <c:v>5.0451475214817569E-2</c:v>
                  </c:pt>
                  <c:pt idx="10">
                    <c:v>7.134916049052506E-2</c:v>
                  </c:pt>
                  <c:pt idx="11">
                    <c:v>5.2247460239223838E-2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Sheet1!$B$218:$B$229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Sheet1!$H$218:$H$229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2.4149733479708178</c:v>
                </c:pt>
                <c:pt idx="2">
                  <c:v>2.7634279935629373</c:v>
                </c:pt>
                <c:pt idx="3">
                  <c:v>2.7634279935629373</c:v>
                </c:pt>
                <c:pt idx="4">
                  <c:v>3.214843848047698</c:v>
                </c:pt>
                <c:pt idx="5">
                  <c:v>3.3502480183341627</c:v>
                </c:pt>
                <c:pt idx="6">
                  <c:v>3.8375884382355112</c:v>
                </c:pt>
                <c:pt idx="7">
                  <c:v>4.5751878449276608</c:v>
                </c:pt>
                <c:pt idx="8">
                  <c:v>5.6434526764861879</c:v>
                </c:pt>
                <c:pt idx="9">
                  <c:v>6.1702617153949575</c:v>
                </c:pt>
                <c:pt idx="10">
                  <c:v>6.77232170672292</c:v>
                </c:pt>
                <c:pt idx="11">
                  <c:v>7.0429690733931798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BB-4E43-8EBF-696C5C8BCECF}"/>
            </c:ext>
          </c:extLst>
        </c:ser>
        <c:ser>
          <c:idx val="4"/>
          <c:order val="4"/>
          <c:tx>
            <c:strRef>
              <c:f>Sheet1!$A$241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plus>
            <c:minus>
              <c:numRef>
                <c:f>Sheet1!$I$243:$I$254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0.1534421715174808</c:v>
                  </c:pt>
                  <c:pt idx="2">
                    <c:v>8.5114402649971874E-2</c:v>
                  </c:pt>
                  <c:pt idx="3">
                    <c:v>8.5114402649971874E-2</c:v>
                  </c:pt>
                  <c:pt idx="4">
                    <c:v>7.9237196652414035E-2</c:v>
                  </c:pt>
                  <c:pt idx="5">
                    <c:v>8.0591776768840509E-2</c:v>
                  </c:pt>
                  <c:pt idx="6">
                    <c:v>8.5114402649971874E-2</c:v>
                  </c:pt>
                  <c:pt idx="7">
                    <c:v>9.2529110898334932E-2</c:v>
                  </c:pt>
                  <c:pt idx="8">
                    <c:v>7.0404096770750935E-2</c:v>
                  </c:pt>
                  <c:pt idx="9">
                    <c:v>4.7927282316483404E-2</c:v>
                  </c:pt>
                  <c:pt idx="10">
                    <c:v>4.2557201324985937E-2</c:v>
                  </c:pt>
                  <c:pt idx="11">
                    <c:v>4.978321424991191E-2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Sheet1!$B$243:$B$254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Sheet1!$H$243:$H$254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2.2041199826559246</c:v>
                </c:pt>
                <c:pt idx="2">
                  <c:v>2.716003343634799</c:v>
                </c:pt>
                <c:pt idx="3">
                  <c:v>2.716003343634799</c:v>
                </c:pt>
                <c:pt idx="4">
                  <c:v>3.0791812460476247</c:v>
                </c:pt>
                <c:pt idx="5">
                  <c:v>3.3654879848908998</c:v>
                </c:pt>
                <c:pt idx="6">
                  <c:v>3.6190933306267428</c:v>
                </c:pt>
                <c:pt idx="7">
                  <c:v>4.2455126678141495</c:v>
                </c:pt>
                <c:pt idx="8">
                  <c:v>4.9777236052888476</c:v>
                </c:pt>
                <c:pt idx="9">
                  <c:v>5.6127838567197355</c:v>
                </c:pt>
                <c:pt idx="10">
                  <c:v>6.6190933306267423</c:v>
                </c:pt>
                <c:pt idx="11">
                  <c:v>7.0849335749367164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BB-4E43-8EBF-696C5C8BCECF}"/>
            </c:ext>
          </c:extLst>
        </c:ser>
        <c:ser>
          <c:idx val="5"/>
          <c:order val="5"/>
          <c:tx>
            <c:strRef>
              <c:f>Sheet1!$A$267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plus>
            <c:minus>
              <c:numRef>
                <c:f>Sheet1!$I$269:$I$280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0.13724285045130766</c:v>
                  </c:pt>
                  <c:pt idx="2">
                    <c:v>9.7045350223490881E-2</c:v>
                  </c:pt>
                  <c:pt idx="3">
                    <c:v>9.7045350223490881E-2</c:v>
                  </c:pt>
                  <c:pt idx="4">
                    <c:v>7.7948701079620292E-2</c:v>
                  </c:pt>
                  <c:pt idx="5">
                    <c:v>8.8589879030658278E-2</c:v>
                  </c:pt>
                  <c:pt idx="6">
                    <c:v>7.6721085758740398E-2</c:v>
                  </c:pt>
                  <c:pt idx="7">
                    <c:v>9.2529110898334932E-2</c:v>
                  </c:pt>
                  <c:pt idx="8">
                    <c:v>6.3305406310086229E-2</c:v>
                  </c:pt>
                  <c:pt idx="9">
                    <c:v>4.8222222222222222E-2</c:v>
                  </c:pt>
                  <c:pt idx="10">
                    <c:v>5.3021538850636471E-2</c:v>
                  </c:pt>
                  <c:pt idx="11">
                    <c:v>5.6029159075133977E-2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Sheet1!$B$269:$B$280</c:f>
              <c:numCache>
                <c:formatCode>0.0</c:formatCode>
                <c:ptCount val="12"/>
                <c:pt idx="0">
                  <c:v>0</c:v>
                </c:pt>
                <c:pt idx="1">
                  <c:v>19.166666670000001</c:v>
                </c:pt>
                <c:pt idx="2">
                  <c:v>46.85</c:v>
                </c:pt>
                <c:pt idx="3">
                  <c:v>69.516666670000006</c:v>
                </c:pt>
                <c:pt idx="4">
                  <c:v>90.116666670000001</c:v>
                </c:pt>
                <c:pt idx="5">
                  <c:v>116.9666667</c:v>
                </c:pt>
                <c:pt idx="6">
                  <c:v>140.25</c:v>
                </c:pt>
                <c:pt idx="7">
                  <c:v>167.9</c:v>
                </c:pt>
                <c:pt idx="8">
                  <c:v>187.7666667</c:v>
                </c:pt>
                <c:pt idx="9">
                  <c:v>212.78333330000001</c:v>
                </c:pt>
                <c:pt idx="10">
                  <c:v>237.95</c:v>
                </c:pt>
                <c:pt idx="11">
                  <c:v>261</c:v>
                </c:pt>
              </c:numCache>
            </c:numRef>
          </c:xVal>
          <c:yVal>
            <c:numRef>
              <c:f>Sheet1!$H$269:$H$280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2.3010299956639813</c:v>
                </c:pt>
                <c:pt idx="2">
                  <c:v>2.9030899869919438</c:v>
                </c:pt>
                <c:pt idx="3">
                  <c:v>2.9030899869919438</c:v>
                </c:pt>
                <c:pt idx="4">
                  <c:v>3.0934216851622351</c:v>
                </c:pt>
                <c:pt idx="5">
                  <c:v>3.2833012287035497</c:v>
                </c:pt>
                <c:pt idx="6">
                  <c:v>3.7092699609758308</c:v>
                </c:pt>
                <c:pt idx="7">
                  <c:v>4.2455126678141495</c:v>
                </c:pt>
                <c:pt idx="8">
                  <c:v>5.0700378666077555</c:v>
                </c:pt>
                <c:pt idx="9">
                  <c:v>5.6074550232146683</c:v>
                </c:pt>
                <c:pt idx="10">
                  <c:v>6.5530735306370884</c:v>
                </c:pt>
                <c:pt idx="11">
                  <c:v>6.982271233039568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BB-4E43-8EBF-696C5C8B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19"/>
        <c:axId val="2553087"/>
      </c:scatterChart>
      <c:valAx>
        <c:axId val="25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87"/>
        <c:crosses val="autoZero"/>
        <c:crossBetween val="midCat"/>
        <c:majorUnit val="50"/>
      </c:valAx>
      <c:valAx>
        <c:axId val="2553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Log10(cell density (cells/ml))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1081087</xdr:colOff>
      <xdr:row>306</xdr:row>
      <xdr:rowOff>76200</xdr:rowOff>
    </xdr:from>
    <xdr:to>
      <xdr:col>7</xdr:col>
      <xdr:colOff>1119187</xdr:colOff>
      <xdr:row>320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C83C6-4043-4258-9308-9AA7C20B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320</xdr:row>
      <xdr:rowOff>0</xdr:rowOff>
    </xdr:from>
    <xdr:to>
      <xdr:col>7</xdr:col>
      <xdr:colOff>38100</xdr:colOff>
      <xdr:row>333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93F89-DCEC-41C0-B9A6-68CB39F4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336</xdr:row>
      <xdr:rowOff>0</xdr:rowOff>
    </xdr:from>
    <xdr:to>
      <xdr:col>7</xdr:col>
      <xdr:colOff>38100</xdr:colOff>
      <xdr:row>349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A4757-178C-4B81-9011-EC7AFBC4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37"/>
  <sheetViews>
    <sheetView tabSelected="1" workbookViewId="0"/>
  </sheetViews>
  <sheetFormatPr defaultColWidth="14.42578125" defaultRowHeight="15.75" customHeight="1" x14ac:dyDescent="0.2"/>
  <cols>
    <col min="4" max="4" width="18.42578125" customWidth="1"/>
    <col min="5" max="5" width="16" customWidth="1"/>
    <col min="7" max="7" width="16.140625" customWidth="1"/>
    <col min="8" max="8" width="18" customWidth="1"/>
  </cols>
  <sheetData>
    <row r="1" spans="1:5" ht="15.75" customHeight="1" x14ac:dyDescent="0.2">
      <c r="A1" t="s">
        <v>86</v>
      </c>
    </row>
    <row r="2" spans="1:5" ht="15.75" customHeight="1" x14ac:dyDescent="0.2">
      <c r="A2" s="1" t="s">
        <v>85</v>
      </c>
    </row>
    <row r="3" spans="1:5" ht="15.75" customHeight="1" x14ac:dyDescent="0.2">
      <c r="A3" s="2" t="s">
        <v>0</v>
      </c>
    </row>
    <row r="4" spans="1:5" ht="15.75" customHeight="1" x14ac:dyDescent="0.2">
      <c r="A4" s="2" t="s">
        <v>1</v>
      </c>
      <c r="B4" s="3">
        <v>40382</v>
      </c>
      <c r="C4" s="4">
        <v>0.56458333333333333</v>
      </c>
    </row>
    <row r="5" spans="1:5" ht="15.75" customHeight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ht="15.75" customHeight="1" x14ac:dyDescent="0.2">
      <c r="A6" s="2" t="s">
        <v>7</v>
      </c>
      <c r="B6" s="2">
        <v>16</v>
      </c>
      <c r="C6" s="2">
        <v>1</v>
      </c>
      <c r="D6" s="2">
        <v>20</v>
      </c>
      <c r="E6" s="5">
        <f t="shared" ref="E6:E11" si="0">B6*C6*D6</f>
        <v>320</v>
      </c>
    </row>
    <row r="7" spans="1:5" ht="15.75" customHeight="1" x14ac:dyDescent="0.2">
      <c r="A7" s="2" t="s">
        <v>8</v>
      </c>
      <c r="B7" s="2">
        <v>16</v>
      </c>
      <c r="C7" s="2">
        <v>1</v>
      </c>
      <c r="D7" s="2">
        <v>20</v>
      </c>
      <c r="E7" s="5">
        <f t="shared" si="0"/>
        <v>320</v>
      </c>
    </row>
    <row r="8" spans="1:5" ht="15.75" customHeight="1" x14ac:dyDescent="0.2">
      <c r="A8" s="2" t="s">
        <v>9</v>
      </c>
      <c r="B8" s="2">
        <v>9</v>
      </c>
      <c r="C8" s="2">
        <v>1</v>
      </c>
      <c r="D8" s="2">
        <v>20</v>
      </c>
      <c r="E8" s="5">
        <f t="shared" si="0"/>
        <v>180</v>
      </c>
    </row>
    <row r="9" spans="1:5" ht="15.75" customHeight="1" x14ac:dyDescent="0.2">
      <c r="A9" s="2" t="s">
        <v>10</v>
      </c>
      <c r="B9" s="2">
        <v>13</v>
      </c>
      <c r="C9" s="2">
        <v>1</v>
      </c>
      <c r="D9" s="2">
        <v>20</v>
      </c>
      <c r="E9" s="5">
        <f t="shared" si="0"/>
        <v>260</v>
      </c>
    </row>
    <row r="10" spans="1:5" ht="15.75" customHeight="1" x14ac:dyDescent="0.2">
      <c r="A10" s="2" t="s">
        <v>11</v>
      </c>
      <c r="B10" s="2">
        <v>8</v>
      </c>
      <c r="C10" s="2">
        <v>1</v>
      </c>
      <c r="D10" s="2">
        <v>20</v>
      </c>
      <c r="E10" s="5">
        <f t="shared" si="0"/>
        <v>160</v>
      </c>
    </row>
    <row r="11" spans="1:5" ht="15.75" customHeight="1" x14ac:dyDescent="0.2">
      <c r="A11" s="2" t="s">
        <v>12</v>
      </c>
      <c r="B11" s="2">
        <v>10</v>
      </c>
      <c r="C11" s="2">
        <v>1</v>
      </c>
      <c r="D11" s="2">
        <v>20</v>
      </c>
      <c r="E11" s="5">
        <f t="shared" si="0"/>
        <v>200</v>
      </c>
    </row>
    <row r="13" spans="1:5" ht="15.75" customHeight="1" x14ac:dyDescent="0.2">
      <c r="A13" s="2" t="s">
        <v>13</v>
      </c>
      <c r="B13" s="3">
        <v>40383</v>
      </c>
      <c r="C13" s="4">
        <v>0.7006944444444444</v>
      </c>
    </row>
    <row r="14" spans="1:5" ht="15.75" customHeight="1" x14ac:dyDescent="0.2">
      <c r="A14" s="2" t="s">
        <v>2</v>
      </c>
      <c r="B14" s="2" t="s">
        <v>3</v>
      </c>
      <c r="C14" s="2" t="s">
        <v>4</v>
      </c>
      <c r="D14" s="2" t="s">
        <v>5</v>
      </c>
      <c r="E14" s="2" t="s">
        <v>6</v>
      </c>
    </row>
    <row r="15" spans="1:5" ht="15.75" customHeight="1" x14ac:dyDescent="0.2">
      <c r="A15" s="2" t="s">
        <v>7</v>
      </c>
      <c r="B15" s="2">
        <v>27</v>
      </c>
      <c r="C15" s="2">
        <v>1</v>
      </c>
      <c r="D15" s="2">
        <v>20</v>
      </c>
      <c r="E15" s="5">
        <f t="shared" ref="E15:E20" si="1">B15*C15*D15</f>
        <v>540</v>
      </c>
    </row>
    <row r="16" spans="1:5" ht="15.75" customHeight="1" x14ac:dyDescent="0.2">
      <c r="A16" s="2" t="s">
        <v>8</v>
      </c>
      <c r="B16" s="2">
        <v>20</v>
      </c>
      <c r="C16" s="2">
        <v>2</v>
      </c>
      <c r="D16" s="2">
        <v>20</v>
      </c>
      <c r="E16" s="5">
        <f t="shared" si="1"/>
        <v>800</v>
      </c>
    </row>
    <row r="17" spans="1:5" ht="15.75" customHeight="1" x14ac:dyDescent="0.2">
      <c r="A17" s="2" t="s">
        <v>9</v>
      </c>
      <c r="B17" s="2">
        <v>31</v>
      </c>
      <c r="C17" s="2">
        <v>1</v>
      </c>
      <c r="D17" s="2">
        <v>20</v>
      </c>
      <c r="E17" s="5">
        <f t="shared" si="1"/>
        <v>620</v>
      </c>
    </row>
    <row r="18" spans="1:5" ht="15.75" customHeight="1" x14ac:dyDescent="0.2">
      <c r="A18" s="2" t="s">
        <v>10</v>
      </c>
      <c r="B18" s="2">
        <v>29</v>
      </c>
      <c r="C18" s="2">
        <v>1</v>
      </c>
      <c r="D18" s="2">
        <v>20</v>
      </c>
      <c r="E18" s="5">
        <f t="shared" si="1"/>
        <v>580</v>
      </c>
    </row>
    <row r="19" spans="1:5" ht="15.75" customHeight="1" x14ac:dyDescent="0.2">
      <c r="A19" s="2" t="s">
        <v>11</v>
      </c>
      <c r="B19" s="2">
        <v>26</v>
      </c>
      <c r="C19" s="2">
        <v>1</v>
      </c>
      <c r="D19" s="2">
        <v>20</v>
      </c>
      <c r="E19" s="5">
        <f t="shared" si="1"/>
        <v>520</v>
      </c>
    </row>
    <row r="20" spans="1:5" ht="15.75" customHeight="1" x14ac:dyDescent="0.2">
      <c r="A20" s="2" t="s">
        <v>12</v>
      </c>
      <c r="B20" s="2">
        <v>20</v>
      </c>
      <c r="C20" s="2">
        <v>2</v>
      </c>
      <c r="D20" s="2">
        <v>20</v>
      </c>
      <c r="E20" s="5">
        <f t="shared" si="1"/>
        <v>800</v>
      </c>
    </row>
    <row r="22" spans="1:5" ht="15.75" customHeight="1" x14ac:dyDescent="0.2">
      <c r="A22" s="2" t="s">
        <v>13</v>
      </c>
      <c r="B22" s="3">
        <v>40383</v>
      </c>
      <c r="C22" s="4">
        <v>0.7006944444444444</v>
      </c>
    </row>
    <row r="23" spans="1:5" ht="12.75" x14ac:dyDescent="0.2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</row>
    <row r="24" spans="1:5" ht="12.75" x14ac:dyDescent="0.2">
      <c r="A24" s="2" t="s">
        <v>7</v>
      </c>
      <c r="B24" s="2">
        <v>27</v>
      </c>
      <c r="C24" s="2">
        <v>1</v>
      </c>
      <c r="D24" s="2">
        <v>20</v>
      </c>
      <c r="E24" s="5">
        <f t="shared" ref="E24:E29" si="2">B24*C24*D24</f>
        <v>540</v>
      </c>
    </row>
    <row r="25" spans="1:5" ht="12.75" x14ac:dyDescent="0.2">
      <c r="A25" s="2" t="s">
        <v>8</v>
      </c>
      <c r="B25" s="2">
        <v>20</v>
      </c>
      <c r="C25" s="2">
        <v>2</v>
      </c>
      <c r="D25" s="2">
        <v>20</v>
      </c>
      <c r="E25" s="5">
        <f t="shared" si="2"/>
        <v>800</v>
      </c>
    </row>
    <row r="26" spans="1:5" ht="12.75" x14ac:dyDescent="0.2">
      <c r="A26" s="2" t="s">
        <v>9</v>
      </c>
      <c r="B26" s="2">
        <v>31</v>
      </c>
      <c r="C26" s="2">
        <v>1</v>
      </c>
      <c r="D26" s="2">
        <v>20</v>
      </c>
      <c r="E26" s="5">
        <f t="shared" si="2"/>
        <v>620</v>
      </c>
    </row>
    <row r="27" spans="1:5" ht="12.75" x14ac:dyDescent="0.2">
      <c r="A27" s="2" t="s">
        <v>10</v>
      </c>
      <c r="B27" s="2">
        <v>29</v>
      </c>
      <c r="C27" s="2">
        <v>1</v>
      </c>
      <c r="D27" s="2">
        <v>20</v>
      </c>
      <c r="E27" s="5">
        <f t="shared" si="2"/>
        <v>580</v>
      </c>
    </row>
    <row r="28" spans="1:5" ht="12.75" x14ac:dyDescent="0.2">
      <c r="A28" s="2" t="s">
        <v>11</v>
      </c>
      <c r="B28" s="2">
        <v>26</v>
      </c>
      <c r="C28" s="2">
        <v>1</v>
      </c>
      <c r="D28" s="2">
        <v>20</v>
      </c>
      <c r="E28" s="5">
        <f t="shared" si="2"/>
        <v>520</v>
      </c>
    </row>
    <row r="29" spans="1:5" ht="12.75" x14ac:dyDescent="0.2">
      <c r="A29" s="2" t="s">
        <v>12</v>
      </c>
      <c r="B29" s="2">
        <v>20</v>
      </c>
      <c r="C29" s="2">
        <v>2</v>
      </c>
      <c r="D29" s="2">
        <v>20</v>
      </c>
      <c r="E29" s="5">
        <f t="shared" si="2"/>
        <v>800</v>
      </c>
    </row>
    <row r="31" spans="1:5" ht="12.75" x14ac:dyDescent="0.2">
      <c r="A31" s="2" t="s">
        <v>14</v>
      </c>
      <c r="B31" s="3">
        <v>40384</v>
      </c>
      <c r="C31" s="4">
        <v>0.64166666666666672</v>
      </c>
    </row>
    <row r="32" spans="1:5" ht="12.75" x14ac:dyDescent="0.2">
      <c r="A32" s="2" t="s">
        <v>2</v>
      </c>
      <c r="B32" s="2" t="s">
        <v>3</v>
      </c>
      <c r="C32" s="2" t="s">
        <v>4</v>
      </c>
      <c r="D32" s="2" t="s">
        <v>5</v>
      </c>
      <c r="E32" s="2" t="s">
        <v>6</v>
      </c>
    </row>
    <row r="33" spans="1:5" ht="12.75" x14ac:dyDescent="0.2">
      <c r="A33" s="2" t="s">
        <v>7</v>
      </c>
      <c r="B33" s="2">
        <v>31</v>
      </c>
      <c r="C33" s="2">
        <v>2</v>
      </c>
      <c r="D33" s="2">
        <v>20</v>
      </c>
      <c r="E33" s="5">
        <f t="shared" ref="E33:E38" si="3">B33*C33*D33</f>
        <v>1240</v>
      </c>
    </row>
    <row r="34" spans="1:5" ht="12.75" x14ac:dyDescent="0.2">
      <c r="A34" s="2" t="s">
        <v>8</v>
      </c>
      <c r="B34" s="2">
        <v>23</v>
      </c>
      <c r="C34" s="2">
        <v>4</v>
      </c>
      <c r="D34" s="2">
        <v>20</v>
      </c>
      <c r="E34" s="5">
        <f t="shared" si="3"/>
        <v>1840</v>
      </c>
    </row>
    <row r="35" spans="1:5" ht="12.75" x14ac:dyDescent="0.2">
      <c r="A35" s="2" t="s">
        <v>9</v>
      </c>
      <c r="B35" s="2">
        <v>33</v>
      </c>
      <c r="C35" s="2">
        <v>2</v>
      </c>
      <c r="D35" s="2">
        <v>20</v>
      </c>
      <c r="E35" s="5">
        <f t="shared" si="3"/>
        <v>1320</v>
      </c>
    </row>
    <row r="36" spans="1:5" ht="12.75" x14ac:dyDescent="0.2">
      <c r="A36" s="2" t="s">
        <v>10</v>
      </c>
      <c r="B36" s="2">
        <v>41</v>
      </c>
      <c r="C36" s="2">
        <v>2</v>
      </c>
      <c r="D36" s="2">
        <v>20</v>
      </c>
      <c r="E36" s="5">
        <f t="shared" si="3"/>
        <v>1640</v>
      </c>
    </row>
    <row r="37" spans="1:5" ht="12.75" x14ac:dyDescent="0.2">
      <c r="A37" s="2" t="s">
        <v>11</v>
      </c>
      <c r="B37" s="2">
        <v>30</v>
      </c>
      <c r="C37" s="2">
        <v>2</v>
      </c>
      <c r="D37" s="2">
        <v>20</v>
      </c>
      <c r="E37" s="5">
        <f t="shared" si="3"/>
        <v>1200</v>
      </c>
    </row>
    <row r="38" spans="1:5" ht="12.75" x14ac:dyDescent="0.2">
      <c r="A38" s="2" t="s">
        <v>12</v>
      </c>
      <c r="B38" s="2">
        <v>31</v>
      </c>
      <c r="C38" s="2">
        <v>2</v>
      </c>
      <c r="D38" s="2">
        <v>20</v>
      </c>
      <c r="E38" s="5">
        <f t="shared" si="3"/>
        <v>1240</v>
      </c>
    </row>
    <row r="40" spans="1:5" ht="12.75" x14ac:dyDescent="0.2">
      <c r="A40" s="2" t="s">
        <v>15</v>
      </c>
      <c r="B40" s="3">
        <v>40385</v>
      </c>
      <c r="C40" s="6">
        <v>0.49861111111111112</v>
      </c>
    </row>
    <row r="41" spans="1:5" ht="12.75" x14ac:dyDescent="0.2">
      <c r="A41" s="2" t="s">
        <v>2</v>
      </c>
      <c r="B41" s="2" t="s">
        <v>3</v>
      </c>
      <c r="C41" s="2" t="s">
        <v>4</v>
      </c>
      <c r="D41" s="2" t="s">
        <v>5</v>
      </c>
      <c r="E41" s="2" t="s">
        <v>6</v>
      </c>
    </row>
    <row r="42" spans="1:5" ht="12.75" x14ac:dyDescent="0.2">
      <c r="A42" s="2" t="s">
        <v>7</v>
      </c>
      <c r="B42" s="2">
        <v>37</v>
      </c>
      <c r="C42" s="2">
        <v>4</v>
      </c>
      <c r="D42" s="2">
        <v>20</v>
      </c>
      <c r="E42" s="5">
        <f t="shared" ref="E42:E47" si="4">B42*C42*D42</f>
        <v>2960</v>
      </c>
    </row>
    <row r="43" spans="1:5" ht="12.75" x14ac:dyDescent="0.2">
      <c r="A43" s="2" t="s">
        <v>8</v>
      </c>
      <c r="B43" s="2">
        <v>29</v>
      </c>
      <c r="C43" s="2">
        <v>4</v>
      </c>
      <c r="D43" s="2">
        <v>20</v>
      </c>
      <c r="E43" s="5">
        <f t="shared" si="4"/>
        <v>2320</v>
      </c>
    </row>
    <row r="44" spans="1:5" ht="12.75" x14ac:dyDescent="0.2">
      <c r="A44" s="2" t="s">
        <v>9</v>
      </c>
      <c r="B44" s="2">
        <v>33</v>
      </c>
      <c r="C44" s="2">
        <v>4</v>
      </c>
      <c r="D44" s="2">
        <v>20</v>
      </c>
      <c r="E44" s="5">
        <f t="shared" si="4"/>
        <v>2640</v>
      </c>
    </row>
    <row r="45" spans="1:5" ht="12.75" x14ac:dyDescent="0.2">
      <c r="A45" s="2" t="s">
        <v>10</v>
      </c>
      <c r="B45" s="2">
        <v>28</v>
      </c>
      <c r="C45" s="2">
        <v>4</v>
      </c>
      <c r="D45" s="2">
        <v>20</v>
      </c>
      <c r="E45" s="5">
        <f t="shared" si="4"/>
        <v>2240</v>
      </c>
    </row>
    <row r="46" spans="1:5" ht="12.75" x14ac:dyDescent="0.2">
      <c r="A46" s="2" t="s">
        <v>11</v>
      </c>
      <c r="B46" s="2">
        <v>29</v>
      </c>
      <c r="C46" s="2">
        <v>4</v>
      </c>
      <c r="D46" s="2">
        <v>20</v>
      </c>
      <c r="E46" s="5">
        <f t="shared" si="4"/>
        <v>2320</v>
      </c>
    </row>
    <row r="47" spans="1:5" ht="12.75" x14ac:dyDescent="0.2">
      <c r="A47" s="2" t="s">
        <v>12</v>
      </c>
      <c r="B47" s="2">
        <v>24</v>
      </c>
      <c r="C47" s="2">
        <v>4</v>
      </c>
      <c r="D47" s="2">
        <v>20</v>
      </c>
      <c r="E47" s="5">
        <f t="shared" si="4"/>
        <v>1920</v>
      </c>
    </row>
    <row r="49" spans="1:5" ht="12.75" x14ac:dyDescent="0.2">
      <c r="A49" s="2" t="s">
        <v>16</v>
      </c>
      <c r="B49" s="3">
        <v>40386</v>
      </c>
      <c r="C49" s="6">
        <v>0.61805555555555558</v>
      </c>
    </row>
    <row r="50" spans="1:5" ht="12.75" x14ac:dyDescent="0.2">
      <c r="A50" s="2" t="s">
        <v>2</v>
      </c>
      <c r="B50" s="2" t="s">
        <v>3</v>
      </c>
      <c r="C50" s="2" t="s">
        <v>4</v>
      </c>
      <c r="D50" s="2" t="s">
        <v>5</v>
      </c>
      <c r="E50" s="2" t="s">
        <v>6</v>
      </c>
    </row>
    <row r="51" spans="1:5" ht="12.75" x14ac:dyDescent="0.2">
      <c r="A51" s="2" t="s">
        <v>7</v>
      </c>
      <c r="B51" s="2">
        <v>48</v>
      </c>
      <c r="C51" s="2">
        <v>4</v>
      </c>
      <c r="D51" s="2">
        <v>20</v>
      </c>
      <c r="E51" s="5">
        <f t="shared" ref="E51:E56" si="5">B51*C51*D51</f>
        <v>3840</v>
      </c>
    </row>
    <row r="52" spans="1:5" ht="12.75" x14ac:dyDescent="0.2">
      <c r="A52" s="2" t="s">
        <v>8</v>
      </c>
      <c r="B52" s="2">
        <v>67</v>
      </c>
      <c r="C52" s="2">
        <v>8</v>
      </c>
      <c r="D52" s="2">
        <v>20</v>
      </c>
      <c r="E52" s="5">
        <f t="shared" si="5"/>
        <v>10720</v>
      </c>
    </row>
    <row r="53" spans="1:5" ht="12.75" x14ac:dyDescent="0.2">
      <c r="A53" s="2" t="s">
        <v>9</v>
      </c>
      <c r="B53" s="2">
        <v>47</v>
      </c>
      <c r="C53" s="2">
        <v>8</v>
      </c>
      <c r="D53" s="2">
        <v>20</v>
      </c>
      <c r="E53" s="5">
        <f t="shared" si="5"/>
        <v>7520</v>
      </c>
    </row>
    <row r="54" spans="1:5" ht="12.75" x14ac:dyDescent="0.2">
      <c r="A54" s="2" t="s">
        <v>10</v>
      </c>
      <c r="B54" s="2">
        <v>43</v>
      </c>
      <c r="C54" s="2">
        <v>8</v>
      </c>
      <c r="D54" s="2">
        <v>20</v>
      </c>
      <c r="E54" s="5">
        <f t="shared" si="5"/>
        <v>6880</v>
      </c>
    </row>
    <row r="55" spans="1:5" ht="12.75" x14ac:dyDescent="0.2">
      <c r="A55" s="2" t="s">
        <v>11</v>
      </c>
      <c r="B55" s="2">
        <v>26</v>
      </c>
      <c r="C55" s="2">
        <v>8</v>
      </c>
      <c r="D55" s="2">
        <v>20</v>
      </c>
      <c r="E55" s="5">
        <f t="shared" si="5"/>
        <v>4160</v>
      </c>
    </row>
    <row r="56" spans="1:5" ht="12.75" x14ac:dyDescent="0.2">
      <c r="A56" s="2" t="s">
        <v>12</v>
      </c>
      <c r="B56" s="2">
        <v>32</v>
      </c>
      <c r="C56" s="2">
        <v>8</v>
      </c>
      <c r="D56" s="2">
        <v>20</v>
      </c>
      <c r="E56" s="5">
        <f t="shared" si="5"/>
        <v>5120</v>
      </c>
    </row>
    <row r="58" spans="1:5" ht="12.75" x14ac:dyDescent="0.2">
      <c r="A58" s="2" t="s">
        <v>17</v>
      </c>
      <c r="B58" s="3">
        <v>40387</v>
      </c>
      <c r="C58" s="6">
        <v>0.58819444444444446</v>
      </c>
    </row>
    <row r="59" spans="1:5" ht="12.75" x14ac:dyDescent="0.2">
      <c r="A59" s="2" t="s">
        <v>2</v>
      </c>
      <c r="B59" s="2" t="s">
        <v>3</v>
      </c>
      <c r="C59" s="2" t="s">
        <v>4</v>
      </c>
      <c r="D59" s="2" t="s">
        <v>5</v>
      </c>
      <c r="E59" s="2" t="s">
        <v>6</v>
      </c>
    </row>
    <row r="60" spans="1:5" ht="12.75" x14ac:dyDescent="0.2">
      <c r="A60" s="2" t="s">
        <v>7</v>
      </c>
      <c r="B60" s="2">
        <v>33</v>
      </c>
      <c r="C60" s="2">
        <v>8</v>
      </c>
      <c r="D60" s="2">
        <v>20</v>
      </c>
      <c r="E60" s="5">
        <f t="shared" ref="E60:E65" si="6">B60*C60*D60</f>
        <v>5280</v>
      </c>
    </row>
    <row r="61" spans="1:5" ht="12.75" x14ac:dyDescent="0.2">
      <c r="A61" s="2" t="s">
        <v>8</v>
      </c>
      <c r="B61" s="2">
        <v>70</v>
      </c>
      <c r="C61" s="2">
        <v>40</v>
      </c>
      <c r="D61" s="2">
        <v>20</v>
      </c>
      <c r="E61" s="5">
        <f t="shared" si="6"/>
        <v>56000</v>
      </c>
    </row>
    <row r="62" spans="1:5" ht="12.75" x14ac:dyDescent="0.2">
      <c r="A62" s="2" t="s">
        <v>9</v>
      </c>
      <c r="B62" s="2">
        <v>41</v>
      </c>
      <c r="C62" s="2">
        <v>40</v>
      </c>
      <c r="D62" s="2">
        <v>20</v>
      </c>
      <c r="E62" s="5">
        <f t="shared" si="6"/>
        <v>32800</v>
      </c>
    </row>
    <row r="63" spans="1:5" ht="12.75" x14ac:dyDescent="0.2">
      <c r="A63" s="2" t="s">
        <v>10</v>
      </c>
      <c r="B63" s="2">
        <v>47</v>
      </c>
      <c r="C63" s="2">
        <v>40</v>
      </c>
      <c r="D63" s="2">
        <v>20</v>
      </c>
      <c r="E63" s="5">
        <f t="shared" si="6"/>
        <v>37600</v>
      </c>
    </row>
    <row r="64" spans="1:5" ht="12.75" x14ac:dyDescent="0.2">
      <c r="A64" s="2" t="s">
        <v>11</v>
      </c>
      <c r="B64" s="2">
        <v>22</v>
      </c>
      <c r="C64" s="2">
        <v>40</v>
      </c>
      <c r="D64" s="2">
        <v>20</v>
      </c>
      <c r="E64" s="5">
        <f t="shared" si="6"/>
        <v>17600</v>
      </c>
    </row>
    <row r="65" spans="1:5" ht="12.75" x14ac:dyDescent="0.2">
      <c r="A65" s="2" t="s">
        <v>12</v>
      </c>
      <c r="B65" s="2">
        <v>22</v>
      </c>
      <c r="C65" s="2">
        <v>40</v>
      </c>
      <c r="D65" s="2">
        <v>20</v>
      </c>
      <c r="E65" s="5">
        <f t="shared" si="6"/>
        <v>17600</v>
      </c>
    </row>
    <row r="67" spans="1:5" ht="12.75" x14ac:dyDescent="0.2">
      <c r="A67" s="2" t="s">
        <v>18</v>
      </c>
      <c r="B67" s="3">
        <v>40388</v>
      </c>
      <c r="C67" s="6">
        <v>0.74097222222222225</v>
      </c>
    </row>
    <row r="68" spans="1:5" ht="12.75" x14ac:dyDescent="0.2">
      <c r="A68" s="2" t="s">
        <v>2</v>
      </c>
      <c r="B68" s="2" t="s">
        <v>3</v>
      </c>
      <c r="C68" s="2" t="s">
        <v>4</v>
      </c>
      <c r="D68" s="2" t="s">
        <v>5</v>
      </c>
      <c r="E68" s="2" t="s">
        <v>6</v>
      </c>
    </row>
    <row r="69" spans="1:5" ht="12.75" x14ac:dyDescent="0.2">
      <c r="A69" s="2" t="s">
        <v>7</v>
      </c>
      <c r="B69" s="2">
        <v>45</v>
      </c>
      <c r="C69" s="2">
        <v>20</v>
      </c>
      <c r="D69" s="7">
        <v>20</v>
      </c>
      <c r="E69" s="5">
        <f t="shared" ref="E69:E74" si="7">B69*C69*D69</f>
        <v>18000</v>
      </c>
    </row>
    <row r="70" spans="1:5" ht="12.75" x14ac:dyDescent="0.2">
      <c r="A70" s="2" t="s">
        <v>8</v>
      </c>
      <c r="B70" s="2">
        <v>95</v>
      </c>
      <c r="C70" s="2">
        <v>1</v>
      </c>
      <c r="D70" s="8">
        <v>10000</v>
      </c>
      <c r="E70" s="9">
        <f t="shared" si="7"/>
        <v>950000</v>
      </c>
    </row>
    <row r="71" spans="1:5" ht="12.75" x14ac:dyDescent="0.2">
      <c r="A71" s="2" t="s">
        <v>9</v>
      </c>
      <c r="B71" s="2">
        <v>41</v>
      </c>
      <c r="C71" s="2">
        <v>1</v>
      </c>
      <c r="D71" s="8">
        <v>10000</v>
      </c>
      <c r="E71" s="9">
        <f t="shared" si="7"/>
        <v>410000</v>
      </c>
    </row>
    <row r="72" spans="1:5" ht="12.75" x14ac:dyDescent="0.2">
      <c r="A72" s="2" t="s">
        <v>10</v>
      </c>
      <c r="B72" s="2">
        <v>44</v>
      </c>
      <c r="C72" s="2">
        <v>1</v>
      </c>
      <c r="D72" s="8">
        <v>10000</v>
      </c>
      <c r="E72" s="9">
        <f t="shared" si="7"/>
        <v>440000</v>
      </c>
    </row>
    <row r="73" spans="1:5" ht="12.75" x14ac:dyDescent="0.2">
      <c r="A73" s="2" t="s">
        <v>11</v>
      </c>
      <c r="B73" s="2">
        <v>38</v>
      </c>
      <c r="C73" s="2">
        <f>1/4</f>
        <v>0.25</v>
      </c>
      <c r="D73" s="8">
        <v>10000</v>
      </c>
      <c r="E73" s="9">
        <f t="shared" si="7"/>
        <v>95000</v>
      </c>
    </row>
    <row r="74" spans="1:5" ht="12.75" x14ac:dyDescent="0.2">
      <c r="A74" s="2" t="s">
        <v>12</v>
      </c>
      <c r="B74" s="2">
        <v>47</v>
      </c>
      <c r="C74" s="2">
        <f>1/4</f>
        <v>0.25</v>
      </c>
      <c r="D74" s="8">
        <v>10000</v>
      </c>
      <c r="E74" s="9">
        <f t="shared" si="7"/>
        <v>117500</v>
      </c>
    </row>
    <row r="76" spans="1:5" ht="12.75" x14ac:dyDescent="0.2">
      <c r="A76" s="2" t="s">
        <v>19</v>
      </c>
      <c r="B76" s="3">
        <v>40389</v>
      </c>
      <c r="C76" s="6">
        <v>0.74097222222222225</v>
      </c>
    </row>
    <row r="77" spans="1:5" ht="12.75" x14ac:dyDescent="0.2">
      <c r="A77" s="2" t="s">
        <v>2</v>
      </c>
      <c r="B77" s="2" t="s">
        <v>3</v>
      </c>
      <c r="C77" s="2" t="s">
        <v>4</v>
      </c>
      <c r="D77" s="2" t="s">
        <v>5</v>
      </c>
      <c r="E77" s="2" t="s">
        <v>6</v>
      </c>
    </row>
    <row r="78" spans="1:5" ht="12.75" x14ac:dyDescent="0.2">
      <c r="A78" s="2" t="s">
        <v>7</v>
      </c>
      <c r="B78" s="2">
        <v>65</v>
      </c>
      <c r="C78" s="2">
        <v>40</v>
      </c>
      <c r="D78" s="7">
        <v>20</v>
      </c>
      <c r="E78" s="5">
        <f t="shared" ref="E78:E83" si="8">B78*C78*D78</f>
        <v>52000</v>
      </c>
    </row>
    <row r="79" spans="1:5" ht="12.75" x14ac:dyDescent="0.2">
      <c r="A79" s="2" t="s">
        <v>8</v>
      </c>
      <c r="B79" s="2">
        <v>79</v>
      </c>
      <c r="C79" s="2">
        <f>16/4</f>
        <v>4</v>
      </c>
      <c r="D79" s="8">
        <v>10000</v>
      </c>
      <c r="E79" s="9">
        <f t="shared" si="8"/>
        <v>3160000</v>
      </c>
    </row>
    <row r="80" spans="1:5" ht="12.75" x14ac:dyDescent="0.2">
      <c r="A80" s="2" t="s">
        <v>9</v>
      </c>
      <c r="B80" s="2">
        <v>122</v>
      </c>
      <c r="C80" s="2">
        <v>1</v>
      </c>
      <c r="D80" s="8">
        <v>10000</v>
      </c>
      <c r="E80" s="9">
        <f t="shared" si="8"/>
        <v>1220000</v>
      </c>
    </row>
    <row r="81" spans="1:5" ht="12.75" x14ac:dyDescent="0.2">
      <c r="A81" s="2" t="s">
        <v>10</v>
      </c>
      <c r="B81" s="2">
        <v>74</v>
      </c>
      <c r="C81" s="2">
        <f>16/8</f>
        <v>2</v>
      </c>
      <c r="D81" s="8">
        <v>10000</v>
      </c>
      <c r="E81" s="9">
        <f t="shared" si="8"/>
        <v>1480000</v>
      </c>
    </row>
    <row r="82" spans="1:5" ht="12.75" x14ac:dyDescent="0.2">
      <c r="A82" s="2" t="s">
        <v>11</v>
      </c>
      <c r="B82" s="2">
        <v>82</v>
      </c>
      <c r="C82" s="5">
        <f>1/2</f>
        <v>0.5</v>
      </c>
      <c r="D82" s="8">
        <v>10000</v>
      </c>
      <c r="E82" s="9">
        <f t="shared" si="8"/>
        <v>410000</v>
      </c>
    </row>
    <row r="83" spans="1:5" ht="12.75" x14ac:dyDescent="0.2">
      <c r="A83" s="2" t="s">
        <v>12</v>
      </c>
      <c r="B83" s="2">
        <v>81</v>
      </c>
      <c r="C83" s="2">
        <f>1/2</f>
        <v>0.5</v>
      </c>
      <c r="D83" s="8">
        <v>10000</v>
      </c>
      <c r="E83" s="9">
        <f t="shared" si="8"/>
        <v>405000</v>
      </c>
    </row>
    <row r="85" spans="1:5" ht="12.75" x14ac:dyDescent="0.2">
      <c r="A85" s="2" t="s">
        <v>20</v>
      </c>
      <c r="B85" s="3">
        <v>40390</v>
      </c>
      <c r="C85" s="6">
        <v>0.61111111111111116</v>
      </c>
    </row>
    <row r="86" spans="1:5" ht="12.75" x14ac:dyDescent="0.2">
      <c r="A86" s="2" t="s">
        <v>2</v>
      </c>
      <c r="B86" s="2" t="s">
        <v>3</v>
      </c>
      <c r="C86" s="2" t="s">
        <v>4</v>
      </c>
      <c r="D86" s="2" t="s">
        <v>5</v>
      </c>
      <c r="E86" s="2" t="s">
        <v>6</v>
      </c>
    </row>
    <row r="87" spans="1:5" ht="12.75" x14ac:dyDescent="0.2">
      <c r="A87" s="2" t="s">
        <v>7</v>
      </c>
      <c r="B87" s="2">
        <v>69</v>
      </c>
      <c r="C87" s="2">
        <f>1/2</f>
        <v>0.5</v>
      </c>
      <c r="D87" s="7">
        <v>10000</v>
      </c>
      <c r="E87" s="5">
        <f t="shared" ref="E87:E92" si="9">B87*C87*D87</f>
        <v>345000</v>
      </c>
    </row>
    <row r="88" spans="1:5" ht="12.75" x14ac:dyDescent="0.2">
      <c r="A88" s="2" t="s">
        <v>8</v>
      </c>
      <c r="B88" s="2">
        <v>71</v>
      </c>
      <c r="C88" s="2">
        <v>16</v>
      </c>
      <c r="D88" s="8">
        <v>10000</v>
      </c>
      <c r="E88" s="9">
        <f t="shared" si="9"/>
        <v>11360000</v>
      </c>
    </row>
    <row r="89" spans="1:5" ht="12.75" x14ac:dyDescent="0.2">
      <c r="A89" s="2" t="s">
        <v>9</v>
      </c>
      <c r="B89" s="2">
        <v>52</v>
      </c>
      <c r="C89" s="2">
        <v>16</v>
      </c>
      <c r="D89" s="8">
        <v>10000</v>
      </c>
      <c r="E89" s="9">
        <f t="shared" si="9"/>
        <v>8320000</v>
      </c>
    </row>
    <row r="90" spans="1:5" ht="12.75" x14ac:dyDescent="0.2">
      <c r="A90" s="2" t="s">
        <v>10</v>
      </c>
      <c r="B90" s="2">
        <v>37</v>
      </c>
      <c r="C90" s="2">
        <v>16</v>
      </c>
      <c r="D90" s="8">
        <v>10000</v>
      </c>
      <c r="E90" s="9">
        <f t="shared" si="9"/>
        <v>5920000</v>
      </c>
    </row>
    <row r="91" spans="1:5" ht="12.75" x14ac:dyDescent="0.2">
      <c r="A91" s="2" t="s">
        <v>11</v>
      </c>
      <c r="B91" s="2">
        <v>104</v>
      </c>
      <c r="C91" s="5">
        <f>16/4</f>
        <v>4</v>
      </c>
      <c r="D91" s="8">
        <v>10000</v>
      </c>
      <c r="E91" s="9">
        <f t="shared" si="9"/>
        <v>4160000</v>
      </c>
    </row>
    <row r="92" spans="1:5" ht="12.75" x14ac:dyDescent="0.2">
      <c r="A92" s="2" t="s">
        <v>12</v>
      </c>
      <c r="B92" s="2">
        <v>67</v>
      </c>
      <c r="C92" s="2">
        <f>16/3</f>
        <v>5.333333333333333</v>
      </c>
      <c r="D92" s="8">
        <v>10000</v>
      </c>
      <c r="E92" s="9">
        <f t="shared" si="9"/>
        <v>3573333.333333333</v>
      </c>
    </row>
    <row r="94" spans="1:5" ht="12.75" x14ac:dyDescent="0.2">
      <c r="A94" s="2" t="s">
        <v>21</v>
      </c>
      <c r="B94" s="3">
        <v>40391</v>
      </c>
      <c r="C94" s="6">
        <v>0.65208333333333335</v>
      </c>
    </row>
    <row r="95" spans="1:5" ht="12.75" x14ac:dyDescent="0.2">
      <c r="A95" s="2" t="s">
        <v>2</v>
      </c>
      <c r="B95" s="2" t="s">
        <v>3</v>
      </c>
      <c r="C95" s="2" t="s">
        <v>4</v>
      </c>
      <c r="D95" s="2" t="s">
        <v>5</v>
      </c>
      <c r="E95" s="2" t="s">
        <v>6</v>
      </c>
    </row>
    <row r="96" spans="1:5" ht="12.75" x14ac:dyDescent="0.2">
      <c r="A96" s="2" t="s">
        <v>7</v>
      </c>
      <c r="B96" s="2">
        <v>53</v>
      </c>
      <c r="C96" s="2">
        <f>16/4</f>
        <v>4</v>
      </c>
      <c r="D96" s="8">
        <v>10000</v>
      </c>
      <c r="E96" s="9">
        <f t="shared" ref="E96:E101" si="10">B96*C96*D96</f>
        <v>2120000</v>
      </c>
    </row>
    <row r="97" spans="1:13" ht="12.75" x14ac:dyDescent="0.2">
      <c r="A97" s="2" t="s">
        <v>8</v>
      </c>
      <c r="B97" s="2">
        <v>50</v>
      </c>
      <c r="C97" s="2">
        <v>16</v>
      </c>
      <c r="D97" s="8">
        <v>10000</v>
      </c>
      <c r="E97" s="9">
        <f t="shared" si="10"/>
        <v>8000000</v>
      </c>
    </row>
    <row r="98" spans="1:13" ht="12.75" x14ac:dyDescent="0.2">
      <c r="A98" s="2" t="s">
        <v>9</v>
      </c>
      <c r="B98" s="2">
        <v>62</v>
      </c>
      <c r="C98" s="2">
        <v>16</v>
      </c>
      <c r="D98" s="8">
        <v>10000</v>
      </c>
      <c r="E98" s="9">
        <f t="shared" si="10"/>
        <v>9920000</v>
      </c>
    </row>
    <row r="99" spans="1:13" ht="12.75" x14ac:dyDescent="0.2">
      <c r="A99" s="2" t="s">
        <v>10</v>
      </c>
      <c r="B99" s="2">
        <v>69</v>
      </c>
      <c r="C99" s="2">
        <v>16</v>
      </c>
      <c r="D99" s="8">
        <v>10000</v>
      </c>
      <c r="E99" s="9">
        <f t="shared" si="10"/>
        <v>11040000</v>
      </c>
    </row>
    <row r="100" spans="1:13" ht="12.75" x14ac:dyDescent="0.2">
      <c r="A100" s="2" t="s">
        <v>11</v>
      </c>
      <c r="B100" s="2">
        <v>76</v>
      </c>
      <c r="C100" s="2">
        <v>16</v>
      </c>
      <c r="D100" s="8">
        <v>10000</v>
      </c>
      <c r="E100" s="9">
        <f t="shared" si="10"/>
        <v>12160000</v>
      </c>
    </row>
    <row r="101" spans="1:13" ht="12.75" x14ac:dyDescent="0.2">
      <c r="A101" s="2" t="s">
        <v>12</v>
      </c>
      <c r="B101" s="2">
        <v>60</v>
      </c>
      <c r="C101" s="2">
        <v>16</v>
      </c>
      <c r="D101" s="8">
        <v>10000</v>
      </c>
      <c r="E101" s="9">
        <f t="shared" si="10"/>
        <v>9600000</v>
      </c>
    </row>
    <row r="103" spans="1:13" ht="12.75" x14ac:dyDescent="0.2">
      <c r="A103" s="2" t="s">
        <v>22</v>
      </c>
      <c r="B103" s="3">
        <v>40392</v>
      </c>
      <c r="C103" s="6">
        <v>0.53541666666666665</v>
      </c>
    </row>
    <row r="104" spans="1:13" ht="12.75" x14ac:dyDescent="0.2">
      <c r="A104" s="2" t="s">
        <v>2</v>
      </c>
      <c r="B104" s="2" t="s">
        <v>3</v>
      </c>
      <c r="C104" s="2" t="s">
        <v>4</v>
      </c>
      <c r="D104" s="2" t="s">
        <v>5</v>
      </c>
      <c r="E104" s="2" t="s">
        <v>6</v>
      </c>
    </row>
    <row r="105" spans="1:13" ht="12.75" x14ac:dyDescent="0.2">
      <c r="A105" s="2" t="s">
        <v>7</v>
      </c>
      <c r="B105" s="2">
        <v>25</v>
      </c>
      <c r="C105" s="2">
        <v>16</v>
      </c>
      <c r="D105" s="8">
        <v>10000</v>
      </c>
      <c r="E105" s="9">
        <f>B105*C105*D105</f>
        <v>4000000</v>
      </c>
    </row>
    <row r="106" spans="1:13" ht="12.75" x14ac:dyDescent="0.2">
      <c r="D106" s="8"/>
    </row>
    <row r="107" spans="1:13" ht="12.75" x14ac:dyDescent="0.2">
      <c r="A107" s="2" t="s">
        <v>23</v>
      </c>
      <c r="D107" s="8"/>
      <c r="E107" s="2" t="s">
        <v>24</v>
      </c>
      <c r="I107" s="2" t="s">
        <v>25</v>
      </c>
    </row>
    <row r="108" spans="1:13" ht="51" x14ac:dyDescent="0.2">
      <c r="A108" s="2" t="s">
        <v>26</v>
      </c>
      <c r="B108" s="10" t="s">
        <v>27</v>
      </c>
      <c r="C108" s="2" t="s">
        <v>28</v>
      </c>
      <c r="D108" s="8" t="s">
        <v>29</v>
      </c>
      <c r="E108" s="2" t="s">
        <v>30</v>
      </c>
      <c r="F108" s="2" t="s">
        <v>31</v>
      </c>
      <c r="G108" s="2" t="s">
        <v>32</v>
      </c>
      <c r="H108" s="2" t="s">
        <v>33</v>
      </c>
      <c r="I108" s="2" t="s">
        <v>34</v>
      </c>
      <c r="J108" s="2" t="s">
        <v>35</v>
      </c>
      <c r="K108" s="2" t="s">
        <v>36</v>
      </c>
      <c r="L108" s="2" t="s">
        <v>37</v>
      </c>
      <c r="M108" s="2" t="s">
        <v>38</v>
      </c>
    </row>
    <row r="109" spans="1:13" ht="15" x14ac:dyDescent="0.25">
      <c r="A109" s="19"/>
      <c r="B109" s="11">
        <v>0</v>
      </c>
      <c r="G109">
        <v>2</v>
      </c>
      <c r="H109">
        <v>0</v>
      </c>
      <c r="I109" s="19"/>
      <c r="J109" s="19"/>
      <c r="K109" s="19"/>
      <c r="L109" s="19"/>
      <c r="M109" s="19"/>
    </row>
    <row r="110" spans="1:13" ht="15" x14ac:dyDescent="0.25">
      <c r="A110" s="2">
        <v>1</v>
      </c>
      <c r="B110" s="11">
        <v>19.166666670000001</v>
      </c>
      <c r="C110" s="5">
        <f t="shared" ref="C110:C121" ca="1" si="11">OFFSET($B$6,(A110-1)*9,0)</f>
        <v>16</v>
      </c>
      <c r="D110" s="8">
        <f t="shared" ref="D110:D121" ca="1" si="12">SQRT(C110)</f>
        <v>4</v>
      </c>
      <c r="E110" s="8">
        <f t="shared" ref="E110:E121" ca="1" si="13">C110 * OFFSET($C$6,(A110-1)*9,0) * OFFSET($D$6,(A110-1)*9,0)</f>
        <v>320</v>
      </c>
      <c r="F110" s="8">
        <f t="shared" ref="F110:F121" ca="1" si="14">D110 * OFFSET($C$6,(A110-1)*9,0) * OFFSET($D$6,(A110-1)*9,0)</f>
        <v>80</v>
      </c>
      <c r="G110" s="12">
        <f t="shared" ref="G110:G121" ca="1" si="15">LOG10(E110)</f>
        <v>2.5051499783199058</v>
      </c>
      <c r="H110" s="9">
        <f t="shared" ref="H110:H121" ca="1" si="16">0.434 * F110/E110</f>
        <v>0.1085</v>
      </c>
      <c r="I110" s="13">
        <f t="shared" ref="I110:I121" ca="1" si="17">(1/H110^2)</f>
        <v>84.945528679734124</v>
      </c>
      <c r="J110" s="9">
        <f t="shared" ref="J110:J121" ca="1" si="18">B110^2 * I110</f>
        <v>31205.683810562041</v>
      </c>
      <c r="K110" s="9">
        <f t="shared" ref="K110:K121" ca="1" si="19">B110 * I110</f>
        <v>1628.1226333113893</v>
      </c>
      <c r="L110" s="9">
        <f t="shared" ref="L110:L121" ca="1" si="20">B110*G110*I110</f>
        <v>4078.6913795421747</v>
      </c>
      <c r="M110" s="13">
        <f t="shared" ref="M110:M121" ca="1" si="21">G110*I110</f>
        <v>212.80128933040888</v>
      </c>
    </row>
    <row r="111" spans="1:13" ht="12.75" x14ac:dyDescent="0.2">
      <c r="A111" s="5">
        <f t="shared" ref="A111:A119" si="22">A110+1</f>
        <v>2</v>
      </c>
      <c r="B111" s="14">
        <v>46.85</v>
      </c>
      <c r="C111" s="5">
        <f t="shared" ca="1" si="11"/>
        <v>27</v>
      </c>
      <c r="D111" s="8">
        <f t="shared" ca="1" si="12"/>
        <v>5.196152422706632</v>
      </c>
      <c r="E111" s="8">
        <f t="shared" ca="1" si="13"/>
        <v>540</v>
      </c>
      <c r="F111" s="8">
        <f t="shared" ca="1" si="14"/>
        <v>103.92304845413264</v>
      </c>
      <c r="G111" s="12">
        <f t="shared" ca="1" si="15"/>
        <v>2.7323937598229686</v>
      </c>
      <c r="H111" s="9">
        <f t="shared" ca="1" si="16"/>
        <v>8.3523338942765868E-2</v>
      </c>
      <c r="I111" s="13">
        <f t="shared" ca="1" si="17"/>
        <v>143.3455796470513</v>
      </c>
      <c r="J111" s="9">
        <f t="shared" ca="1" si="18"/>
        <v>314632.43804285495</v>
      </c>
      <c r="K111" s="9">
        <f t="shared" ca="1" si="19"/>
        <v>6715.7404064643533</v>
      </c>
      <c r="L111" s="9">
        <f t="shared" ca="1" si="20"/>
        <v>18350.047179214165</v>
      </c>
      <c r="M111" s="13">
        <f t="shared" ca="1" si="21"/>
        <v>391.67656732580929</v>
      </c>
    </row>
    <row r="112" spans="1:13" ht="15" x14ac:dyDescent="0.25">
      <c r="A112" s="5">
        <f t="shared" si="22"/>
        <v>3</v>
      </c>
      <c r="B112" s="11">
        <v>69.516666670000006</v>
      </c>
      <c r="C112" s="5">
        <f t="shared" ca="1" si="11"/>
        <v>27</v>
      </c>
      <c r="D112" s="8">
        <f t="shared" ca="1" si="12"/>
        <v>5.196152422706632</v>
      </c>
      <c r="E112" s="8">
        <f t="shared" ca="1" si="13"/>
        <v>540</v>
      </c>
      <c r="F112" s="8">
        <f t="shared" ca="1" si="14"/>
        <v>103.92304845413264</v>
      </c>
      <c r="G112" s="12">
        <f t="shared" ca="1" si="15"/>
        <v>2.7323937598229686</v>
      </c>
      <c r="H112" s="9">
        <f t="shared" ca="1" si="16"/>
        <v>8.3523338942765868E-2</v>
      </c>
      <c r="I112" s="13">
        <f t="shared" ca="1" si="17"/>
        <v>143.3455796470513</v>
      </c>
      <c r="J112" s="9">
        <f t="shared" ca="1" si="18"/>
        <v>692727.10990100121</v>
      </c>
      <c r="K112" s="9">
        <f t="shared" ca="1" si="19"/>
        <v>9964.9068789420016</v>
      </c>
      <c r="L112" s="9">
        <f t="shared" ca="1" si="20"/>
        <v>27228.0493732381</v>
      </c>
      <c r="M112" s="13">
        <f t="shared" ca="1" si="21"/>
        <v>391.67656732580929</v>
      </c>
    </row>
    <row r="113" spans="1:13" ht="15" x14ac:dyDescent="0.25">
      <c r="A113" s="5">
        <f t="shared" si="22"/>
        <v>4</v>
      </c>
      <c r="B113" s="11">
        <v>90.116666670000001</v>
      </c>
      <c r="C113" s="5">
        <f t="shared" ca="1" si="11"/>
        <v>31</v>
      </c>
      <c r="D113" s="8">
        <f t="shared" ca="1" si="12"/>
        <v>5.5677643628300215</v>
      </c>
      <c r="E113" s="8">
        <f t="shared" ca="1" si="13"/>
        <v>1240</v>
      </c>
      <c r="F113" s="8">
        <f t="shared" ca="1" si="14"/>
        <v>222.71057451320087</v>
      </c>
      <c r="G113" s="12">
        <f t="shared" ca="1" si="15"/>
        <v>3.0934216851622351</v>
      </c>
      <c r="H113" s="9">
        <f t="shared" ca="1" si="16"/>
        <v>7.7948701079620292E-2</v>
      </c>
      <c r="I113" s="13">
        <f t="shared" ca="1" si="17"/>
        <v>164.58196181698494</v>
      </c>
      <c r="J113" s="9">
        <f t="shared" ca="1" si="18"/>
        <v>1336572.3521579811</v>
      </c>
      <c r="K113" s="9">
        <f t="shared" ca="1" si="19"/>
        <v>14831.577792955899</v>
      </c>
      <c r="L113" s="9">
        <f t="shared" ca="1" si="20"/>
        <v>45880.324369900423</v>
      </c>
      <c r="M113" s="13">
        <f t="shared" ca="1" si="21"/>
        <v>509.12140967120422</v>
      </c>
    </row>
    <row r="114" spans="1:13" ht="15" x14ac:dyDescent="0.25">
      <c r="A114" s="5">
        <f t="shared" si="22"/>
        <v>5</v>
      </c>
      <c r="B114" s="11">
        <v>116.9666667</v>
      </c>
      <c r="C114" s="5">
        <f t="shared" ca="1" si="11"/>
        <v>37</v>
      </c>
      <c r="D114" s="8">
        <f t="shared" ca="1" si="12"/>
        <v>6.0827625302982193</v>
      </c>
      <c r="E114" s="8">
        <f t="shared" ca="1" si="13"/>
        <v>2960</v>
      </c>
      <c r="F114" s="8">
        <f t="shared" ca="1" si="14"/>
        <v>486.62100242385753</v>
      </c>
      <c r="G114" s="12">
        <f t="shared" ca="1" si="15"/>
        <v>3.4712917110589387</v>
      </c>
      <c r="H114" s="9">
        <f t="shared" ca="1" si="16"/>
        <v>7.134916049052506E-2</v>
      </c>
      <c r="I114" s="13">
        <f t="shared" ca="1" si="17"/>
        <v>196.43653507188517</v>
      </c>
      <c r="J114" s="9">
        <f t="shared" ca="1" si="18"/>
        <v>2687487.7434200607</v>
      </c>
      <c r="K114" s="9">
        <f t="shared" ca="1" si="19"/>
        <v>22976.526725456053</v>
      </c>
      <c r="L114" s="9">
        <f t="shared" ca="1" si="20"/>
        <v>79758.226770999783</v>
      </c>
      <c r="M114" s="13">
        <f t="shared" ca="1" si="21"/>
        <v>681.88851594417349</v>
      </c>
    </row>
    <row r="115" spans="1:13" ht="15" x14ac:dyDescent="0.25">
      <c r="A115" s="5">
        <f t="shared" si="22"/>
        <v>6</v>
      </c>
      <c r="B115" s="11">
        <v>140.25</v>
      </c>
      <c r="C115" s="5">
        <f t="shared" ca="1" si="11"/>
        <v>48</v>
      </c>
      <c r="D115" s="8">
        <f t="shared" ca="1" si="12"/>
        <v>6.9282032302755088</v>
      </c>
      <c r="E115" s="8">
        <f t="shared" ca="1" si="13"/>
        <v>3840</v>
      </c>
      <c r="F115" s="8">
        <f t="shared" ca="1" si="14"/>
        <v>554.25625842204067</v>
      </c>
      <c r="G115" s="12">
        <f t="shared" ca="1" si="15"/>
        <v>3.5843312243675309</v>
      </c>
      <c r="H115" s="9">
        <f t="shared" ca="1" si="16"/>
        <v>6.2642504207074387E-2</v>
      </c>
      <c r="I115" s="13">
        <f t="shared" ca="1" si="17"/>
        <v>254.83658603920242</v>
      </c>
      <c r="J115" s="9">
        <f t="shared" ca="1" si="18"/>
        <v>5012651.5746777393</v>
      </c>
      <c r="K115" s="9">
        <f t="shared" ca="1" si="19"/>
        <v>35740.831191998142</v>
      </c>
      <c r="L115" s="9">
        <f t="shared" ca="1" si="20"/>
        <v>128106.97722632793</v>
      </c>
      <c r="M115" s="13">
        <f t="shared" ca="1" si="21"/>
        <v>913.41873245153602</v>
      </c>
    </row>
    <row r="116" spans="1:13" ht="15" x14ac:dyDescent="0.25">
      <c r="A116" s="5">
        <f t="shared" si="22"/>
        <v>7</v>
      </c>
      <c r="B116" s="11">
        <v>167.9</v>
      </c>
      <c r="C116" s="5">
        <f t="shared" ca="1" si="11"/>
        <v>33</v>
      </c>
      <c r="D116" s="8">
        <f t="shared" ca="1" si="12"/>
        <v>5.7445626465380286</v>
      </c>
      <c r="E116" s="8">
        <f t="shared" ca="1" si="13"/>
        <v>5280</v>
      </c>
      <c r="F116" s="8">
        <f t="shared" ca="1" si="14"/>
        <v>919.13002344608458</v>
      </c>
      <c r="G116" s="12">
        <f t="shared" ca="1" si="15"/>
        <v>3.7226339225338121</v>
      </c>
      <c r="H116" s="9">
        <f t="shared" ca="1" si="16"/>
        <v>7.554970268477286E-2</v>
      </c>
      <c r="I116" s="13">
        <f t="shared" ca="1" si="17"/>
        <v>175.20015290195164</v>
      </c>
      <c r="J116" s="9">
        <f t="shared" ca="1" si="18"/>
        <v>4938964.1423687069</v>
      </c>
      <c r="K116" s="9">
        <f t="shared" ca="1" si="19"/>
        <v>29416.105672237682</v>
      </c>
      <c r="L116" s="9">
        <f t="shared" ca="1" si="20"/>
        <v>109505.39284431128</v>
      </c>
      <c r="M116" s="13">
        <f t="shared" ca="1" si="21"/>
        <v>652.20603242591585</v>
      </c>
    </row>
    <row r="117" spans="1:13" ht="15" x14ac:dyDescent="0.25">
      <c r="A117" s="5">
        <f t="shared" si="22"/>
        <v>8</v>
      </c>
      <c r="B117" s="11">
        <v>187.7666667</v>
      </c>
      <c r="C117" s="5">
        <f t="shared" ca="1" si="11"/>
        <v>45</v>
      </c>
      <c r="D117" s="8">
        <f t="shared" ca="1" si="12"/>
        <v>6.7082039324993694</v>
      </c>
      <c r="E117" s="8">
        <f t="shared" ca="1" si="13"/>
        <v>18000</v>
      </c>
      <c r="F117" s="8">
        <f t="shared" ca="1" si="14"/>
        <v>2683.2815729997483</v>
      </c>
      <c r="G117" s="12">
        <f t="shared" ca="1" si="15"/>
        <v>4.2552725051033065</v>
      </c>
      <c r="H117" s="9">
        <f t="shared" ca="1" si="16"/>
        <v>6.469690014899393E-2</v>
      </c>
      <c r="I117" s="13">
        <f t="shared" ca="1" si="17"/>
        <v>238.90929941175207</v>
      </c>
      <c r="J117" s="9">
        <f t="shared" ca="1" si="18"/>
        <v>8423062.9794819336</v>
      </c>
      <c r="K117" s="9">
        <f t="shared" ca="1" si="19"/>
        <v>44859.202794176956</v>
      </c>
      <c r="L117" s="9">
        <f t="shared" ca="1" si="20"/>
        <v>190888.13225091464</v>
      </c>
      <c r="M117" s="13">
        <f t="shared" ca="1" si="21"/>
        <v>1016.6241730003221</v>
      </c>
    </row>
    <row r="118" spans="1:13" ht="15" x14ac:dyDescent="0.25">
      <c r="A118" s="5">
        <f t="shared" si="22"/>
        <v>9</v>
      </c>
      <c r="B118" s="11">
        <v>212.78333330000001</v>
      </c>
      <c r="C118" s="5">
        <f t="shared" ca="1" si="11"/>
        <v>65</v>
      </c>
      <c r="D118" s="8">
        <f t="shared" ca="1" si="12"/>
        <v>8.0622577482985491</v>
      </c>
      <c r="E118" s="8">
        <f t="shared" ca="1" si="13"/>
        <v>52000</v>
      </c>
      <c r="F118" s="8">
        <f t="shared" ca="1" si="14"/>
        <v>6449.8061986388393</v>
      </c>
      <c r="G118" s="12">
        <f t="shared" ca="1" si="15"/>
        <v>4.7160033436347994</v>
      </c>
      <c r="H118" s="9">
        <f t="shared" ca="1" si="16"/>
        <v>5.3831074811716464E-2</v>
      </c>
      <c r="I118" s="13">
        <f t="shared" ca="1" si="17"/>
        <v>345.09121026141992</v>
      </c>
      <c r="J118" s="9">
        <f t="shared" ca="1" si="18"/>
        <v>15624607.394863071</v>
      </c>
      <c r="K118" s="9">
        <f t="shared" ca="1" si="19"/>
        <v>73429.658011956097</v>
      </c>
      <c r="L118" s="9">
        <f t="shared" ca="1" si="20"/>
        <v>346294.51270634483</v>
      </c>
      <c r="M118" s="13">
        <f t="shared" ca="1" si="21"/>
        <v>1627.4513014518359</v>
      </c>
    </row>
    <row r="119" spans="1:13" ht="15" x14ac:dyDescent="0.25">
      <c r="A119" s="5">
        <f t="shared" si="22"/>
        <v>10</v>
      </c>
      <c r="B119" s="11">
        <v>237.95</v>
      </c>
      <c r="C119" s="5">
        <f t="shared" ca="1" si="11"/>
        <v>69</v>
      </c>
      <c r="D119" s="8">
        <f t="shared" ca="1" si="12"/>
        <v>8.3066238629180749</v>
      </c>
      <c r="E119" s="8">
        <f t="shared" ca="1" si="13"/>
        <v>345000</v>
      </c>
      <c r="F119" s="8">
        <f t="shared" ca="1" si="14"/>
        <v>41533.119314590374</v>
      </c>
      <c r="G119" s="12">
        <f t="shared" ca="1" si="15"/>
        <v>5.5378190950732744</v>
      </c>
      <c r="H119" s="9">
        <f t="shared" ca="1" si="16"/>
        <v>5.2247460239223838E-2</v>
      </c>
      <c r="I119" s="13">
        <f t="shared" ca="1" si="17"/>
        <v>366.32759243135331</v>
      </c>
      <c r="J119" s="9">
        <f t="shared" ca="1" si="18"/>
        <v>20741542.464800689</v>
      </c>
      <c r="K119" s="9">
        <f t="shared" ca="1" si="19"/>
        <v>87167.65061904052</v>
      </c>
      <c r="L119" s="9">
        <f t="shared" ca="1" si="20"/>
        <v>482718.68007079832</v>
      </c>
      <c r="M119" s="13">
        <f t="shared" ca="1" si="21"/>
        <v>2028.6559364185682</v>
      </c>
    </row>
    <row r="120" spans="1:13" ht="12.75" x14ac:dyDescent="0.2">
      <c r="A120" s="2">
        <v>11</v>
      </c>
      <c r="B120" s="15">
        <f>B119 +23</f>
        <v>260.95</v>
      </c>
      <c r="C120" s="5">
        <f t="shared" ca="1" si="11"/>
        <v>53</v>
      </c>
      <c r="D120" s="8">
        <f t="shared" ca="1" si="12"/>
        <v>7.2801098892805181</v>
      </c>
      <c r="E120" s="8">
        <f t="shared" ca="1" si="13"/>
        <v>2120000</v>
      </c>
      <c r="F120" s="8">
        <f t="shared" ca="1" si="14"/>
        <v>291204.39557122072</v>
      </c>
      <c r="G120" s="12">
        <f t="shared" ca="1" si="15"/>
        <v>6.3263358609287517</v>
      </c>
      <c r="H120" s="9">
        <f t="shared" ca="1" si="16"/>
        <v>5.9614484753731038E-2</v>
      </c>
      <c r="I120" s="13">
        <f t="shared" ca="1" si="17"/>
        <v>281.38206375161928</v>
      </c>
      <c r="J120" s="9">
        <f t="shared" ca="1" si="18"/>
        <v>19160684.196415298</v>
      </c>
      <c r="K120" s="9">
        <f t="shared" ca="1" si="19"/>
        <v>73426.649535985052</v>
      </c>
      <c r="L120" s="9">
        <f t="shared" ca="1" si="20"/>
        <v>464521.64610734966</v>
      </c>
      <c r="M120" s="13">
        <f t="shared" ca="1" si="21"/>
        <v>1780.1174405340093</v>
      </c>
    </row>
    <row r="121" spans="1:13" ht="12.75" x14ac:dyDescent="0.2">
      <c r="A121" s="2">
        <v>12</v>
      </c>
      <c r="B121" s="15">
        <f>B119 +48 - 1.8</f>
        <v>284.14999999999998</v>
      </c>
      <c r="C121" s="5">
        <f t="shared" ca="1" si="11"/>
        <v>25</v>
      </c>
      <c r="D121" s="8">
        <f t="shared" ca="1" si="12"/>
        <v>5</v>
      </c>
      <c r="E121" s="8">
        <f t="shared" ca="1" si="13"/>
        <v>4000000</v>
      </c>
      <c r="F121" s="8">
        <f t="shared" ca="1" si="14"/>
        <v>800000</v>
      </c>
      <c r="G121" s="12">
        <f t="shared" ca="1" si="15"/>
        <v>6.6020599913279625</v>
      </c>
      <c r="H121" s="9">
        <f t="shared" ca="1" si="16"/>
        <v>8.6800000000000002E-2</v>
      </c>
      <c r="I121" s="13">
        <f t="shared" ca="1" si="17"/>
        <v>132.72738856208457</v>
      </c>
      <c r="J121" s="9">
        <f t="shared" ca="1" si="18"/>
        <v>10716571.611735225</v>
      </c>
      <c r="K121" s="9">
        <f t="shared" ca="1" si="19"/>
        <v>37714.48745991633</v>
      </c>
      <c r="L121" s="9">
        <f t="shared" ca="1" si="20"/>
        <v>248993.30875255374</v>
      </c>
      <c r="M121" s="13">
        <f t="shared" ca="1" si="21"/>
        <v>876.27418177917912</v>
      </c>
    </row>
    <row r="124" spans="1:13" ht="12.75" x14ac:dyDescent="0.2">
      <c r="E124" s="2" t="s">
        <v>39</v>
      </c>
    </row>
    <row r="125" spans="1:13" ht="12.75" x14ac:dyDescent="0.2">
      <c r="E125" s="2" t="s">
        <v>40</v>
      </c>
      <c r="F125" s="2" t="s">
        <v>41</v>
      </c>
      <c r="G125" s="9">
        <f ca="1">SUM(I110:I115)*SUM(J110:J115)-(SUM(K110:K115))^2</f>
        <v>1511414946.8456516</v>
      </c>
    </row>
    <row r="126" spans="1:13" ht="12.75" x14ac:dyDescent="0.2">
      <c r="E126" s="2" t="s">
        <v>42</v>
      </c>
      <c r="F126" s="2" t="s">
        <v>43</v>
      </c>
      <c r="G126" s="9">
        <f ca="1">(1/G125)*((SUM(I110:I115)*SUM(L110:L115))-(SUM(K110:K115)*SUM(M110:M115)))</f>
        <v>9.7887364548247466E-3</v>
      </c>
    </row>
    <row r="127" spans="1:13" ht="12.75" x14ac:dyDescent="0.2">
      <c r="F127" s="2" t="s">
        <v>44</v>
      </c>
      <c r="G127" s="9">
        <f ca="1">SQRT((1/G125)*(SUM(I110:I115)))</f>
        <v>8.0830429451711971E-4</v>
      </c>
    </row>
    <row r="129" spans="1:14" ht="12.75" x14ac:dyDescent="0.2">
      <c r="E129" s="2" t="s">
        <v>45</v>
      </c>
      <c r="F129" s="2" t="s">
        <v>41</v>
      </c>
      <c r="G129" s="9">
        <f ca="1">SUM(I116:I122)*SUM(J116:J122)-(SUM(K116:K122))^2</f>
        <v>2838008008.7630463</v>
      </c>
    </row>
    <row r="130" spans="1:14" ht="12.75" x14ac:dyDescent="0.2">
      <c r="E130" s="2" t="s">
        <v>42</v>
      </c>
      <c r="F130" s="2" t="s">
        <v>43</v>
      </c>
      <c r="G130" s="9">
        <f ca="1">(1/G129)*((SUM(I116:I122)*SUM(L116:L122))-(SUM(K116:K122)*SUM(M116:M122)))</f>
        <v>2.6702555488379291E-2</v>
      </c>
    </row>
    <row r="131" spans="1:14" ht="12.75" x14ac:dyDescent="0.2">
      <c r="F131" s="2" t="s">
        <v>44</v>
      </c>
      <c r="G131" s="9">
        <f ca="1">SQRT((1/G129)*(SUM(I116:I122)))</f>
        <v>7.3655038539843852E-4</v>
      </c>
    </row>
    <row r="136" spans="1:14" ht="12.75" x14ac:dyDescent="0.2">
      <c r="A136" s="2" t="s">
        <v>46</v>
      </c>
    </row>
    <row r="139" spans="1:14" ht="12.75" x14ac:dyDescent="0.2">
      <c r="A139" s="2" t="s">
        <v>23</v>
      </c>
      <c r="B139" s="2"/>
    </row>
    <row r="140" spans="1:14" ht="51" x14ac:dyDescent="0.2">
      <c r="A140" s="2" t="s">
        <v>26</v>
      </c>
      <c r="B140" s="10" t="s">
        <v>27</v>
      </c>
      <c r="C140" s="2" t="s">
        <v>47</v>
      </c>
      <c r="D140" s="2" t="s">
        <v>48</v>
      </c>
      <c r="E140" s="10" t="s">
        <v>49</v>
      </c>
      <c r="F140" s="2" t="s">
        <v>30</v>
      </c>
      <c r="G140" s="2" t="s">
        <v>31</v>
      </c>
      <c r="H140" s="2" t="s">
        <v>32</v>
      </c>
      <c r="I140" s="2" t="s">
        <v>33</v>
      </c>
      <c r="J140" s="2" t="s">
        <v>50</v>
      </c>
      <c r="K140" s="2" t="s">
        <v>51</v>
      </c>
      <c r="L140" s="2" t="s">
        <v>36</v>
      </c>
      <c r="M140" s="2" t="s">
        <v>52</v>
      </c>
      <c r="N140" s="2" t="s">
        <v>53</v>
      </c>
    </row>
    <row r="141" spans="1:14" ht="15" x14ac:dyDescent="0.25">
      <c r="A141" s="2">
        <v>1</v>
      </c>
      <c r="B141" s="11">
        <v>19.166666670000001</v>
      </c>
      <c r="C141" s="5">
        <f t="shared" ref="C141:C152" ca="1" si="23">OFFSET($B$6,(A141-1)*9,0)</f>
        <v>16</v>
      </c>
      <c r="D141" s="13">
        <f t="shared" ref="D141:D152" ca="1" si="24">SQRT(C141)</f>
        <v>4</v>
      </c>
      <c r="E141" s="5">
        <f t="shared" ref="E141:E152" ca="1" si="25">OFFSET($C$6,(A141-1)*9,0)*OFFSET($D$6,(A141-1)*9,0)</f>
        <v>20</v>
      </c>
      <c r="F141" s="9">
        <f t="shared" ref="F141:F152" ca="1" si="26">C141*E141</f>
        <v>320</v>
      </c>
      <c r="G141" s="9">
        <f t="shared" ref="G141:G152" ca="1" si="27">D141*E141</f>
        <v>80</v>
      </c>
      <c r="H141" s="16">
        <f t="shared" ref="H141:H152" ca="1" si="28">LOG10(F141)</f>
        <v>2.5051499783199058</v>
      </c>
      <c r="I141" s="9">
        <f t="shared" ref="I141:I152" ca="1" si="29">0.434 * G141/F141</f>
        <v>0.1085</v>
      </c>
      <c r="J141" s="13">
        <f t="shared" ref="J141:J152" ca="1" si="30">(1/I141)^2</f>
        <v>84.945528679734139</v>
      </c>
      <c r="K141" s="9">
        <f t="shared" ref="K141:K152" ca="1" si="31">(B141/I141)^2</f>
        <v>31205.683810562041</v>
      </c>
      <c r="L141" s="8">
        <f t="shared" ref="L141:L152" ca="1" si="32">B141/(I141^2)</f>
        <v>1628.1226333113893</v>
      </c>
      <c r="M141" s="9">
        <f t="shared" ref="M141:M152" ca="1" si="33">B141*H141*J141</f>
        <v>4078.6913795421751</v>
      </c>
      <c r="N141" s="13">
        <f t="shared" ref="N141:N152" ca="1" si="34">H141*J141</f>
        <v>212.80128933040891</v>
      </c>
    </row>
    <row r="142" spans="1:14" ht="12.75" x14ac:dyDescent="0.2">
      <c r="A142" s="5">
        <f t="shared" ref="A142:A150" si="35">A141+1</f>
        <v>2</v>
      </c>
      <c r="B142" s="14">
        <v>46.85</v>
      </c>
      <c r="C142" s="5">
        <f t="shared" ca="1" si="23"/>
        <v>27</v>
      </c>
      <c r="D142" s="13">
        <f t="shared" ca="1" si="24"/>
        <v>5.196152422706632</v>
      </c>
      <c r="E142" s="5">
        <f t="shared" ca="1" si="25"/>
        <v>20</v>
      </c>
      <c r="F142" s="9">
        <f t="shared" ca="1" si="26"/>
        <v>540</v>
      </c>
      <c r="G142" s="9">
        <f t="shared" ca="1" si="27"/>
        <v>103.92304845413264</v>
      </c>
      <c r="H142" s="16">
        <f t="shared" ca="1" si="28"/>
        <v>2.7323937598229686</v>
      </c>
      <c r="I142" s="9">
        <f t="shared" ca="1" si="29"/>
        <v>8.3523338942765868E-2</v>
      </c>
      <c r="J142" s="13">
        <f t="shared" ca="1" si="30"/>
        <v>143.3455796470513</v>
      </c>
      <c r="K142" s="9">
        <f t="shared" ca="1" si="31"/>
        <v>314632.43804285495</v>
      </c>
      <c r="L142" s="8">
        <f t="shared" ca="1" si="32"/>
        <v>6715.7404064643533</v>
      </c>
      <c r="M142" s="9">
        <f t="shared" ca="1" si="33"/>
        <v>18350.047179214165</v>
      </c>
      <c r="N142" s="13">
        <f t="shared" ca="1" si="34"/>
        <v>391.67656732580929</v>
      </c>
    </row>
    <row r="143" spans="1:14" ht="15" x14ac:dyDescent="0.25">
      <c r="A143" s="5">
        <f t="shared" si="35"/>
        <v>3</v>
      </c>
      <c r="B143" s="11">
        <v>69.516666670000006</v>
      </c>
      <c r="C143" s="5">
        <f t="shared" ca="1" si="23"/>
        <v>27</v>
      </c>
      <c r="D143" s="13">
        <f t="shared" ca="1" si="24"/>
        <v>5.196152422706632</v>
      </c>
      <c r="E143" s="5">
        <f t="shared" ca="1" si="25"/>
        <v>20</v>
      </c>
      <c r="F143" s="9">
        <f t="shared" ca="1" si="26"/>
        <v>540</v>
      </c>
      <c r="G143" s="9">
        <f t="shared" ca="1" si="27"/>
        <v>103.92304845413264</v>
      </c>
      <c r="H143" s="16">
        <f t="shared" ca="1" si="28"/>
        <v>2.7323937598229686</v>
      </c>
      <c r="I143" s="9">
        <f t="shared" ca="1" si="29"/>
        <v>8.3523338942765868E-2</v>
      </c>
      <c r="J143" s="13">
        <f t="shared" ca="1" si="30"/>
        <v>143.3455796470513</v>
      </c>
      <c r="K143" s="9">
        <f t="shared" ca="1" si="31"/>
        <v>692727.10990100121</v>
      </c>
      <c r="L143" s="8">
        <f t="shared" ca="1" si="32"/>
        <v>9964.9068789420016</v>
      </c>
      <c r="M143" s="9">
        <f t="shared" ca="1" si="33"/>
        <v>27228.0493732381</v>
      </c>
      <c r="N143" s="13">
        <f t="shared" ca="1" si="34"/>
        <v>391.67656732580929</v>
      </c>
    </row>
    <row r="144" spans="1:14" ht="15" x14ac:dyDescent="0.25">
      <c r="A144" s="5">
        <f t="shared" si="35"/>
        <v>4</v>
      </c>
      <c r="B144" s="11">
        <v>90.116666670000001</v>
      </c>
      <c r="C144" s="5">
        <f t="shared" ca="1" si="23"/>
        <v>31</v>
      </c>
      <c r="D144" s="13">
        <f t="shared" ca="1" si="24"/>
        <v>5.5677643628300215</v>
      </c>
      <c r="E144" s="5">
        <f t="shared" ca="1" si="25"/>
        <v>40</v>
      </c>
      <c r="F144" s="9">
        <f t="shared" ca="1" si="26"/>
        <v>1240</v>
      </c>
      <c r="G144" s="9">
        <f t="shared" ca="1" si="27"/>
        <v>222.71057451320087</v>
      </c>
      <c r="H144" s="16">
        <f t="shared" ca="1" si="28"/>
        <v>3.0934216851622351</v>
      </c>
      <c r="I144" s="9">
        <f t="shared" ca="1" si="29"/>
        <v>7.7948701079620292E-2</v>
      </c>
      <c r="J144" s="13">
        <f t="shared" ca="1" si="30"/>
        <v>164.58196181698494</v>
      </c>
      <c r="K144" s="9">
        <f t="shared" ca="1" si="31"/>
        <v>1336572.3521579807</v>
      </c>
      <c r="L144" s="8">
        <f t="shared" ca="1" si="32"/>
        <v>14831.577792955899</v>
      </c>
      <c r="M144" s="9">
        <f t="shared" ca="1" si="33"/>
        <v>45880.324369900423</v>
      </c>
      <c r="N144" s="13">
        <f t="shared" ca="1" si="34"/>
        <v>509.12140967120422</v>
      </c>
    </row>
    <row r="145" spans="1:14" ht="15" x14ac:dyDescent="0.25">
      <c r="A145" s="5">
        <f t="shared" si="35"/>
        <v>5</v>
      </c>
      <c r="B145" s="11">
        <v>116.9666667</v>
      </c>
      <c r="C145" s="5">
        <f t="shared" ca="1" si="23"/>
        <v>37</v>
      </c>
      <c r="D145" s="13">
        <f t="shared" ca="1" si="24"/>
        <v>6.0827625302982193</v>
      </c>
      <c r="E145" s="5">
        <f t="shared" ca="1" si="25"/>
        <v>80</v>
      </c>
      <c r="F145" s="9">
        <f t="shared" ca="1" si="26"/>
        <v>2960</v>
      </c>
      <c r="G145" s="9">
        <f t="shared" ca="1" si="27"/>
        <v>486.62100242385753</v>
      </c>
      <c r="H145" s="16">
        <f t="shared" ca="1" si="28"/>
        <v>3.4712917110589387</v>
      </c>
      <c r="I145" s="9">
        <f t="shared" ca="1" si="29"/>
        <v>7.134916049052506E-2</v>
      </c>
      <c r="J145" s="13">
        <f t="shared" ca="1" si="30"/>
        <v>196.43653507188517</v>
      </c>
      <c r="K145" s="9">
        <f t="shared" ca="1" si="31"/>
        <v>2687487.7434200607</v>
      </c>
      <c r="L145" s="8">
        <f t="shared" ca="1" si="32"/>
        <v>22976.526725456053</v>
      </c>
      <c r="M145" s="9">
        <f t="shared" ca="1" si="33"/>
        <v>79758.226770999783</v>
      </c>
      <c r="N145" s="13">
        <f t="shared" ca="1" si="34"/>
        <v>681.88851594417349</v>
      </c>
    </row>
    <row r="146" spans="1:14" ht="15" x14ac:dyDescent="0.25">
      <c r="A146" s="5">
        <f t="shared" si="35"/>
        <v>6</v>
      </c>
      <c r="B146" s="11">
        <v>140.25</v>
      </c>
      <c r="C146" s="5">
        <f t="shared" ca="1" si="23"/>
        <v>48</v>
      </c>
      <c r="D146" s="13">
        <f t="shared" ca="1" si="24"/>
        <v>6.9282032302755088</v>
      </c>
      <c r="E146" s="5">
        <f t="shared" ca="1" si="25"/>
        <v>80</v>
      </c>
      <c r="F146" s="9">
        <f t="shared" ca="1" si="26"/>
        <v>3840</v>
      </c>
      <c r="G146" s="9">
        <f t="shared" ca="1" si="27"/>
        <v>554.25625842204067</v>
      </c>
      <c r="H146" s="16">
        <f t="shared" ca="1" si="28"/>
        <v>3.5843312243675309</v>
      </c>
      <c r="I146" s="9">
        <f t="shared" ca="1" si="29"/>
        <v>6.2642504207074387E-2</v>
      </c>
      <c r="J146" s="13">
        <f t="shared" ca="1" si="30"/>
        <v>254.83658603920244</v>
      </c>
      <c r="K146" s="9">
        <f t="shared" ca="1" si="31"/>
        <v>5012651.5746777393</v>
      </c>
      <c r="L146" s="8">
        <f t="shared" ca="1" si="32"/>
        <v>35740.831191998142</v>
      </c>
      <c r="M146" s="9">
        <f t="shared" ca="1" si="33"/>
        <v>128106.97722632794</v>
      </c>
      <c r="N146" s="13">
        <f t="shared" ca="1" si="34"/>
        <v>913.41873245153613</v>
      </c>
    </row>
    <row r="147" spans="1:14" ht="15" x14ac:dyDescent="0.25">
      <c r="A147" s="5">
        <f t="shared" si="35"/>
        <v>7</v>
      </c>
      <c r="B147" s="11">
        <v>167.9</v>
      </c>
      <c r="C147" s="5">
        <f t="shared" ca="1" si="23"/>
        <v>33</v>
      </c>
      <c r="D147" s="13">
        <f t="shared" ca="1" si="24"/>
        <v>5.7445626465380286</v>
      </c>
      <c r="E147" s="5">
        <f t="shared" ca="1" si="25"/>
        <v>160</v>
      </c>
      <c r="F147" s="9">
        <f t="shared" ca="1" si="26"/>
        <v>5280</v>
      </c>
      <c r="G147" s="9">
        <f t="shared" ca="1" si="27"/>
        <v>919.13002344608458</v>
      </c>
      <c r="H147" s="16">
        <f t="shared" ca="1" si="28"/>
        <v>3.7226339225338121</v>
      </c>
      <c r="I147" s="9">
        <f t="shared" ca="1" si="29"/>
        <v>7.554970268477286E-2</v>
      </c>
      <c r="J147" s="13">
        <f t="shared" ca="1" si="30"/>
        <v>175.20015290195161</v>
      </c>
      <c r="K147" s="9">
        <f t="shared" ca="1" si="31"/>
        <v>4938964.1423687059</v>
      </c>
      <c r="L147" s="8">
        <f t="shared" ca="1" si="32"/>
        <v>29416.105672237682</v>
      </c>
      <c r="M147" s="9">
        <f t="shared" ca="1" si="33"/>
        <v>109505.39284431125</v>
      </c>
      <c r="N147" s="13">
        <f t="shared" ca="1" si="34"/>
        <v>652.20603242591574</v>
      </c>
    </row>
    <row r="148" spans="1:14" ht="15" x14ac:dyDescent="0.25">
      <c r="A148" s="5">
        <f t="shared" si="35"/>
        <v>8</v>
      </c>
      <c r="B148" s="11">
        <v>187.7666667</v>
      </c>
      <c r="C148" s="5">
        <f t="shared" ca="1" si="23"/>
        <v>45</v>
      </c>
      <c r="D148" s="13">
        <f t="shared" ca="1" si="24"/>
        <v>6.7082039324993694</v>
      </c>
      <c r="E148" s="5">
        <f t="shared" ca="1" si="25"/>
        <v>400</v>
      </c>
      <c r="F148" s="9">
        <f t="shared" ca="1" si="26"/>
        <v>18000</v>
      </c>
      <c r="G148" s="9">
        <f t="shared" ca="1" si="27"/>
        <v>2683.2815729997478</v>
      </c>
      <c r="H148" s="16">
        <f t="shared" ca="1" si="28"/>
        <v>4.2552725051033065</v>
      </c>
      <c r="I148" s="9">
        <f t="shared" ca="1" si="29"/>
        <v>6.4696900148993916E-2</v>
      </c>
      <c r="J148" s="13">
        <f t="shared" ca="1" si="30"/>
        <v>238.90929941175222</v>
      </c>
      <c r="K148" s="9">
        <f t="shared" ca="1" si="31"/>
        <v>8423062.9794819392</v>
      </c>
      <c r="L148" s="8">
        <f t="shared" ca="1" si="32"/>
        <v>44859.202794176985</v>
      </c>
      <c r="M148" s="9">
        <f t="shared" ca="1" si="33"/>
        <v>190888.13225091476</v>
      </c>
      <c r="N148" s="13">
        <f t="shared" ca="1" si="34"/>
        <v>1016.6241730003228</v>
      </c>
    </row>
    <row r="149" spans="1:14" ht="15" x14ac:dyDescent="0.25">
      <c r="A149" s="5">
        <f t="shared" si="35"/>
        <v>9</v>
      </c>
      <c r="B149" s="11">
        <v>212.78333330000001</v>
      </c>
      <c r="C149" s="5">
        <f t="shared" ca="1" si="23"/>
        <v>65</v>
      </c>
      <c r="D149" s="13">
        <f t="shared" ca="1" si="24"/>
        <v>8.0622577482985491</v>
      </c>
      <c r="E149" s="5">
        <f t="shared" ca="1" si="25"/>
        <v>800</v>
      </c>
      <c r="F149" s="9">
        <f t="shared" ca="1" si="26"/>
        <v>52000</v>
      </c>
      <c r="G149" s="9">
        <f t="shared" ca="1" si="27"/>
        <v>6449.8061986388393</v>
      </c>
      <c r="H149" s="16">
        <f t="shared" ca="1" si="28"/>
        <v>4.7160033436347994</v>
      </c>
      <c r="I149" s="9">
        <f t="shared" ca="1" si="29"/>
        <v>5.3831074811716464E-2</v>
      </c>
      <c r="J149" s="13">
        <f t="shared" ca="1" si="30"/>
        <v>345.09121026141997</v>
      </c>
      <c r="K149" s="9">
        <f t="shared" ca="1" si="31"/>
        <v>15624607.394863071</v>
      </c>
      <c r="L149" s="8">
        <f t="shared" ca="1" si="32"/>
        <v>73429.658011956097</v>
      </c>
      <c r="M149" s="9">
        <f t="shared" ca="1" si="33"/>
        <v>346294.51270634489</v>
      </c>
      <c r="N149" s="13">
        <f t="shared" ca="1" si="34"/>
        <v>1627.4513014518361</v>
      </c>
    </row>
    <row r="150" spans="1:14" ht="15" x14ac:dyDescent="0.25">
      <c r="A150" s="5">
        <f t="shared" si="35"/>
        <v>10</v>
      </c>
      <c r="B150" s="11">
        <v>237.95</v>
      </c>
      <c r="C150" s="5">
        <f t="shared" ca="1" si="23"/>
        <v>69</v>
      </c>
      <c r="D150" s="13">
        <f t="shared" ca="1" si="24"/>
        <v>8.3066238629180749</v>
      </c>
      <c r="E150" s="5">
        <f t="shared" ca="1" si="25"/>
        <v>5000</v>
      </c>
      <c r="F150" s="9">
        <f t="shared" ca="1" si="26"/>
        <v>345000</v>
      </c>
      <c r="G150" s="9">
        <f t="shared" ca="1" si="27"/>
        <v>41533.119314590374</v>
      </c>
      <c r="H150" s="16">
        <f t="shared" ca="1" si="28"/>
        <v>5.5378190950732744</v>
      </c>
      <c r="I150" s="9">
        <f t="shared" ca="1" si="29"/>
        <v>5.2247460239223838E-2</v>
      </c>
      <c r="J150" s="13">
        <f t="shared" ca="1" si="30"/>
        <v>366.32759243135337</v>
      </c>
      <c r="K150" s="9">
        <f t="shared" ca="1" si="31"/>
        <v>20741542.464800693</v>
      </c>
      <c r="L150" s="8">
        <f t="shared" ca="1" si="32"/>
        <v>87167.65061904052</v>
      </c>
      <c r="M150" s="9">
        <f t="shared" ca="1" si="33"/>
        <v>482718.68007079838</v>
      </c>
      <c r="N150" s="13">
        <f t="shared" ca="1" si="34"/>
        <v>2028.6559364185687</v>
      </c>
    </row>
    <row r="151" spans="1:14" ht="12.75" x14ac:dyDescent="0.2">
      <c r="A151" s="2">
        <v>11</v>
      </c>
      <c r="B151" s="15">
        <f>B150 +23</f>
        <v>260.95</v>
      </c>
      <c r="C151" s="5">
        <f t="shared" ca="1" si="23"/>
        <v>53</v>
      </c>
      <c r="D151" s="13">
        <f t="shared" ca="1" si="24"/>
        <v>7.2801098892805181</v>
      </c>
      <c r="E151" s="9">
        <f t="shared" ca="1" si="25"/>
        <v>40000</v>
      </c>
      <c r="F151" s="9">
        <f t="shared" ca="1" si="26"/>
        <v>2120000</v>
      </c>
      <c r="G151" s="9">
        <f t="shared" ca="1" si="27"/>
        <v>291204.39557122072</v>
      </c>
      <c r="H151" s="16">
        <f t="shared" ca="1" si="28"/>
        <v>6.3263358609287517</v>
      </c>
      <c r="I151" s="9">
        <f t="shared" ca="1" si="29"/>
        <v>5.9614484753731038E-2</v>
      </c>
      <c r="J151" s="13">
        <f t="shared" ca="1" si="30"/>
        <v>281.38206375161923</v>
      </c>
      <c r="K151" s="9">
        <f t="shared" ca="1" si="31"/>
        <v>19160684.196415294</v>
      </c>
      <c r="L151" s="8">
        <f t="shared" ca="1" si="32"/>
        <v>73426.649535985038</v>
      </c>
      <c r="M151" s="9">
        <f t="shared" ca="1" si="33"/>
        <v>464521.6461073496</v>
      </c>
      <c r="N151" s="13">
        <f t="shared" ca="1" si="34"/>
        <v>1780.1174405340089</v>
      </c>
    </row>
    <row r="152" spans="1:14" ht="12.75" x14ac:dyDescent="0.2">
      <c r="A152" s="2">
        <v>12</v>
      </c>
      <c r="B152" s="15">
        <f>B150 +48 - 1.8</f>
        <v>284.14999999999998</v>
      </c>
      <c r="C152" s="5">
        <f t="shared" ca="1" si="23"/>
        <v>25</v>
      </c>
      <c r="D152" s="13">
        <f t="shared" ca="1" si="24"/>
        <v>5</v>
      </c>
      <c r="E152" s="9">
        <f t="shared" ca="1" si="25"/>
        <v>160000</v>
      </c>
      <c r="F152" s="9">
        <f t="shared" ca="1" si="26"/>
        <v>4000000</v>
      </c>
      <c r="G152" s="9">
        <f t="shared" ca="1" si="27"/>
        <v>800000</v>
      </c>
      <c r="H152" s="16">
        <f t="shared" ca="1" si="28"/>
        <v>6.6020599913279625</v>
      </c>
      <c r="I152" s="9">
        <f t="shared" ca="1" si="29"/>
        <v>8.6800000000000002E-2</v>
      </c>
      <c r="J152" s="13">
        <f t="shared" ca="1" si="30"/>
        <v>132.72738856208454</v>
      </c>
      <c r="K152" s="9">
        <f t="shared" ca="1" si="31"/>
        <v>10716571.611735223</v>
      </c>
      <c r="L152" s="8">
        <f t="shared" ca="1" si="32"/>
        <v>37714.487459916323</v>
      </c>
      <c r="M152" s="9">
        <f t="shared" ca="1" si="33"/>
        <v>248993.30875255368</v>
      </c>
      <c r="N152" s="13">
        <f t="shared" ca="1" si="34"/>
        <v>876.274181779179</v>
      </c>
    </row>
    <row r="155" spans="1:14" ht="12.75" x14ac:dyDescent="0.2">
      <c r="B155" s="2" t="s">
        <v>54</v>
      </c>
      <c r="F155" s="17" t="s">
        <v>55</v>
      </c>
      <c r="G155" s="18"/>
      <c r="H155" s="18"/>
      <c r="I155" s="19"/>
    </row>
    <row r="156" spans="1:14" ht="12.75" x14ac:dyDescent="0.2">
      <c r="B156" s="2" t="s">
        <v>56</v>
      </c>
      <c r="F156" s="19" t="s">
        <v>40</v>
      </c>
      <c r="G156" s="19" t="s">
        <v>41</v>
      </c>
      <c r="H156" s="20">
        <f ca="1">(SUM(J141:J146)) * (SUM(K141:K146)) - (SUM(L141:L146))^2</f>
        <v>1511414946.8456516</v>
      </c>
      <c r="I156" s="19"/>
    </row>
    <row r="157" spans="1:14" ht="12.75" x14ac:dyDescent="0.2">
      <c r="B157" s="2" t="s">
        <v>57</v>
      </c>
      <c r="F157" s="19" t="s">
        <v>42</v>
      </c>
      <c r="G157" s="19" t="s">
        <v>43</v>
      </c>
      <c r="H157" s="20">
        <f ca="1">(1/H156)*(SUM(J141:J146)*SUM(M141:M146) - SUM(L141:L146)* SUM(N141:N146))</f>
        <v>9.7887364548247466E-3</v>
      </c>
      <c r="I157" s="19"/>
    </row>
    <row r="158" spans="1:14" ht="12.75" x14ac:dyDescent="0.2">
      <c r="B158" s="2" t="s">
        <v>58</v>
      </c>
      <c r="F158" s="19"/>
      <c r="G158" s="19" t="s">
        <v>44</v>
      </c>
      <c r="H158" s="20">
        <f ca="1">SQRT((1/H156)*(SUM(J141:J146)))</f>
        <v>8.0830429451711971E-4</v>
      </c>
      <c r="I158" s="19"/>
    </row>
    <row r="159" spans="1:14" ht="12.75" x14ac:dyDescent="0.2">
      <c r="F159" s="19"/>
      <c r="G159" s="19"/>
      <c r="H159" s="19"/>
      <c r="I159" s="19"/>
    </row>
    <row r="160" spans="1:14" ht="12.75" x14ac:dyDescent="0.2">
      <c r="F160" s="19" t="s">
        <v>45</v>
      </c>
      <c r="G160" s="19" t="s">
        <v>41</v>
      </c>
      <c r="H160" s="20">
        <f ca="1">(SUM(J147:J152)) * (SUM(K147:K152)) - (SUM(L147:L152))^2</f>
        <v>2838008008.7630157</v>
      </c>
      <c r="I160" s="19"/>
    </row>
    <row r="161" spans="1:14" ht="12.75" x14ac:dyDescent="0.2">
      <c r="F161" s="19" t="s">
        <v>42</v>
      </c>
      <c r="G161" s="19" t="s">
        <v>43</v>
      </c>
      <c r="H161" s="20">
        <f ca="1">(1/H160)*(SUM(J147:J152)*SUM(M147:M152) - SUM(L147:L152)* SUM(N147:N152))</f>
        <v>2.6702555488379583E-2</v>
      </c>
      <c r="I161" s="19"/>
    </row>
    <row r="162" spans="1:14" ht="12.75" x14ac:dyDescent="0.2">
      <c r="F162" s="19"/>
      <c r="G162" s="19" t="s">
        <v>44</v>
      </c>
      <c r="H162" s="20">
        <f ca="1">SQRT((1/H160)*(SUM(J147:J152)))</f>
        <v>7.3655038539844253E-4</v>
      </c>
      <c r="I162" s="19"/>
    </row>
    <row r="164" spans="1:14" ht="12.75" x14ac:dyDescent="0.2">
      <c r="F164" s="2" t="s">
        <v>59</v>
      </c>
    </row>
    <row r="166" spans="1:14" ht="12.75" x14ac:dyDescent="0.2">
      <c r="A166" s="2" t="s">
        <v>60</v>
      </c>
      <c r="B166" s="2"/>
    </row>
    <row r="167" spans="1:14" ht="51" x14ac:dyDescent="0.2">
      <c r="A167" s="2" t="s">
        <v>26</v>
      </c>
      <c r="B167" s="10" t="s">
        <v>27</v>
      </c>
      <c r="C167" s="2" t="s">
        <v>47</v>
      </c>
      <c r="D167" s="2" t="s">
        <v>48</v>
      </c>
      <c r="E167" s="10" t="s">
        <v>49</v>
      </c>
      <c r="F167" s="2" t="s">
        <v>30</v>
      </c>
      <c r="G167" s="2" t="s">
        <v>31</v>
      </c>
      <c r="H167" s="2" t="s">
        <v>32</v>
      </c>
      <c r="I167" s="2" t="s">
        <v>33</v>
      </c>
      <c r="J167" s="2" t="s">
        <v>50</v>
      </c>
      <c r="K167" s="2" t="s">
        <v>51</v>
      </c>
      <c r="L167" s="2" t="s">
        <v>36</v>
      </c>
      <c r="M167" s="2" t="s">
        <v>52</v>
      </c>
      <c r="N167" s="2" t="s">
        <v>53</v>
      </c>
    </row>
    <row r="168" spans="1:14" ht="15" x14ac:dyDescent="0.25">
      <c r="A168" s="19"/>
      <c r="B168" s="11">
        <v>0</v>
      </c>
      <c r="H168">
        <v>2</v>
      </c>
      <c r="I168">
        <v>0</v>
      </c>
      <c r="J168" s="19"/>
      <c r="K168" s="19"/>
      <c r="L168" s="19"/>
      <c r="M168" s="19"/>
      <c r="N168" s="19"/>
    </row>
    <row r="169" spans="1:14" ht="15" x14ac:dyDescent="0.25">
      <c r="A169" s="2">
        <v>1</v>
      </c>
      <c r="B169" s="11">
        <v>19.166666670000001</v>
      </c>
      <c r="C169" s="5">
        <f t="shared" ref="C169:C177" ca="1" si="36">OFFSET($B$7,(A169-1)*9,0)</f>
        <v>16</v>
      </c>
      <c r="D169" s="13">
        <f t="shared" ref="D169:D178" ca="1" si="37">SQRT(C169)</f>
        <v>4</v>
      </c>
      <c r="E169" s="5">
        <f t="shared" ref="E169:E177" ca="1" si="38">OFFSET($C$7,(A169-1)*9,0)*OFFSET($D$7,(A169-1)*9,0)</f>
        <v>20</v>
      </c>
      <c r="F169" s="9">
        <f t="shared" ref="F169:F178" ca="1" si="39">C169*E169</f>
        <v>320</v>
      </c>
      <c r="G169" s="9">
        <f t="shared" ref="G169:G177" ca="1" si="40">D169*E169</f>
        <v>80</v>
      </c>
      <c r="H169" s="16">
        <f t="shared" ref="H169:H177" ca="1" si="41">LOG10(F169)</f>
        <v>2.5051499783199058</v>
      </c>
      <c r="I169" s="9">
        <f t="shared" ref="I169:I177" ca="1" si="42">0.434 * G169/F169</f>
        <v>0.1085</v>
      </c>
      <c r="J169" s="13">
        <f t="shared" ref="J169:J177" ca="1" si="43">(1/I169)^2</f>
        <v>84.945528679734139</v>
      </c>
      <c r="K169" s="9">
        <f t="shared" ref="K169:K177" ca="1" si="44">(B169/I169)^2</f>
        <v>31205.683810562041</v>
      </c>
      <c r="L169" s="8">
        <f t="shared" ref="L169:L177" ca="1" si="45">B169/(I169^2)</f>
        <v>1628.1226333113893</v>
      </c>
      <c r="M169" s="9">
        <f t="shared" ref="M169:M177" ca="1" si="46">B169*H169*J169</f>
        <v>4078.6913795421751</v>
      </c>
      <c r="N169" s="13">
        <f t="shared" ref="N169:N177" ca="1" si="47">H169*J169</f>
        <v>212.80128933040891</v>
      </c>
    </row>
    <row r="170" spans="1:14" ht="12.75" x14ac:dyDescent="0.2">
      <c r="A170" s="5">
        <f t="shared" ref="A170:A177" si="48">A169+1</f>
        <v>2</v>
      </c>
      <c r="B170" s="14">
        <v>46.85</v>
      </c>
      <c r="C170" s="5">
        <f t="shared" ca="1" si="36"/>
        <v>20</v>
      </c>
      <c r="D170" s="13">
        <f t="shared" ca="1" si="37"/>
        <v>4.4721359549995796</v>
      </c>
      <c r="E170" s="5">
        <f t="shared" ca="1" si="38"/>
        <v>40</v>
      </c>
      <c r="F170" s="9">
        <f t="shared" ca="1" si="39"/>
        <v>800</v>
      </c>
      <c r="G170" s="9">
        <f t="shared" ca="1" si="40"/>
        <v>178.88543819998318</v>
      </c>
      <c r="H170" s="16">
        <f t="shared" ca="1" si="41"/>
        <v>2.9030899869919438</v>
      </c>
      <c r="I170" s="9">
        <f t="shared" ca="1" si="42"/>
        <v>9.7045350223490881E-2</v>
      </c>
      <c r="J170" s="13">
        <f t="shared" ca="1" si="43"/>
        <v>106.18191084966764</v>
      </c>
      <c r="K170" s="9">
        <f t="shared" ca="1" si="44"/>
        <v>233061.06521692962</v>
      </c>
      <c r="L170" s="8">
        <f t="shared" ca="1" si="45"/>
        <v>4974.6225233069281</v>
      </c>
      <c r="M170" s="9">
        <f t="shared" ca="1" si="46"/>
        <v>14441.776836476944</v>
      </c>
      <c r="N170" s="13">
        <f t="shared" ca="1" si="47"/>
        <v>308.25564218734138</v>
      </c>
    </row>
    <row r="171" spans="1:14" ht="15" x14ac:dyDescent="0.25">
      <c r="A171" s="5">
        <f t="shared" si="48"/>
        <v>3</v>
      </c>
      <c r="B171" s="11">
        <v>69.516666670000006</v>
      </c>
      <c r="C171" s="5">
        <f t="shared" ca="1" si="36"/>
        <v>20</v>
      </c>
      <c r="D171" s="13">
        <f t="shared" ca="1" si="37"/>
        <v>4.4721359549995796</v>
      </c>
      <c r="E171" s="5">
        <f t="shared" ca="1" si="38"/>
        <v>40</v>
      </c>
      <c r="F171" s="9">
        <f t="shared" ca="1" si="39"/>
        <v>800</v>
      </c>
      <c r="G171" s="9">
        <f t="shared" ca="1" si="40"/>
        <v>178.88543819998318</v>
      </c>
      <c r="H171" s="16">
        <f t="shared" ca="1" si="41"/>
        <v>2.9030899869919438</v>
      </c>
      <c r="I171" s="9">
        <f t="shared" ca="1" si="42"/>
        <v>9.7045350223490881E-2</v>
      </c>
      <c r="J171" s="13">
        <f t="shared" ca="1" si="43"/>
        <v>106.18191084966764</v>
      </c>
      <c r="K171" s="9">
        <f t="shared" ca="1" si="44"/>
        <v>513131.19251926016</v>
      </c>
      <c r="L171" s="8">
        <f t="shared" ca="1" si="45"/>
        <v>7381.4125029200013</v>
      </c>
      <c r="M171" s="9">
        <f t="shared" ca="1" si="46"/>
        <v>21428.904727084202</v>
      </c>
      <c r="N171" s="13">
        <f t="shared" ca="1" si="47"/>
        <v>308.25564218734138</v>
      </c>
    </row>
    <row r="172" spans="1:14" ht="15" x14ac:dyDescent="0.25">
      <c r="A172" s="5">
        <f t="shared" si="48"/>
        <v>4</v>
      </c>
      <c r="B172" s="11">
        <v>90.116666670000001</v>
      </c>
      <c r="C172" s="5">
        <f t="shared" ca="1" si="36"/>
        <v>23</v>
      </c>
      <c r="D172" s="13">
        <f t="shared" ca="1" si="37"/>
        <v>4.7958315233127191</v>
      </c>
      <c r="E172" s="5">
        <f t="shared" ca="1" si="38"/>
        <v>80</v>
      </c>
      <c r="F172" s="9">
        <f t="shared" ca="1" si="39"/>
        <v>1840</v>
      </c>
      <c r="G172" s="9">
        <f t="shared" ca="1" si="40"/>
        <v>383.66652186501756</v>
      </c>
      <c r="H172" s="16">
        <f t="shared" ca="1" si="41"/>
        <v>3.2648178230095364</v>
      </c>
      <c r="I172" s="9">
        <f t="shared" ca="1" si="42"/>
        <v>9.0495255700770452E-2</v>
      </c>
      <c r="J172" s="13">
        <f t="shared" ca="1" si="43"/>
        <v>122.10919747711776</v>
      </c>
      <c r="K172" s="9">
        <f t="shared" ca="1" si="44"/>
        <v>991650.45482688863</v>
      </c>
      <c r="L172" s="8">
        <f t="shared" ca="1" si="45"/>
        <v>11004.073846386627</v>
      </c>
      <c r="M172" s="9">
        <f t="shared" ca="1" si="46"/>
        <v>35926.29641939616</v>
      </c>
      <c r="N172" s="13">
        <f t="shared" ca="1" si="47"/>
        <v>398.66428427668518</v>
      </c>
    </row>
    <row r="173" spans="1:14" ht="15" x14ac:dyDescent="0.25">
      <c r="A173" s="5">
        <f t="shared" si="48"/>
        <v>5</v>
      </c>
      <c r="B173" s="11">
        <v>116.9666667</v>
      </c>
      <c r="C173" s="5">
        <f t="shared" ca="1" si="36"/>
        <v>29</v>
      </c>
      <c r="D173" s="13">
        <f t="shared" ca="1" si="37"/>
        <v>5.3851648071345037</v>
      </c>
      <c r="E173" s="5">
        <f t="shared" ca="1" si="38"/>
        <v>80</v>
      </c>
      <c r="F173" s="9">
        <f t="shared" ca="1" si="39"/>
        <v>2320</v>
      </c>
      <c r="G173" s="9">
        <f t="shared" ca="1" si="40"/>
        <v>430.81318457076031</v>
      </c>
      <c r="H173" s="16">
        <f t="shared" ca="1" si="41"/>
        <v>3.3654879848908998</v>
      </c>
      <c r="I173" s="9">
        <f t="shared" ca="1" si="42"/>
        <v>8.0591776768840509E-2</v>
      </c>
      <c r="J173" s="13">
        <f t="shared" ca="1" si="43"/>
        <v>153.96377073201808</v>
      </c>
      <c r="K173" s="9">
        <f t="shared" ca="1" si="44"/>
        <v>2106409.3124103178</v>
      </c>
      <c r="L173" s="8">
        <f t="shared" ca="1" si="45"/>
        <v>18008.629055087174</v>
      </c>
      <c r="M173" s="9">
        <f t="shared" ca="1" si="46"/>
        <v>60607.824709253036</v>
      </c>
      <c r="N173" s="13">
        <f t="shared" ca="1" si="47"/>
        <v>518.16322050710403</v>
      </c>
    </row>
    <row r="174" spans="1:14" ht="15" x14ac:dyDescent="0.25">
      <c r="A174" s="5">
        <f t="shared" si="48"/>
        <v>6</v>
      </c>
      <c r="B174" s="11">
        <v>140.25</v>
      </c>
      <c r="C174" s="5">
        <f t="shared" ca="1" si="36"/>
        <v>67</v>
      </c>
      <c r="D174" s="13">
        <f t="shared" ca="1" si="37"/>
        <v>8.1853527718724504</v>
      </c>
      <c r="E174" s="5">
        <f t="shared" ca="1" si="38"/>
        <v>160</v>
      </c>
      <c r="F174" s="9">
        <f t="shared" ca="1" si="39"/>
        <v>10720</v>
      </c>
      <c r="G174" s="9">
        <f t="shared" ca="1" si="40"/>
        <v>1309.6564434995921</v>
      </c>
      <c r="H174" s="16">
        <f t="shared" ca="1" si="41"/>
        <v>4.030194785356751</v>
      </c>
      <c r="I174" s="9">
        <f t="shared" ca="1" si="42"/>
        <v>5.3021538850636464E-2</v>
      </c>
      <c r="J174" s="13">
        <f t="shared" ca="1" si="43"/>
        <v>355.70940134638664</v>
      </c>
      <c r="K174" s="9">
        <f t="shared" ca="1" si="44"/>
        <v>6996826.1563210106</v>
      </c>
      <c r="L174" s="8">
        <f t="shared" ca="1" si="45"/>
        <v>49888.243538830735</v>
      </c>
      <c r="M174" s="9">
        <f t="shared" ca="1" si="46"/>
        <v>201059.33896080323</v>
      </c>
      <c r="N174" s="13">
        <f t="shared" ca="1" si="47"/>
        <v>1433.5781744085791</v>
      </c>
    </row>
    <row r="175" spans="1:14" ht="15" x14ac:dyDescent="0.25">
      <c r="A175" s="5">
        <f t="shared" si="48"/>
        <v>7</v>
      </c>
      <c r="B175" s="11">
        <v>167.9</v>
      </c>
      <c r="C175" s="5">
        <f t="shared" ca="1" si="36"/>
        <v>70</v>
      </c>
      <c r="D175" s="13">
        <f t="shared" ca="1" si="37"/>
        <v>8.3666002653407556</v>
      </c>
      <c r="E175" s="5">
        <f t="shared" ca="1" si="38"/>
        <v>800</v>
      </c>
      <c r="F175" s="9">
        <f t="shared" ca="1" si="39"/>
        <v>56000</v>
      </c>
      <c r="G175" s="9">
        <f t="shared" ca="1" si="40"/>
        <v>6693.2802122726043</v>
      </c>
      <c r="H175" s="16">
        <f t="shared" ca="1" si="41"/>
        <v>4.7481880270062007</v>
      </c>
      <c r="I175" s="9">
        <f t="shared" ca="1" si="42"/>
        <v>5.1872921645112681E-2</v>
      </c>
      <c r="J175" s="13">
        <f t="shared" ca="1" si="43"/>
        <v>371.63668797383679</v>
      </c>
      <c r="K175" s="9">
        <f t="shared" ca="1" si="44"/>
        <v>10476590.60502453</v>
      </c>
      <c r="L175" s="8">
        <f t="shared" ca="1" si="45"/>
        <v>62397.799910807204</v>
      </c>
      <c r="M175" s="9">
        <f t="shared" ca="1" si="46"/>
        <v>296276.48644802335</v>
      </c>
      <c r="N175" s="13">
        <f t="shared" ca="1" si="47"/>
        <v>1764.6008722336112</v>
      </c>
    </row>
    <row r="176" spans="1:14" ht="15" x14ac:dyDescent="0.25">
      <c r="A176" s="5">
        <f t="shared" si="48"/>
        <v>8</v>
      </c>
      <c r="B176" s="11">
        <v>187.7666667</v>
      </c>
      <c r="C176" s="5">
        <f t="shared" ca="1" si="36"/>
        <v>95</v>
      </c>
      <c r="D176" s="13">
        <f t="shared" ca="1" si="37"/>
        <v>9.7467943448089631</v>
      </c>
      <c r="E176" s="9">
        <f t="shared" ca="1" si="38"/>
        <v>10000</v>
      </c>
      <c r="F176" s="9">
        <f t="shared" ca="1" si="39"/>
        <v>950000</v>
      </c>
      <c r="G176" s="9">
        <f t="shared" ca="1" si="40"/>
        <v>97467.943448089631</v>
      </c>
      <c r="H176" s="16">
        <f t="shared" ca="1" si="41"/>
        <v>5.9777236052888476</v>
      </c>
      <c r="I176" s="9">
        <f t="shared" ca="1" si="42"/>
        <v>4.4527460480495683E-2</v>
      </c>
      <c r="J176" s="13">
        <f t="shared" ca="1" si="43"/>
        <v>504.36407653592141</v>
      </c>
      <c r="K176" s="9">
        <f t="shared" ca="1" si="44"/>
        <v>17782021.845572986</v>
      </c>
      <c r="L176" s="8">
        <f t="shared" ca="1" si="45"/>
        <v>94702.761454373656</v>
      </c>
      <c r="M176" s="9">
        <f t="shared" ca="1" si="46"/>
        <v>566106.93263184815</v>
      </c>
      <c r="N176" s="13">
        <f t="shared" ca="1" si="47"/>
        <v>3014.9490459684885</v>
      </c>
    </row>
    <row r="177" spans="1:14" ht="15" x14ac:dyDescent="0.25">
      <c r="A177" s="5">
        <f t="shared" si="48"/>
        <v>9</v>
      </c>
      <c r="B177" s="11">
        <v>212.78333330000001</v>
      </c>
      <c r="C177" s="5">
        <f t="shared" ca="1" si="36"/>
        <v>79</v>
      </c>
      <c r="D177" s="13">
        <f t="shared" ca="1" si="37"/>
        <v>8.8881944173155887</v>
      </c>
      <c r="E177" s="9">
        <f t="shared" ca="1" si="38"/>
        <v>40000</v>
      </c>
      <c r="F177" s="9">
        <f t="shared" ca="1" si="39"/>
        <v>3160000</v>
      </c>
      <c r="G177" s="9">
        <f t="shared" ca="1" si="40"/>
        <v>355527.77669262356</v>
      </c>
      <c r="H177" s="16">
        <f t="shared" ca="1" si="41"/>
        <v>6.4996870826184034</v>
      </c>
      <c r="I177" s="9">
        <f t="shared" ca="1" si="42"/>
        <v>4.8828814900189442E-2</v>
      </c>
      <c r="J177" s="13">
        <f t="shared" ca="1" si="43"/>
        <v>419.4185478561871</v>
      </c>
      <c r="K177" s="9">
        <f t="shared" ca="1" si="44"/>
        <v>18989907.449141264</v>
      </c>
      <c r="L177" s="8">
        <f t="shared" ca="1" si="45"/>
        <v>89245.276660685078</v>
      </c>
      <c r="M177" s="9">
        <f t="shared" ca="1" si="46"/>
        <v>580066.37189616042</v>
      </c>
      <c r="N177" s="13">
        <f t="shared" ca="1" si="47"/>
        <v>2726.0893177114281</v>
      </c>
    </row>
    <row r="178" spans="1:14" ht="15" x14ac:dyDescent="0.25">
      <c r="B178" s="11">
        <v>238</v>
      </c>
      <c r="C178">
        <v>71</v>
      </c>
      <c r="D178" s="15">
        <f t="shared" si="37"/>
        <v>8.426149773176359</v>
      </c>
      <c r="E178" s="27">
        <f>16* 10000</f>
        <v>160000</v>
      </c>
      <c r="F178" s="9">
        <f t="shared" si="39"/>
        <v>11360000</v>
      </c>
      <c r="G178" s="9">
        <f t="shared" ref="G178" si="49">D178*E178</f>
        <v>1348183.9637082175</v>
      </c>
      <c r="H178" s="16">
        <f t="shared" ref="H178" si="50">LOG10(F178)</f>
        <v>7.0553783313750005</v>
      </c>
      <c r="I178" s="9">
        <f t="shared" ref="I178" si="51">0.434 * G178/F178</f>
        <v>5.1506323965613235E-2</v>
      </c>
      <c r="J178" s="13"/>
      <c r="K178" s="9"/>
      <c r="L178" s="8"/>
      <c r="M178" s="9"/>
      <c r="N178" s="13"/>
    </row>
    <row r="179" spans="1:14" ht="12.75" x14ac:dyDescent="0.2">
      <c r="D179" s="13"/>
      <c r="F179" s="9"/>
      <c r="G179" s="9"/>
      <c r="H179" s="16"/>
      <c r="J179" s="13"/>
      <c r="K179" s="9"/>
      <c r="L179" s="8"/>
      <c r="M179" s="9"/>
      <c r="N179" s="13"/>
    </row>
    <row r="182" spans="1:14" ht="12.75" x14ac:dyDescent="0.2">
      <c r="B182" s="2" t="s">
        <v>54</v>
      </c>
      <c r="F182" s="17" t="s">
        <v>61</v>
      </c>
      <c r="G182" s="18"/>
      <c r="H182" s="18"/>
      <c r="I182" s="19"/>
    </row>
    <row r="183" spans="1:14" ht="12.75" x14ac:dyDescent="0.2">
      <c r="B183" s="2" t="s">
        <v>56</v>
      </c>
      <c r="F183" s="19" t="s">
        <v>40</v>
      </c>
      <c r="G183" s="19" t="s">
        <v>41</v>
      </c>
      <c r="H183" s="20">
        <f ca="1">(SUM(J169:J173)) * (SUM(K169:K173)) - (SUM(L169:L173))^2</f>
        <v>373388908.5499599</v>
      </c>
      <c r="I183" s="19"/>
    </row>
    <row r="184" spans="1:14" ht="12.75" x14ac:dyDescent="0.2">
      <c r="B184" s="2" t="s">
        <v>57</v>
      </c>
      <c r="F184" s="19" t="s">
        <v>42</v>
      </c>
      <c r="G184" s="19" t="s">
        <v>43</v>
      </c>
      <c r="H184" s="20">
        <f ca="1">(1/H183)*(SUM(J169:J173)*SUM(M169:M173) - SUM(L169:L173)* SUM(N169:N173))</f>
        <v>8.5130563129047748E-3</v>
      </c>
      <c r="I184" s="19"/>
    </row>
    <row r="185" spans="1:14" ht="12.75" x14ac:dyDescent="0.2">
      <c r="B185" s="2" t="s">
        <v>58</v>
      </c>
      <c r="F185" s="19"/>
      <c r="G185" s="19" t="s">
        <v>44</v>
      </c>
      <c r="H185" s="20">
        <f ca="1">SQRT((1/H183)*(SUM(J169:J173)))</f>
        <v>1.2392001052806353E-3</v>
      </c>
      <c r="I185" s="19"/>
    </row>
    <row r="186" spans="1:14" ht="12.75" x14ac:dyDescent="0.2">
      <c r="F186" s="19"/>
      <c r="G186" s="19"/>
      <c r="H186" s="19"/>
      <c r="I186" s="19"/>
    </row>
    <row r="187" spans="1:14" ht="12.75" x14ac:dyDescent="0.2">
      <c r="F187" s="19" t="s">
        <v>45</v>
      </c>
      <c r="G187" s="19" t="s">
        <v>41</v>
      </c>
      <c r="H187" s="20">
        <f ca="1">(SUM(J174:J177)) * (SUM(K174:K177)) - (SUM(L174:L177))^2</f>
        <v>1811417377.9429626</v>
      </c>
      <c r="I187" s="19"/>
    </row>
    <row r="188" spans="1:14" ht="12.75" x14ac:dyDescent="0.2">
      <c r="F188" s="19" t="s">
        <v>42</v>
      </c>
      <c r="G188" s="19" t="s">
        <v>43</v>
      </c>
      <c r="H188" s="20">
        <f ca="1">(1/H187)*(SUM(J175:J179)*SUM(M175:M179) - SUM(L175:L179)* SUM(N175:N179))</f>
        <v>1.081712536063114E-2</v>
      </c>
      <c r="I188" s="19"/>
    </row>
    <row r="189" spans="1:14" ht="12.75" x14ac:dyDescent="0.2">
      <c r="F189" s="19"/>
      <c r="G189" s="19" t="s">
        <v>44</v>
      </c>
      <c r="H189" s="20">
        <f ca="1">SQRT((1/H187)*(SUM(J174:J177)))</f>
        <v>9.5473138644606634E-4</v>
      </c>
      <c r="I189" s="19"/>
    </row>
    <row r="191" spans="1:14" ht="12.75" x14ac:dyDescent="0.2">
      <c r="A191" s="2" t="s">
        <v>62</v>
      </c>
      <c r="F191" s="2"/>
    </row>
    <row r="192" spans="1:14" ht="51" x14ac:dyDescent="0.2">
      <c r="A192" s="2" t="s">
        <v>26</v>
      </c>
      <c r="B192" s="10" t="s">
        <v>27</v>
      </c>
      <c r="C192" s="2" t="s">
        <v>47</v>
      </c>
      <c r="D192" s="2" t="s">
        <v>48</v>
      </c>
      <c r="E192" s="10" t="s">
        <v>49</v>
      </c>
      <c r="F192" s="2" t="s">
        <v>30</v>
      </c>
      <c r="G192" s="2" t="s">
        <v>31</v>
      </c>
      <c r="H192" s="2" t="s">
        <v>32</v>
      </c>
      <c r="I192" s="2" t="s">
        <v>33</v>
      </c>
      <c r="J192" s="2" t="s">
        <v>50</v>
      </c>
      <c r="K192" s="2" t="s">
        <v>51</v>
      </c>
      <c r="L192" s="2" t="s">
        <v>36</v>
      </c>
      <c r="M192" s="2" t="s">
        <v>52</v>
      </c>
      <c r="N192" s="2" t="s">
        <v>53</v>
      </c>
    </row>
    <row r="193" spans="1:18" ht="15" x14ac:dyDescent="0.25">
      <c r="B193" s="11">
        <v>0</v>
      </c>
      <c r="H193">
        <v>2</v>
      </c>
      <c r="I193">
        <v>0</v>
      </c>
      <c r="J193" s="19"/>
      <c r="K193" s="19"/>
      <c r="L193" s="19"/>
      <c r="M193" s="19"/>
      <c r="N193" s="19"/>
    </row>
    <row r="194" spans="1:18" ht="15" x14ac:dyDescent="0.25">
      <c r="A194" s="2">
        <v>1</v>
      </c>
      <c r="B194" s="11">
        <v>19.166666670000001</v>
      </c>
      <c r="C194" s="5">
        <f t="shared" ref="C194:C203" ca="1" si="52">OFFSET($B$8,(A194-1)*9,0)</f>
        <v>9</v>
      </c>
      <c r="D194" s="13">
        <f t="shared" ref="D194:D204" ca="1" si="53">SQRT(C194)</f>
        <v>3</v>
      </c>
      <c r="E194" s="5">
        <f t="shared" ref="E194:E203" ca="1" si="54">OFFSET($C$8,(A194-1)*9,0)*OFFSET($D$8,(A194-1)*9,0)</f>
        <v>20</v>
      </c>
      <c r="F194" s="9">
        <f t="shared" ref="F194:F204" ca="1" si="55">C194*E194</f>
        <v>180</v>
      </c>
      <c r="G194" s="9">
        <f t="shared" ref="G194:G203" ca="1" si="56">D194*E194</f>
        <v>60</v>
      </c>
      <c r="H194" s="16">
        <f t="shared" ref="H194:H203" ca="1" si="57">LOG10(F194)</f>
        <v>2.255272505103306</v>
      </c>
      <c r="I194" s="9">
        <f t="shared" ref="I194:I203" ca="1" si="58">0.434 * G194/F194</f>
        <v>0.14466666666666667</v>
      </c>
      <c r="J194" s="13">
        <f t="shared" ref="J194:J203" ca="1" si="59">(1/I194)^2</f>
        <v>47.781859882350439</v>
      </c>
      <c r="K194" s="9">
        <f t="shared" ref="K194:K203" ca="1" si="60">(B194/I194)^2</f>
        <v>17553.19714344115</v>
      </c>
      <c r="L194" s="8">
        <f t="shared" ref="L194:L203" ca="1" si="61">B194/(I194^2)</f>
        <v>915.81898123765643</v>
      </c>
      <c r="M194" s="9">
        <f t="shared" ref="M194:M203" ca="1" si="62">B194*H194*J194</f>
        <v>2065.4213680370071</v>
      </c>
      <c r="N194" s="13">
        <f t="shared" ref="N194:N203" ca="1" si="63">H194*J194</f>
        <v>107.76111483536363</v>
      </c>
      <c r="O194" s="9"/>
      <c r="P194" s="8"/>
      <c r="Q194" s="9"/>
      <c r="R194" s="13"/>
    </row>
    <row r="195" spans="1:18" ht="12.75" x14ac:dyDescent="0.2">
      <c r="A195" s="5">
        <f t="shared" ref="A195:A203" si="64">A194+1</f>
        <v>2</v>
      </c>
      <c r="B195" s="14">
        <v>46.85</v>
      </c>
      <c r="C195" s="5">
        <f t="shared" ca="1" si="52"/>
        <v>31</v>
      </c>
      <c r="D195" s="13">
        <f t="shared" ca="1" si="53"/>
        <v>5.5677643628300215</v>
      </c>
      <c r="E195" s="5">
        <f t="shared" ca="1" si="54"/>
        <v>20</v>
      </c>
      <c r="F195" s="9">
        <f t="shared" ca="1" si="55"/>
        <v>620</v>
      </c>
      <c r="G195" s="9">
        <f t="shared" ca="1" si="56"/>
        <v>111.35528725660043</v>
      </c>
      <c r="H195" s="16">
        <f t="shared" ca="1" si="57"/>
        <v>2.7923916894982539</v>
      </c>
      <c r="I195" s="9">
        <f t="shared" ca="1" si="58"/>
        <v>7.7948701079620292E-2</v>
      </c>
      <c r="J195" s="13">
        <f t="shared" ca="1" si="59"/>
        <v>164.58196181698494</v>
      </c>
      <c r="K195" s="9">
        <f t="shared" ca="1" si="60"/>
        <v>361244.65108624118</v>
      </c>
      <c r="L195" s="8">
        <f t="shared" ca="1" si="61"/>
        <v>7710.6649111257448</v>
      </c>
      <c r="M195" s="9">
        <f t="shared" ca="1" si="62"/>
        <v>21531.196618333321</v>
      </c>
      <c r="N195" s="13">
        <f t="shared" ca="1" si="63"/>
        <v>459.57730241906768</v>
      </c>
      <c r="O195" s="9"/>
      <c r="P195" s="8"/>
      <c r="Q195" s="9"/>
      <c r="R195" s="13"/>
    </row>
    <row r="196" spans="1:18" ht="15" x14ac:dyDescent="0.25">
      <c r="A196" s="5">
        <f t="shared" si="64"/>
        <v>3</v>
      </c>
      <c r="B196" s="11">
        <v>69.516666670000006</v>
      </c>
      <c r="C196" s="5">
        <f t="shared" ca="1" si="52"/>
        <v>31</v>
      </c>
      <c r="D196" s="13">
        <f t="shared" ca="1" si="53"/>
        <v>5.5677643628300215</v>
      </c>
      <c r="E196" s="5">
        <f t="shared" ca="1" si="54"/>
        <v>20</v>
      </c>
      <c r="F196" s="9">
        <f t="shared" ca="1" si="55"/>
        <v>620</v>
      </c>
      <c r="G196" s="9">
        <f t="shared" ca="1" si="56"/>
        <v>111.35528725660043</v>
      </c>
      <c r="H196" s="16">
        <f t="shared" ca="1" si="57"/>
        <v>2.7923916894982539</v>
      </c>
      <c r="I196" s="9">
        <f t="shared" ca="1" si="58"/>
        <v>7.7948701079620292E-2</v>
      </c>
      <c r="J196" s="13">
        <f t="shared" ca="1" si="59"/>
        <v>164.58196181698494</v>
      </c>
      <c r="K196" s="9">
        <f t="shared" ca="1" si="60"/>
        <v>795353.34840485372</v>
      </c>
      <c r="L196" s="8">
        <f t="shared" ca="1" si="61"/>
        <v>11441.189379526011</v>
      </c>
      <c r="M196" s="9">
        <f t="shared" ca="1" si="62"/>
        <v>31948.282141364118</v>
      </c>
      <c r="N196" s="13">
        <f t="shared" ca="1" si="63"/>
        <v>459.57730241906768</v>
      </c>
      <c r="O196" s="9"/>
      <c r="P196" s="8"/>
      <c r="Q196" s="9"/>
      <c r="R196" s="13"/>
    </row>
    <row r="197" spans="1:18" ht="15" x14ac:dyDescent="0.25">
      <c r="A197" s="5">
        <f t="shared" si="64"/>
        <v>4</v>
      </c>
      <c r="B197" s="11">
        <v>90.116666670000001</v>
      </c>
      <c r="C197" s="5">
        <f t="shared" ca="1" si="52"/>
        <v>33</v>
      </c>
      <c r="D197" s="13">
        <f t="shared" ca="1" si="53"/>
        <v>5.7445626465380286</v>
      </c>
      <c r="E197" s="5">
        <f t="shared" ca="1" si="54"/>
        <v>40</v>
      </c>
      <c r="F197" s="9">
        <f t="shared" ca="1" si="55"/>
        <v>1320</v>
      </c>
      <c r="G197" s="9">
        <f t="shared" ca="1" si="56"/>
        <v>229.78250586152114</v>
      </c>
      <c r="H197" s="16">
        <f t="shared" ca="1" si="57"/>
        <v>3.12057393120585</v>
      </c>
      <c r="I197" s="9">
        <f t="shared" ca="1" si="58"/>
        <v>7.554970268477286E-2</v>
      </c>
      <c r="J197" s="13">
        <f t="shared" ca="1" si="59"/>
        <v>175.20015290195161</v>
      </c>
      <c r="K197" s="9">
        <f t="shared" ca="1" si="60"/>
        <v>1422802.8264907536</v>
      </c>
      <c r="L197" s="8">
        <f t="shared" ca="1" si="61"/>
        <v>15788.453779598209</v>
      </c>
      <c r="M197" s="9">
        <f t="shared" ca="1" si="62"/>
        <v>49269.037278662639</v>
      </c>
      <c r="N197" s="13">
        <f t="shared" ca="1" si="63"/>
        <v>546.72502988910912</v>
      </c>
      <c r="O197" s="9"/>
      <c r="P197" s="8"/>
      <c r="Q197" s="9"/>
      <c r="R197" s="13"/>
    </row>
    <row r="198" spans="1:18" ht="15" x14ac:dyDescent="0.25">
      <c r="A198" s="5">
        <f t="shared" si="64"/>
        <v>5</v>
      </c>
      <c r="B198" s="11">
        <v>116.9666667</v>
      </c>
      <c r="C198" s="5">
        <f t="shared" ca="1" si="52"/>
        <v>33</v>
      </c>
      <c r="D198" s="13">
        <f t="shared" ca="1" si="53"/>
        <v>5.7445626465380286</v>
      </c>
      <c r="E198" s="5">
        <f t="shared" ca="1" si="54"/>
        <v>80</v>
      </c>
      <c r="F198" s="9">
        <f t="shared" ca="1" si="55"/>
        <v>2640</v>
      </c>
      <c r="G198" s="9">
        <f t="shared" ca="1" si="56"/>
        <v>459.56501172304229</v>
      </c>
      <c r="H198" s="16">
        <f t="shared" ca="1" si="57"/>
        <v>3.4216039268698313</v>
      </c>
      <c r="I198" s="9">
        <f t="shared" ca="1" si="58"/>
        <v>7.554970268477286E-2</v>
      </c>
      <c r="J198" s="13">
        <f t="shared" ca="1" si="59"/>
        <v>175.20015290195161</v>
      </c>
      <c r="K198" s="9">
        <f t="shared" ca="1" si="60"/>
        <v>2396948.5279151895</v>
      </c>
      <c r="L198" s="8">
        <f t="shared" ca="1" si="61"/>
        <v>20492.577890271616</v>
      </c>
      <c r="M198" s="9">
        <f t="shared" ca="1" si="62"/>
        <v>70117.484981039233</v>
      </c>
      <c r="N198" s="13">
        <f t="shared" ca="1" si="63"/>
        <v>599.46553115751249</v>
      </c>
      <c r="O198" s="9"/>
      <c r="P198" s="8"/>
      <c r="Q198" s="9"/>
      <c r="R198" s="13"/>
    </row>
    <row r="199" spans="1:18" ht="15" x14ac:dyDescent="0.25">
      <c r="A199" s="5">
        <f t="shared" si="64"/>
        <v>6</v>
      </c>
      <c r="B199" s="11">
        <v>140.25</v>
      </c>
      <c r="C199" s="5">
        <f t="shared" ca="1" si="52"/>
        <v>47</v>
      </c>
      <c r="D199" s="13">
        <f t="shared" ca="1" si="53"/>
        <v>6.8556546004010439</v>
      </c>
      <c r="E199" s="5">
        <f t="shared" ca="1" si="54"/>
        <v>160</v>
      </c>
      <c r="F199" s="9">
        <f t="shared" ca="1" si="55"/>
        <v>7520</v>
      </c>
      <c r="G199" s="9">
        <f t="shared" ca="1" si="56"/>
        <v>1096.9047360641671</v>
      </c>
      <c r="H199" s="16">
        <f t="shared" ca="1" si="57"/>
        <v>3.8762178405916421</v>
      </c>
      <c r="I199" s="9">
        <f t="shared" ca="1" si="58"/>
        <v>6.3305406310086229E-2</v>
      </c>
      <c r="J199" s="13">
        <f t="shared" ca="1" si="59"/>
        <v>249.52749049671903</v>
      </c>
      <c r="K199" s="9">
        <f t="shared" ca="1" si="60"/>
        <v>4908221.3335386198</v>
      </c>
      <c r="L199" s="8">
        <f t="shared" ca="1" si="61"/>
        <v>34996.230542164849</v>
      </c>
      <c r="M199" s="9">
        <f t="shared" ca="1" si="62"/>
        <v>135653.01318099748</v>
      </c>
      <c r="N199" s="13">
        <f t="shared" ca="1" si="63"/>
        <v>967.22291038144374</v>
      </c>
      <c r="O199" s="9"/>
      <c r="P199" s="8"/>
      <c r="Q199" s="9"/>
      <c r="R199" s="13"/>
    </row>
    <row r="200" spans="1:18" ht="15" x14ac:dyDescent="0.25">
      <c r="A200" s="5">
        <f t="shared" si="64"/>
        <v>7</v>
      </c>
      <c r="B200" s="11">
        <v>167.9</v>
      </c>
      <c r="C200" s="5">
        <f t="shared" ca="1" si="52"/>
        <v>41</v>
      </c>
      <c r="D200" s="13">
        <f t="shared" ca="1" si="53"/>
        <v>6.4031242374328485</v>
      </c>
      <c r="E200" s="5">
        <f t="shared" ca="1" si="54"/>
        <v>800</v>
      </c>
      <c r="F200" s="9">
        <f t="shared" ca="1" si="55"/>
        <v>32800</v>
      </c>
      <c r="G200" s="9">
        <f t="shared" ca="1" si="56"/>
        <v>5122.4993899462788</v>
      </c>
      <c r="H200" s="16">
        <f t="shared" ca="1" si="57"/>
        <v>4.5158738437116792</v>
      </c>
      <c r="I200" s="9">
        <f t="shared" ca="1" si="58"/>
        <v>6.7779412659655022E-2</v>
      </c>
      <c r="J200" s="13">
        <f t="shared" ca="1" si="59"/>
        <v>217.67291724181874</v>
      </c>
      <c r="K200" s="9">
        <f t="shared" ca="1" si="60"/>
        <v>6136288.7829429405</v>
      </c>
      <c r="L200" s="8">
        <f t="shared" ca="1" si="61"/>
        <v>36547.28280490137</v>
      </c>
      <c r="M200" s="9">
        <f t="shared" ca="1" si="62"/>
        <v>165042.91847738769</v>
      </c>
      <c r="N200" s="13">
        <f t="shared" ca="1" si="63"/>
        <v>982.98343345674618</v>
      </c>
      <c r="O200" s="9"/>
      <c r="P200" s="8"/>
      <c r="Q200" s="9"/>
      <c r="R200" s="13"/>
    </row>
    <row r="201" spans="1:18" ht="15" x14ac:dyDescent="0.25">
      <c r="A201" s="5">
        <f t="shared" si="64"/>
        <v>8</v>
      </c>
      <c r="B201" s="11">
        <v>187.7666667</v>
      </c>
      <c r="C201" s="5">
        <f t="shared" ca="1" si="52"/>
        <v>41</v>
      </c>
      <c r="D201" s="13">
        <f t="shared" ca="1" si="53"/>
        <v>6.4031242374328485</v>
      </c>
      <c r="E201" s="9">
        <f t="shared" ca="1" si="54"/>
        <v>10000</v>
      </c>
      <c r="F201" s="9">
        <f t="shared" ca="1" si="55"/>
        <v>410000</v>
      </c>
      <c r="G201" s="9">
        <f t="shared" ca="1" si="56"/>
        <v>64031.242374328489</v>
      </c>
      <c r="H201" s="16">
        <f t="shared" ca="1" si="57"/>
        <v>5.6127838567197355</v>
      </c>
      <c r="I201" s="9">
        <f t="shared" ca="1" si="58"/>
        <v>6.7779412659655036E-2</v>
      </c>
      <c r="J201" s="13">
        <f t="shared" ca="1" si="59"/>
        <v>217.67291724181868</v>
      </c>
      <c r="K201" s="9">
        <f t="shared" ca="1" si="60"/>
        <v>7674346.2701946544</v>
      </c>
      <c r="L201" s="8">
        <f t="shared" ca="1" si="61"/>
        <v>40871.71810136125</v>
      </c>
      <c r="M201" s="9">
        <f t="shared" ca="1" si="62"/>
        <v>229404.11955572022</v>
      </c>
      <c r="N201" s="13">
        <f t="shared" ca="1" si="63"/>
        <v>1221.751035939971</v>
      </c>
      <c r="O201" s="9"/>
      <c r="P201" s="8"/>
      <c r="Q201" s="9"/>
      <c r="R201" s="13"/>
    </row>
    <row r="202" spans="1:18" ht="15" x14ac:dyDescent="0.25">
      <c r="A202" s="5">
        <f t="shared" si="64"/>
        <v>9</v>
      </c>
      <c r="B202" s="11">
        <v>212.78333330000001</v>
      </c>
      <c r="C202" s="5">
        <f t="shared" ca="1" si="52"/>
        <v>122</v>
      </c>
      <c r="D202" s="13">
        <f t="shared" ca="1" si="53"/>
        <v>11.045361017187261</v>
      </c>
      <c r="E202" s="9">
        <f t="shared" ca="1" si="54"/>
        <v>10000</v>
      </c>
      <c r="F202" s="9">
        <f t="shared" ca="1" si="55"/>
        <v>1220000</v>
      </c>
      <c r="G202" s="9">
        <f t="shared" ca="1" si="56"/>
        <v>110453.61017187261</v>
      </c>
      <c r="H202" s="16">
        <f t="shared" ca="1" si="57"/>
        <v>6.0863598306747484</v>
      </c>
      <c r="I202" s="9">
        <f t="shared" ca="1" si="58"/>
        <v>3.9292513782453048E-2</v>
      </c>
      <c r="J202" s="13">
        <f t="shared" ca="1" si="59"/>
        <v>647.70965618297248</v>
      </c>
      <c r="K202" s="9">
        <f t="shared" ca="1" si="60"/>
        <v>29326186.187281441</v>
      </c>
      <c r="L202" s="8">
        <f t="shared" ca="1" si="61"/>
        <v>137821.81965320985</v>
      </c>
      <c r="M202" s="9">
        <f t="shared" ca="1" si="62"/>
        <v>838833.18692779599</v>
      </c>
      <c r="N202" s="13">
        <f t="shared" ca="1" si="63"/>
        <v>3942.1940333321959</v>
      </c>
      <c r="O202" s="9"/>
      <c r="P202" s="8"/>
      <c r="Q202" s="9"/>
      <c r="R202" s="13"/>
    </row>
    <row r="203" spans="1:18" ht="15" x14ac:dyDescent="0.25">
      <c r="A203" s="5">
        <f t="shared" si="64"/>
        <v>10</v>
      </c>
      <c r="B203" s="11">
        <v>237.95</v>
      </c>
      <c r="C203" s="5">
        <f t="shared" ca="1" si="52"/>
        <v>52</v>
      </c>
      <c r="D203" s="13">
        <f t="shared" ca="1" si="53"/>
        <v>7.2111025509279782</v>
      </c>
      <c r="E203" s="9">
        <f t="shared" ca="1" si="54"/>
        <v>160000</v>
      </c>
      <c r="F203" s="9">
        <f t="shared" ca="1" si="55"/>
        <v>8320000</v>
      </c>
      <c r="G203" s="9">
        <f t="shared" ca="1" si="56"/>
        <v>1153776.4081484766</v>
      </c>
      <c r="H203" s="16">
        <f t="shared" ca="1" si="57"/>
        <v>6.9201233262907236</v>
      </c>
      <c r="I203" s="9">
        <f t="shared" ca="1" si="58"/>
        <v>6.0184971290437358E-2</v>
      </c>
      <c r="J203" s="13">
        <f t="shared" ca="1" si="59"/>
        <v>276.07296820913592</v>
      </c>
      <c r="K203" s="9">
        <f t="shared" ca="1" si="60"/>
        <v>15631307.364777336</v>
      </c>
      <c r="L203" s="8">
        <f t="shared" ca="1" si="61"/>
        <v>65691.562785363887</v>
      </c>
      <c r="M203" s="9">
        <f t="shared" ca="1" si="62"/>
        <v>454593.71597148827</v>
      </c>
      <c r="N203" s="13">
        <f t="shared" ca="1" si="63"/>
        <v>1910.4589870623588</v>
      </c>
      <c r="O203" s="9"/>
      <c r="P203" s="8"/>
      <c r="Q203" s="9"/>
      <c r="R203" s="13"/>
    </row>
    <row r="204" spans="1:18" ht="15" x14ac:dyDescent="0.25">
      <c r="B204" s="28">
        <v>261</v>
      </c>
      <c r="C204">
        <v>62</v>
      </c>
      <c r="D204" s="15">
        <f t="shared" si="53"/>
        <v>7.8740078740118111</v>
      </c>
      <c r="E204" s="9">
        <f ca="1">$E$203</f>
        <v>160000</v>
      </c>
      <c r="F204" s="9">
        <f t="shared" ca="1" si="55"/>
        <v>9920000</v>
      </c>
      <c r="G204" s="9">
        <f t="shared" ref="G204" ca="1" si="65">D204*E204</f>
        <v>1259841.2598418898</v>
      </c>
      <c r="H204" s="16">
        <f t="shared" ref="H204" ca="1" si="66">LOG10(F204)</f>
        <v>6.9965116721541785</v>
      </c>
      <c r="I204" s="9">
        <f t="shared" ref="I204" ca="1" si="67">0.434 * G204/F204</f>
        <v>5.5118055118082682E-2</v>
      </c>
      <c r="J204" s="13"/>
      <c r="K204" s="9"/>
      <c r="L204" s="8"/>
      <c r="M204" s="9"/>
      <c r="N204" s="13"/>
      <c r="O204" s="9"/>
      <c r="P204" s="8"/>
      <c r="Q204" s="9"/>
      <c r="R204" s="13"/>
    </row>
    <row r="207" spans="1:18" ht="12.75" x14ac:dyDescent="0.2">
      <c r="B207" s="2" t="s">
        <v>54</v>
      </c>
      <c r="F207" s="17" t="s">
        <v>63</v>
      </c>
      <c r="G207" s="18"/>
      <c r="H207" s="18"/>
      <c r="I207" s="19"/>
    </row>
    <row r="208" spans="1:18" ht="12.75" x14ac:dyDescent="0.2">
      <c r="B208" s="2" t="s">
        <v>56</v>
      </c>
      <c r="F208" s="19" t="s">
        <v>40</v>
      </c>
      <c r="G208" s="19" t="s">
        <v>41</v>
      </c>
      <c r="H208" s="20">
        <f ca="1">(SUM(J194:J198)) * (SUM(K194:K198)) - (SUM(L194:L198))^2</f>
        <v>457118942.33213949</v>
      </c>
      <c r="I208" s="19"/>
    </row>
    <row r="209" spans="1:14" ht="12.75" x14ac:dyDescent="0.2">
      <c r="B209" s="2" t="s">
        <v>57</v>
      </c>
      <c r="F209" s="19" t="s">
        <v>42</v>
      </c>
      <c r="G209" s="19" t="s">
        <v>43</v>
      </c>
      <c r="H209" s="20">
        <f ca="1">(1/H208)*(SUM(J194:J198)*SUM(M194:M198) - SUM(L194:L198)* SUM(N194:N198))</f>
        <v>1.0465462946989702E-2</v>
      </c>
      <c r="I209" s="19"/>
    </row>
    <row r="210" spans="1:14" ht="12.75" x14ac:dyDescent="0.2">
      <c r="B210" s="2" t="s">
        <v>58</v>
      </c>
      <c r="F210" s="19"/>
      <c r="G210" s="19" t="s">
        <v>44</v>
      </c>
      <c r="H210" s="20">
        <f ca="1">SQRT((1/H208)*(SUM(J194:J198)))</f>
        <v>1.2614090571248812E-3</v>
      </c>
      <c r="I210" s="19"/>
    </row>
    <row r="211" spans="1:14" ht="12.75" x14ac:dyDescent="0.2">
      <c r="F211" s="19"/>
      <c r="G211" s="19"/>
      <c r="H211" s="19"/>
      <c r="I211" s="19"/>
    </row>
    <row r="212" spans="1:14" ht="12.75" x14ac:dyDescent="0.2">
      <c r="F212" s="19" t="s">
        <v>45</v>
      </c>
      <c r="G212" s="19" t="s">
        <v>41</v>
      </c>
      <c r="H212" s="20">
        <f ca="1">(SUM(J199:J203)) * (SUM(K199:K203)) - (SUM(L199:L203))^2</f>
        <v>2622450090.7071533</v>
      </c>
      <c r="I212" s="19"/>
    </row>
    <row r="213" spans="1:14" ht="12.75" x14ac:dyDescent="0.2">
      <c r="F213" s="19" t="s">
        <v>42</v>
      </c>
      <c r="G213" s="19" t="s">
        <v>43</v>
      </c>
      <c r="H213" s="20">
        <f ca="1">(1/H212)*(SUM(J199:J203)*SUM(M199:M203) - SUM(L199:L203)* SUM(N199:N203))</f>
        <v>3.1380894252436099E-2</v>
      </c>
      <c r="I213" s="19"/>
    </row>
    <row r="214" spans="1:14" ht="12.75" x14ac:dyDescent="0.2">
      <c r="F214" s="19"/>
      <c r="G214" s="19" t="s">
        <v>44</v>
      </c>
      <c r="H214" s="20">
        <f ca="1">SQRT((1/H212)*(SUM(J200:J203)))</f>
        <v>7.1990739929848034E-4</v>
      </c>
      <c r="I214" s="19"/>
    </row>
    <row r="216" spans="1:14" ht="12.75" x14ac:dyDescent="0.2">
      <c r="A216" s="2" t="s">
        <v>64</v>
      </c>
      <c r="B216" s="2"/>
    </row>
    <row r="217" spans="1:14" ht="51" x14ac:dyDescent="0.2">
      <c r="A217" s="2" t="s">
        <v>26</v>
      </c>
      <c r="B217" s="10" t="s">
        <v>27</v>
      </c>
      <c r="C217" s="2" t="s">
        <v>47</v>
      </c>
      <c r="D217" s="2" t="s">
        <v>48</v>
      </c>
      <c r="E217" s="10" t="s">
        <v>49</v>
      </c>
      <c r="F217" s="2" t="s">
        <v>30</v>
      </c>
      <c r="G217" s="2" t="s">
        <v>31</v>
      </c>
      <c r="H217" s="2" t="s">
        <v>32</v>
      </c>
      <c r="I217" s="2" t="s">
        <v>33</v>
      </c>
      <c r="J217" s="2" t="s">
        <v>50</v>
      </c>
      <c r="K217" s="2" t="s">
        <v>51</v>
      </c>
      <c r="L217" s="2" t="s">
        <v>36</v>
      </c>
      <c r="M217" s="2" t="s">
        <v>52</v>
      </c>
      <c r="N217" s="2" t="s">
        <v>53</v>
      </c>
    </row>
    <row r="218" spans="1:14" ht="15" x14ac:dyDescent="0.25">
      <c r="A218" s="19"/>
      <c r="B218" s="11">
        <v>0</v>
      </c>
      <c r="H218">
        <v>2</v>
      </c>
      <c r="I218">
        <v>0</v>
      </c>
      <c r="J218" s="13"/>
      <c r="K218" s="19"/>
      <c r="L218" s="19"/>
      <c r="M218" s="19"/>
      <c r="N218" s="19"/>
    </row>
    <row r="219" spans="1:14" ht="14.25" x14ac:dyDescent="0.2">
      <c r="A219" s="2">
        <v>1</v>
      </c>
      <c r="B219" s="21">
        <v>19.166666670000001</v>
      </c>
      <c r="C219" s="5">
        <f t="shared" ref="C219:C228" ca="1" si="68">OFFSET($B$9,(A219-1)*9,0)</f>
        <v>13</v>
      </c>
      <c r="D219" s="13">
        <f t="shared" ref="D219:D229" ca="1" si="69">SQRT(C219)</f>
        <v>3.6055512754639891</v>
      </c>
      <c r="E219" s="5">
        <f t="shared" ref="E219:E228" ca="1" si="70">OFFSET($C$9,(A219-1)*9,0)*OFFSET($D$9,(A219-1)*9,0)</f>
        <v>20</v>
      </c>
      <c r="F219" s="9">
        <f t="shared" ref="F219:F228" ca="1" si="71">C219*E219</f>
        <v>260</v>
      </c>
      <c r="G219" s="9">
        <f t="shared" ref="G219:G228" ca="1" si="72">D219*E219</f>
        <v>72.111025509279784</v>
      </c>
      <c r="H219" s="16">
        <f t="shared" ref="H219:H228" ca="1" si="73">LOG10(F219)</f>
        <v>2.4149733479708178</v>
      </c>
      <c r="I219" s="9">
        <f t="shared" ref="I219:I228" ca="1" si="74">0.434 * G219/F219</f>
        <v>0.12036994258087472</v>
      </c>
      <c r="J219" s="13">
        <f t="shared" ref="J219:J228" ca="1" si="75">(1/I219)^2</f>
        <v>69.018242052283981</v>
      </c>
      <c r="K219" s="9">
        <f t="shared" ref="K219:K228" ca="1" si="76">(B219/I219)^2</f>
        <v>25354.618096081653</v>
      </c>
      <c r="L219" s="8">
        <f t="shared" ref="L219:L228" ca="1" si="77">B219/(I219^2)</f>
        <v>1322.8496395655038</v>
      </c>
      <c r="M219" s="9">
        <f t="shared" ref="M219:M228" ca="1" si="78">B219*H219*J219</f>
        <v>3194.6466229234943</v>
      </c>
      <c r="N219" s="13">
        <f t="shared" ref="N219:N228" ca="1" si="79">H219*J219</f>
        <v>166.67721508006454</v>
      </c>
    </row>
    <row r="220" spans="1:14" ht="12.75" x14ac:dyDescent="0.2">
      <c r="A220" s="5">
        <f t="shared" ref="A220:A228" si="80">A219+1</f>
        <v>2</v>
      </c>
      <c r="B220" s="14">
        <v>46.85</v>
      </c>
      <c r="C220" s="5">
        <f t="shared" ca="1" si="68"/>
        <v>29</v>
      </c>
      <c r="D220" s="13">
        <f t="shared" ca="1" si="69"/>
        <v>5.3851648071345037</v>
      </c>
      <c r="E220" s="5">
        <f t="shared" ca="1" si="70"/>
        <v>20</v>
      </c>
      <c r="F220" s="9">
        <f t="shared" ca="1" si="71"/>
        <v>580</v>
      </c>
      <c r="G220" s="9">
        <f t="shared" ca="1" si="72"/>
        <v>107.70329614269008</v>
      </c>
      <c r="H220" s="16">
        <f t="shared" ca="1" si="73"/>
        <v>2.7634279935629373</v>
      </c>
      <c r="I220" s="9">
        <f t="shared" ca="1" si="74"/>
        <v>8.0591776768840509E-2</v>
      </c>
      <c r="J220" s="13">
        <f t="shared" ca="1" si="75"/>
        <v>153.96377073201808</v>
      </c>
      <c r="K220" s="9">
        <f t="shared" ca="1" si="76"/>
        <v>337938.54456454795</v>
      </c>
      <c r="L220" s="8">
        <f t="shared" ca="1" si="77"/>
        <v>7213.2026587950477</v>
      </c>
      <c r="M220" s="9">
        <f t="shared" ca="1" si="78"/>
        <v>19933.166150556841</v>
      </c>
      <c r="N220" s="13">
        <f t="shared" ca="1" si="79"/>
        <v>425.46779403536482</v>
      </c>
    </row>
    <row r="221" spans="1:14" ht="15" x14ac:dyDescent="0.25">
      <c r="A221" s="5">
        <f t="shared" si="80"/>
        <v>3</v>
      </c>
      <c r="B221" s="11">
        <v>69.516666670000006</v>
      </c>
      <c r="C221" s="5">
        <f t="shared" ca="1" si="68"/>
        <v>29</v>
      </c>
      <c r="D221" s="13">
        <f t="shared" ca="1" si="69"/>
        <v>5.3851648071345037</v>
      </c>
      <c r="E221" s="5">
        <f t="shared" ca="1" si="70"/>
        <v>20</v>
      </c>
      <c r="F221" s="9">
        <f t="shared" ca="1" si="71"/>
        <v>580</v>
      </c>
      <c r="G221" s="9">
        <f t="shared" ca="1" si="72"/>
        <v>107.70329614269008</v>
      </c>
      <c r="H221" s="16">
        <f t="shared" ca="1" si="73"/>
        <v>2.7634279935629373</v>
      </c>
      <c r="I221" s="9">
        <f t="shared" ca="1" si="74"/>
        <v>8.0591776768840509E-2</v>
      </c>
      <c r="J221" s="13">
        <f t="shared" ca="1" si="75"/>
        <v>153.96377073201808</v>
      </c>
      <c r="K221" s="9">
        <f t="shared" ca="1" si="76"/>
        <v>744040.22915292752</v>
      </c>
      <c r="L221" s="8">
        <f t="shared" ca="1" si="77"/>
        <v>10703.048129234005</v>
      </c>
      <c r="M221" s="9">
        <f t="shared" ca="1" si="78"/>
        <v>29577.102816776674</v>
      </c>
      <c r="N221" s="13">
        <f t="shared" ca="1" si="79"/>
        <v>425.46779403536482</v>
      </c>
    </row>
    <row r="222" spans="1:14" ht="15" x14ac:dyDescent="0.25">
      <c r="A222" s="5">
        <f t="shared" si="80"/>
        <v>4</v>
      </c>
      <c r="B222" s="11">
        <v>90.116666670000001</v>
      </c>
      <c r="C222" s="5">
        <f t="shared" ca="1" si="68"/>
        <v>41</v>
      </c>
      <c r="D222" s="13">
        <f t="shared" ca="1" si="69"/>
        <v>6.4031242374328485</v>
      </c>
      <c r="E222" s="5">
        <f t="shared" ca="1" si="70"/>
        <v>40</v>
      </c>
      <c r="F222" s="9">
        <f t="shared" ca="1" si="71"/>
        <v>1640</v>
      </c>
      <c r="G222" s="9">
        <f t="shared" ca="1" si="72"/>
        <v>256.12496949731394</v>
      </c>
      <c r="H222" s="16">
        <f t="shared" ca="1" si="73"/>
        <v>3.214843848047698</v>
      </c>
      <c r="I222" s="9">
        <f t="shared" ca="1" si="74"/>
        <v>6.7779412659655022E-2</v>
      </c>
      <c r="J222" s="13">
        <f t="shared" ca="1" si="75"/>
        <v>217.67291724181874</v>
      </c>
      <c r="K222" s="9">
        <f t="shared" ca="1" si="76"/>
        <v>1767724.7238218456</v>
      </c>
      <c r="L222" s="8">
        <f t="shared" ca="1" si="77"/>
        <v>19615.957726167475</v>
      </c>
      <c r="M222" s="9">
        <f t="shared" ca="1" si="78"/>
        <v>63062.24101953322</v>
      </c>
      <c r="N222" s="13">
        <f t="shared" ca="1" si="79"/>
        <v>699.78443888145659</v>
      </c>
    </row>
    <row r="223" spans="1:14" ht="15" x14ac:dyDescent="0.25">
      <c r="A223" s="5">
        <f t="shared" si="80"/>
        <v>5</v>
      </c>
      <c r="B223" s="11">
        <v>116.9666667</v>
      </c>
      <c r="C223" s="5">
        <f t="shared" ca="1" si="68"/>
        <v>28</v>
      </c>
      <c r="D223" s="13">
        <f t="shared" ca="1" si="69"/>
        <v>5.2915026221291814</v>
      </c>
      <c r="E223" s="5">
        <f t="shared" ca="1" si="70"/>
        <v>80</v>
      </c>
      <c r="F223" s="9">
        <f t="shared" ca="1" si="71"/>
        <v>2240</v>
      </c>
      <c r="G223" s="9">
        <f t="shared" ca="1" si="72"/>
        <v>423.32020977033449</v>
      </c>
      <c r="H223" s="16">
        <f t="shared" ca="1" si="73"/>
        <v>3.3502480183341627</v>
      </c>
      <c r="I223" s="9">
        <f t="shared" ca="1" si="74"/>
        <v>8.2018290643002312E-2</v>
      </c>
      <c r="J223" s="13">
        <f t="shared" ca="1" si="75"/>
        <v>148.65467518953471</v>
      </c>
      <c r="K223" s="9">
        <f t="shared" ca="1" si="76"/>
        <v>2033774.5085340997</v>
      </c>
      <c r="L223" s="8">
        <f t="shared" ca="1" si="77"/>
        <v>17387.641846291066</v>
      </c>
      <c r="M223" s="9">
        <f t="shared" ca="1" si="78"/>
        <v>58252.912639040813</v>
      </c>
      <c r="N223" s="13">
        <f t="shared" ca="1" si="79"/>
        <v>498.0300309698473</v>
      </c>
    </row>
    <row r="224" spans="1:14" ht="15" x14ac:dyDescent="0.25">
      <c r="A224" s="5">
        <f t="shared" si="80"/>
        <v>6</v>
      </c>
      <c r="B224" s="11">
        <v>140.25</v>
      </c>
      <c r="C224" s="5">
        <f t="shared" ca="1" si="68"/>
        <v>43</v>
      </c>
      <c r="D224" s="13">
        <f t="shared" ca="1" si="69"/>
        <v>6.5574385243020004</v>
      </c>
      <c r="E224" s="5">
        <f t="shared" ca="1" si="70"/>
        <v>160</v>
      </c>
      <c r="F224" s="9">
        <f t="shared" ca="1" si="71"/>
        <v>6880</v>
      </c>
      <c r="G224" s="9">
        <f t="shared" ca="1" si="72"/>
        <v>1049.1901638883201</v>
      </c>
      <c r="H224" s="16">
        <f t="shared" ca="1" si="73"/>
        <v>3.8375884382355112</v>
      </c>
      <c r="I224" s="9">
        <f t="shared" ca="1" si="74"/>
        <v>6.6184379524350426E-2</v>
      </c>
      <c r="J224" s="13">
        <f t="shared" ca="1" si="75"/>
        <v>228.29110832678546</v>
      </c>
      <c r="K224" s="9">
        <f t="shared" ca="1" si="76"/>
        <v>4490500.36898214</v>
      </c>
      <c r="L224" s="8">
        <f t="shared" ca="1" si="77"/>
        <v>32017.827942831656</v>
      </c>
      <c r="M224" s="9">
        <f t="shared" ca="1" si="78"/>
        <v>122871.24633082467</v>
      </c>
      <c r="N224" s="13">
        <f t="shared" ca="1" si="79"/>
        <v>876.08731786684257</v>
      </c>
    </row>
    <row r="225" spans="1:14" ht="15" x14ac:dyDescent="0.25">
      <c r="A225" s="5">
        <f t="shared" si="80"/>
        <v>7</v>
      </c>
      <c r="B225" s="11">
        <v>167.9</v>
      </c>
      <c r="C225" s="5">
        <f t="shared" ca="1" si="68"/>
        <v>47</v>
      </c>
      <c r="D225" s="13">
        <f t="shared" ca="1" si="69"/>
        <v>6.8556546004010439</v>
      </c>
      <c r="E225" s="5">
        <f t="shared" ca="1" si="70"/>
        <v>800</v>
      </c>
      <c r="F225" s="9">
        <f t="shared" ca="1" si="71"/>
        <v>37600</v>
      </c>
      <c r="G225" s="9">
        <f t="shared" ca="1" si="72"/>
        <v>5484.5236803208354</v>
      </c>
      <c r="H225" s="16">
        <f t="shared" ca="1" si="73"/>
        <v>4.5751878449276608</v>
      </c>
      <c r="I225" s="9">
        <f t="shared" ca="1" si="74"/>
        <v>6.3305406310086229E-2</v>
      </c>
      <c r="J225" s="13">
        <f t="shared" ca="1" si="75"/>
        <v>249.52749049671903</v>
      </c>
      <c r="K225" s="9">
        <f t="shared" ca="1" si="76"/>
        <v>7034282.2633736143</v>
      </c>
      <c r="L225" s="8">
        <f t="shared" ca="1" si="77"/>
        <v>41895.665654399127</v>
      </c>
      <c r="M225" s="9">
        <f t="shared" ca="1" si="78"/>
        <v>191680.54025716017</v>
      </c>
      <c r="N225" s="13">
        <f t="shared" ca="1" si="79"/>
        <v>1141.6351414958913</v>
      </c>
    </row>
    <row r="226" spans="1:14" ht="15" x14ac:dyDescent="0.25">
      <c r="A226" s="5">
        <f t="shared" si="80"/>
        <v>8</v>
      </c>
      <c r="B226" s="11">
        <v>187.7666667</v>
      </c>
      <c r="C226" s="5">
        <f t="shared" ca="1" si="68"/>
        <v>44</v>
      </c>
      <c r="D226" s="13">
        <f t="shared" ca="1" si="69"/>
        <v>6.6332495807107996</v>
      </c>
      <c r="E226" s="9">
        <f t="shared" ca="1" si="70"/>
        <v>10000</v>
      </c>
      <c r="F226" s="9">
        <f t="shared" ca="1" si="71"/>
        <v>440000</v>
      </c>
      <c r="G226" s="9">
        <f t="shared" ca="1" si="72"/>
        <v>66332.495807107989</v>
      </c>
      <c r="H226" s="16">
        <f t="shared" ca="1" si="73"/>
        <v>5.6434526764861879</v>
      </c>
      <c r="I226" s="9">
        <f t="shared" ca="1" si="74"/>
        <v>6.5427961773374704E-2</v>
      </c>
      <c r="J226" s="13">
        <f t="shared" ca="1" si="75"/>
        <v>233.60020386926888</v>
      </c>
      <c r="K226" s="9">
        <f t="shared" ca="1" si="76"/>
        <v>8235883.8021601196</v>
      </c>
      <c r="L226" s="8">
        <f t="shared" ca="1" si="77"/>
        <v>43862.331620973055</v>
      </c>
      <c r="M226" s="9">
        <f t="shared" ca="1" si="78"/>
        <v>247534.99278330518</v>
      </c>
      <c r="N226" s="13">
        <f t="shared" ca="1" si="79"/>
        <v>1318.3116957537445</v>
      </c>
    </row>
    <row r="227" spans="1:14" ht="15" x14ac:dyDescent="0.25">
      <c r="A227" s="5">
        <f t="shared" si="80"/>
        <v>9</v>
      </c>
      <c r="B227" s="11">
        <v>212.78333330000001</v>
      </c>
      <c r="C227" s="5">
        <f t="shared" ca="1" si="68"/>
        <v>74</v>
      </c>
      <c r="D227" s="13">
        <f t="shared" ca="1" si="69"/>
        <v>8.6023252670426267</v>
      </c>
      <c r="E227" s="9">
        <f t="shared" ca="1" si="70"/>
        <v>20000</v>
      </c>
      <c r="F227" s="9">
        <f t="shared" ca="1" si="71"/>
        <v>1480000</v>
      </c>
      <c r="G227" s="9">
        <f t="shared" ca="1" si="72"/>
        <v>172046.50534085254</v>
      </c>
      <c r="H227" s="16">
        <f t="shared" ca="1" si="73"/>
        <v>6.1702617153949575</v>
      </c>
      <c r="I227" s="9">
        <f t="shared" ca="1" si="74"/>
        <v>5.0451475214817569E-2</v>
      </c>
      <c r="J227" s="13">
        <f t="shared" ca="1" si="75"/>
        <v>392.87307014377024</v>
      </c>
      <c r="K227" s="9">
        <f t="shared" ca="1" si="76"/>
        <v>17788014.572613336</v>
      </c>
      <c r="L227" s="8">
        <f t="shared" ca="1" si="77"/>
        <v>83596.841428996151</v>
      </c>
      <c r="M227" s="9">
        <f t="shared" ca="1" si="78"/>
        <v>515814.390197278</v>
      </c>
      <c r="N227" s="13">
        <f t="shared" ca="1" si="79"/>
        <v>2424.1296637177834</v>
      </c>
    </row>
    <row r="228" spans="1:14" ht="15" x14ac:dyDescent="0.25">
      <c r="A228" s="5">
        <f t="shared" si="80"/>
        <v>10</v>
      </c>
      <c r="B228" s="11">
        <v>237.95</v>
      </c>
      <c r="C228" s="5">
        <f t="shared" ca="1" si="68"/>
        <v>37</v>
      </c>
      <c r="D228" s="13">
        <f t="shared" ca="1" si="69"/>
        <v>6.0827625302982193</v>
      </c>
      <c r="E228" s="9">
        <f t="shared" ca="1" si="70"/>
        <v>160000</v>
      </c>
      <c r="F228" s="9">
        <f t="shared" ca="1" si="71"/>
        <v>5920000</v>
      </c>
      <c r="G228" s="9">
        <f t="shared" ca="1" si="72"/>
        <v>973242.00484771514</v>
      </c>
      <c r="H228" s="16">
        <f t="shared" ca="1" si="73"/>
        <v>6.77232170672292</v>
      </c>
      <c r="I228" s="9">
        <f t="shared" ca="1" si="74"/>
        <v>7.134916049052506E-2</v>
      </c>
      <c r="J228" s="13">
        <f t="shared" ca="1" si="75"/>
        <v>196.43653507188517</v>
      </c>
      <c r="K228" s="9">
        <f t="shared" ca="1" si="76"/>
        <v>11122276.394168489</v>
      </c>
      <c r="L228" s="8">
        <f t="shared" ca="1" si="77"/>
        <v>46742.073520355072</v>
      </c>
      <c r="M228" s="9">
        <f t="shared" ca="1" si="78"/>
        <v>316552.35911913926</v>
      </c>
      <c r="N228" s="13">
        <f t="shared" ca="1" si="79"/>
        <v>1330.3314104607662</v>
      </c>
    </row>
    <row r="229" spans="1:14" ht="15" x14ac:dyDescent="0.25">
      <c r="B229" s="28">
        <v>261</v>
      </c>
      <c r="C229">
        <v>69</v>
      </c>
      <c r="D229" s="15">
        <f t="shared" si="69"/>
        <v>8.3066238629180749</v>
      </c>
      <c r="E229" s="29">
        <f ca="1">$E$228</f>
        <v>160000</v>
      </c>
      <c r="F229" s="9">
        <f t="shared" ref="F229" ca="1" si="81">C229*E229</f>
        <v>11040000</v>
      </c>
      <c r="G229" s="9">
        <f t="shared" ref="G229" ca="1" si="82">D229*E229</f>
        <v>1329059.818066892</v>
      </c>
      <c r="H229" s="16">
        <f t="shared" ref="H229" ca="1" si="83">LOG10(F229)</f>
        <v>7.0429690733931798</v>
      </c>
      <c r="I229" s="9">
        <f t="shared" ref="I229" ca="1" si="84">0.434 * G229/F229</f>
        <v>5.2247460239223838E-2</v>
      </c>
      <c r="J229" s="13"/>
      <c r="K229" s="9"/>
      <c r="L229" s="8"/>
      <c r="M229" s="9"/>
      <c r="N229" s="13"/>
    </row>
    <row r="232" spans="1:14" ht="12.75" x14ac:dyDescent="0.2">
      <c r="B232" s="2" t="s">
        <v>54</v>
      </c>
      <c r="F232" s="17" t="s">
        <v>63</v>
      </c>
      <c r="G232" s="18"/>
      <c r="H232" s="18"/>
      <c r="I232" s="19"/>
    </row>
    <row r="233" spans="1:14" ht="12.75" x14ac:dyDescent="0.2">
      <c r="B233" s="2" t="s">
        <v>56</v>
      </c>
      <c r="F233" s="19" t="s">
        <v>40</v>
      </c>
      <c r="G233" s="19" t="s">
        <v>41</v>
      </c>
      <c r="H233" s="20">
        <f ca="1">(SUM(J219:J223)) * (SUM(K219:K223)) - (SUM(L219:L223))^2</f>
        <v>485363293.23257065</v>
      </c>
      <c r="I233" s="19"/>
    </row>
    <row r="234" spans="1:14" ht="12.75" x14ac:dyDescent="0.2">
      <c r="B234" s="2" t="s">
        <v>57</v>
      </c>
      <c r="F234" s="19" t="s">
        <v>42</v>
      </c>
      <c r="G234" s="19" t="s">
        <v>43</v>
      </c>
      <c r="H234" s="20">
        <f ca="1">(1/H233)*(SUM(J219:J223)*SUM(M219:M223) - SUM(L219:L223)* SUM(N219:N223))</f>
        <v>9.7717996642181799E-3</v>
      </c>
      <c r="I234" s="19"/>
    </row>
    <row r="235" spans="1:14" ht="12.75" x14ac:dyDescent="0.2">
      <c r="B235" s="2" t="s">
        <v>58</v>
      </c>
      <c r="F235" s="19"/>
      <c r="G235" s="19" t="s">
        <v>44</v>
      </c>
      <c r="H235" s="20">
        <f ca="1">SQRT((1/H233)*(SUM(J219:J223)))</f>
        <v>1.237487509175166E-3</v>
      </c>
      <c r="I235" s="19"/>
    </row>
    <row r="236" spans="1:14" ht="12.75" x14ac:dyDescent="0.2">
      <c r="F236" s="19"/>
      <c r="G236" s="19"/>
      <c r="H236" s="19"/>
      <c r="I236" s="19"/>
    </row>
    <row r="237" spans="1:14" ht="12.75" x14ac:dyDescent="0.2">
      <c r="F237" s="19" t="s">
        <v>45</v>
      </c>
      <c r="G237" s="19" t="s">
        <v>41</v>
      </c>
      <c r="H237" s="20">
        <f ca="1">(SUM(J224:J228)) * (SUM(K224:K228)) - (SUM(L224:L228))^2</f>
        <v>1746772643.555542</v>
      </c>
      <c r="I237" s="19"/>
    </row>
    <row r="238" spans="1:14" ht="12.75" x14ac:dyDescent="0.2">
      <c r="F238" s="19" t="s">
        <v>42</v>
      </c>
      <c r="G238" s="19" t="s">
        <v>43</v>
      </c>
      <c r="H238" s="20">
        <f ca="1">(1/H237)*(SUM(J224:J228)*SUM(M224:M228) - SUM(L224:L228)* SUM(N224:N228))</f>
        <v>3.1228412580009884E-2</v>
      </c>
      <c r="I238" s="19"/>
    </row>
    <row r="239" spans="1:14" ht="12.75" x14ac:dyDescent="0.2">
      <c r="F239" s="19"/>
      <c r="G239" s="19" t="s">
        <v>44</v>
      </c>
      <c r="H239" s="20">
        <f ca="1">SQRT((1/H237)*(SUM(J224:J228)))</f>
        <v>8.6292911415304738E-4</v>
      </c>
      <c r="I239" s="19"/>
    </row>
    <row r="241" spans="1:14" ht="12.75" x14ac:dyDescent="0.2">
      <c r="A241" s="2" t="s">
        <v>65</v>
      </c>
      <c r="B241" s="2"/>
    </row>
    <row r="242" spans="1:14" ht="51" x14ac:dyDescent="0.2">
      <c r="A242" s="2" t="s">
        <v>26</v>
      </c>
      <c r="B242" s="10" t="s">
        <v>27</v>
      </c>
      <c r="C242" s="2" t="s">
        <v>47</v>
      </c>
      <c r="D242" s="2" t="s">
        <v>48</v>
      </c>
      <c r="E242" s="10" t="s">
        <v>49</v>
      </c>
      <c r="F242" s="2" t="s">
        <v>30</v>
      </c>
      <c r="G242" s="2" t="s">
        <v>31</v>
      </c>
      <c r="H242" s="2" t="s">
        <v>32</v>
      </c>
      <c r="I242" s="2" t="s">
        <v>33</v>
      </c>
      <c r="J242" s="2" t="s">
        <v>50</v>
      </c>
      <c r="K242" s="2" t="s">
        <v>51</v>
      </c>
      <c r="L242" s="2" t="s">
        <v>36</v>
      </c>
      <c r="M242" s="2" t="s">
        <v>52</v>
      </c>
      <c r="N242" s="2" t="s">
        <v>53</v>
      </c>
    </row>
    <row r="243" spans="1:14" ht="15" x14ac:dyDescent="0.25">
      <c r="B243" s="11">
        <v>0</v>
      </c>
      <c r="H243">
        <v>2</v>
      </c>
      <c r="I243">
        <v>0</v>
      </c>
      <c r="J243" s="19"/>
      <c r="K243" s="19"/>
      <c r="L243" s="19"/>
      <c r="M243" s="19"/>
      <c r="N243" s="19"/>
    </row>
    <row r="244" spans="1:14" ht="15" x14ac:dyDescent="0.25">
      <c r="A244" s="2">
        <v>1</v>
      </c>
      <c r="B244" s="11">
        <v>19.166666670000001</v>
      </c>
      <c r="C244" s="5">
        <f t="shared" ref="C244:C253" ca="1" si="85">OFFSET($B$10,(A244-1)*9,0)</f>
        <v>8</v>
      </c>
      <c r="D244" s="13">
        <f t="shared" ref="D244:D253" ca="1" si="86">SQRT(C244)</f>
        <v>2.8284271247461903</v>
      </c>
      <c r="E244" s="5">
        <f t="shared" ref="E244:E253" ca="1" si="87">OFFSET($C$10,(A244-1)*9,0)*OFFSET($D$10,(A244-1)*9,0)</f>
        <v>20</v>
      </c>
      <c r="F244" s="9">
        <f t="shared" ref="F244:F253" ca="1" si="88">C244*E244</f>
        <v>160</v>
      </c>
      <c r="G244" s="9">
        <f t="shared" ref="G244:G253" ca="1" si="89">D244*E244</f>
        <v>56.568542494923804</v>
      </c>
      <c r="H244" s="16">
        <f t="shared" ref="H244:H253" ca="1" si="90">LOG10(F244)</f>
        <v>2.2041199826559246</v>
      </c>
      <c r="I244" s="9">
        <f t="shared" ref="I244:I253" ca="1" si="91">0.434 * G244/F244</f>
        <v>0.1534421715174808</v>
      </c>
      <c r="J244" s="13">
        <f t="shared" ref="J244:J253" ca="1" si="92">(1/I244)^2</f>
        <v>42.472764339867076</v>
      </c>
      <c r="K244" s="9">
        <f t="shared" ref="K244:K253" ca="1" si="93">(B244/I244)^2</f>
        <v>15602.841905281022</v>
      </c>
      <c r="L244" s="8">
        <f t="shared" ref="L244:L253" ca="1" si="94">B244/(I244^2)</f>
        <v>814.06131665569478</v>
      </c>
      <c r="M244" s="9">
        <f t="shared" ref="M244:M253" ca="1" si="95">B244*H244*J244</f>
        <v>1794.2888151480095</v>
      </c>
      <c r="N244" s="13">
        <f t="shared" ref="N244:N253" ca="1" si="96">H244*J244</f>
        <v>93.615068600136993</v>
      </c>
    </row>
    <row r="245" spans="1:14" ht="12.75" x14ac:dyDescent="0.2">
      <c r="A245" s="5">
        <f t="shared" ref="A245:A253" si="97">A244+1</f>
        <v>2</v>
      </c>
      <c r="B245" s="14">
        <v>46.85</v>
      </c>
      <c r="C245" s="5">
        <f t="shared" ca="1" si="85"/>
        <v>26</v>
      </c>
      <c r="D245" s="13">
        <f t="shared" ca="1" si="86"/>
        <v>5.0990195135927845</v>
      </c>
      <c r="E245" s="5">
        <f t="shared" ca="1" si="87"/>
        <v>20</v>
      </c>
      <c r="F245" s="9">
        <f t="shared" ca="1" si="88"/>
        <v>520</v>
      </c>
      <c r="G245" s="9">
        <f t="shared" ca="1" si="89"/>
        <v>101.9803902718557</v>
      </c>
      <c r="H245" s="16">
        <f t="shared" ca="1" si="90"/>
        <v>2.716003343634799</v>
      </c>
      <c r="I245" s="9">
        <f t="shared" ca="1" si="91"/>
        <v>8.5114402649971874E-2</v>
      </c>
      <c r="J245" s="13">
        <f t="shared" ca="1" si="92"/>
        <v>138.0364841045679</v>
      </c>
      <c r="K245" s="9">
        <f t="shared" ca="1" si="93"/>
        <v>302979.38478200859</v>
      </c>
      <c r="L245" s="8">
        <f t="shared" ca="1" si="94"/>
        <v>6467.0092802990075</v>
      </c>
      <c r="M245" s="9">
        <f t="shared" ca="1" si="95"/>
        <v>17564.418828609378</v>
      </c>
      <c r="N245" s="13">
        <f t="shared" ca="1" si="96"/>
        <v>374.90755237159823</v>
      </c>
    </row>
    <row r="246" spans="1:14" ht="15" x14ac:dyDescent="0.25">
      <c r="A246" s="5">
        <f t="shared" si="97"/>
        <v>3</v>
      </c>
      <c r="B246" s="11">
        <v>69.516666670000006</v>
      </c>
      <c r="C246" s="5">
        <f t="shared" ca="1" si="85"/>
        <v>26</v>
      </c>
      <c r="D246" s="13">
        <f t="shared" ca="1" si="86"/>
        <v>5.0990195135927845</v>
      </c>
      <c r="E246" s="5">
        <f t="shared" ca="1" si="87"/>
        <v>20</v>
      </c>
      <c r="F246" s="9">
        <f t="shared" ca="1" si="88"/>
        <v>520</v>
      </c>
      <c r="G246" s="9">
        <f t="shared" ca="1" si="89"/>
        <v>101.9803902718557</v>
      </c>
      <c r="H246" s="16">
        <f t="shared" ca="1" si="90"/>
        <v>2.716003343634799</v>
      </c>
      <c r="I246" s="9">
        <f t="shared" ca="1" si="91"/>
        <v>8.5114402649971874E-2</v>
      </c>
      <c r="J246" s="13">
        <f t="shared" ca="1" si="92"/>
        <v>138.0364841045679</v>
      </c>
      <c r="K246" s="9">
        <f t="shared" ca="1" si="93"/>
        <v>667070.55027503835</v>
      </c>
      <c r="L246" s="8">
        <f t="shared" ca="1" si="94"/>
        <v>9595.8362537960038</v>
      </c>
      <c r="M246" s="9">
        <f t="shared" ca="1" si="95"/>
        <v>26062.323350281964</v>
      </c>
      <c r="N246" s="13">
        <f t="shared" ca="1" si="96"/>
        <v>374.90755237159823</v>
      </c>
    </row>
    <row r="247" spans="1:14" ht="15" x14ac:dyDescent="0.25">
      <c r="A247" s="5">
        <f t="shared" si="97"/>
        <v>4</v>
      </c>
      <c r="B247" s="11">
        <v>90.116666670000001</v>
      </c>
      <c r="C247" s="5">
        <f t="shared" ca="1" si="85"/>
        <v>30</v>
      </c>
      <c r="D247" s="13">
        <f t="shared" ca="1" si="86"/>
        <v>5.4772255750516612</v>
      </c>
      <c r="E247" s="5">
        <f t="shared" ca="1" si="87"/>
        <v>40</v>
      </c>
      <c r="F247" s="9">
        <f t="shared" ca="1" si="88"/>
        <v>1200</v>
      </c>
      <c r="G247" s="9">
        <f t="shared" ca="1" si="89"/>
        <v>219.08902300206645</v>
      </c>
      <c r="H247" s="16">
        <f t="shared" ca="1" si="90"/>
        <v>3.0791812460476247</v>
      </c>
      <c r="I247" s="9">
        <f t="shared" ca="1" si="91"/>
        <v>7.9237196652414035E-2</v>
      </c>
      <c r="J247" s="13">
        <f t="shared" ca="1" si="92"/>
        <v>159.27286627450147</v>
      </c>
      <c r="K247" s="9">
        <f t="shared" ca="1" si="93"/>
        <v>1293457.1149915939</v>
      </c>
      <c r="L247" s="8">
        <f t="shared" ca="1" si="94"/>
        <v>14353.139799634731</v>
      </c>
      <c r="M247" s="9">
        <f t="shared" ca="1" si="95"/>
        <v>44195.918892935035</v>
      </c>
      <c r="N247" s="13">
        <f t="shared" ca="1" si="96"/>
        <v>490.43002283669614</v>
      </c>
    </row>
    <row r="248" spans="1:14" ht="15" x14ac:dyDescent="0.25">
      <c r="A248" s="5">
        <f t="shared" si="97"/>
        <v>5</v>
      </c>
      <c r="B248" s="11">
        <v>116.9666667</v>
      </c>
      <c r="C248" s="5">
        <f t="shared" ca="1" si="85"/>
        <v>29</v>
      </c>
      <c r="D248" s="13">
        <f t="shared" ca="1" si="86"/>
        <v>5.3851648071345037</v>
      </c>
      <c r="E248" s="5">
        <f t="shared" ca="1" si="87"/>
        <v>80</v>
      </c>
      <c r="F248" s="9">
        <f t="shared" ca="1" si="88"/>
        <v>2320</v>
      </c>
      <c r="G248" s="9">
        <f t="shared" ca="1" si="89"/>
        <v>430.81318457076031</v>
      </c>
      <c r="H248" s="16">
        <f t="shared" ca="1" si="90"/>
        <v>3.3654879848908998</v>
      </c>
      <c r="I248" s="9">
        <f t="shared" ca="1" si="91"/>
        <v>8.0591776768840509E-2</v>
      </c>
      <c r="J248" s="13">
        <f t="shared" ca="1" si="92"/>
        <v>153.96377073201808</v>
      </c>
      <c r="K248" s="9">
        <f t="shared" ca="1" si="93"/>
        <v>2106409.3124103178</v>
      </c>
      <c r="L248" s="8">
        <f t="shared" ca="1" si="94"/>
        <v>18008.629055087174</v>
      </c>
      <c r="M248" s="9">
        <f t="shared" ca="1" si="95"/>
        <v>60607.824709253036</v>
      </c>
      <c r="N248" s="13">
        <f t="shared" ca="1" si="96"/>
        <v>518.16322050710403</v>
      </c>
    </row>
    <row r="249" spans="1:14" ht="15" x14ac:dyDescent="0.25">
      <c r="A249" s="5">
        <f t="shared" si="97"/>
        <v>6</v>
      </c>
      <c r="B249" s="11">
        <v>140.25</v>
      </c>
      <c r="C249" s="5">
        <f t="shared" ca="1" si="85"/>
        <v>26</v>
      </c>
      <c r="D249" s="13">
        <f t="shared" ca="1" si="86"/>
        <v>5.0990195135927845</v>
      </c>
      <c r="E249" s="5">
        <f t="shared" ca="1" si="87"/>
        <v>160</v>
      </c>
      <c r="F249" s="9">
        <f t="shared" ca="1" si="88"/>
        <v>4160</v>
      </c>
      <c r="G249" s="9">
        <f t="shared" ca="1" si="89"/>
        <v>815.84312217484558</v>
      </c>
      <c r="H249" s="16">
        <f t="shared" ca="1" si="90"/>
        <v>3.6190933306267428</v>
      </c>
      <c r="I249" s="9">
        <f t="shared" ca="1" si="91"/>
        <v>8.5114402649971874E-2</v>
      </c>
      <c r="J249" s="13">
        <f t="shared" ca="1" si="92"/>
        <v>138.0364841045679</v>
      </c>
      <c r="K249" s="9">
        <f t="shared" ca="1" si="93"/>
        <v>2715186.2696171077</v>
      </c>
      <c r="L249" s="8">
        <f t="shared" ca="1" si="94"/>
        <v>19359.616895665651</v>
      </c>
      <c r="M249" s="9">
        <f t="shared" ca="1" si="95"/>
        <v>70064.260390592346</v>
      </c>
      <c r="N249" s="13">
        <f t="shared" ca="1" si="96"/>
        <v>499.56691900600612</v>
      </c>
    </row>
    <row r="250" spans="1:14" ht="15" x14ac:dyDescent="0.25">
      <c r="A250" s="5">
        <f t="shared" si="97"/>
        <v>7</v>
      </c>
      <c r="B250" s="11">
        <v>167.9</v>
      </c>
      <c r="C250" s="5">
        <f t="shared" ca="1" si="85"/>
        <v>22</v>
      </c>
      <c r="D250" s="13">
        <f t="shared" ca="1" si="86"/>
        <v>4.6904157598234297</v>
      </c>
      <c r="E250" s="5">
        <f t="shared" ca="1" si="87"/>
        <v>800</v>
      </c>
      <c r="F250" s="9">
        <f t="shared" ca="1" si="88"/>
        <v>17600</v>
      </c>
      <c r="G250" s="9">
        <f t="shared" ca="1" si="89"/>
        <v>3752.3326078587438</v>
      </c>
      <c r="H250" s="16">
        <f t="shared" ca="1" si="90"/>
        <v>4.2455126678141495</v>
      </c>
      <c r="I250" s="9">
        <f t="shared" ca="1" si="91"/>
        <v>9.2529110898334932E-2</v>
      </c>
      <c r="J250" s="13">
        <f t="shared" ca="1" si="92"/>
        <v>116.80010193463441</v>
      </c>
      <c r="K250" s="9">
        <f t="shared" ca="1" si="93"/>
        <v>3292642.7615791373</v>
      </c>
      <c r="L250" s="8">
        <f t="shared" ca="1" si="94"/>
        <v>19610.737114825115</v>
      </c>
      <c r="M250" s="9">
        <f t="shared" ca="1" si="95"/>
        <v>83257.632846163149</v>
      </c>
      <c r="N250" s="13">
        <f t="shared" ca="1" si="96"/>
        <v>495.87631236547435</v>
      </c>
    </row>
    <row r="251" spans="1:14" ht="15" x14ac:dyDescent="0.25">
      <c r="A251" s="5">
        <f t="shared" si="97"/>
        <v>8</v>
      </c>
      <c r="B251" s="11">
        <v>187.7666667</v>
      </c>
      <c r="C251" s="5">
        <f t="shared" ca="1" si="85"/>
        <v>38</v>
      </c>
      <c r="D251" s="13">
        <f t="shared" ca="1" si="86"/>
        <v>6.164414002968976</v>
      </c>
      <c r="E251" s="9">
        <f t="shared" ca="1" si="87"/>
        <v>2500</v>
      </c>
      <c r="F251" s="9">
        <f t="shared" ca="1" si="88"/>
        <v>95000</v>
      </c>
      <c r="G251" s="9">
        <f t="shared" ca="1" si="89"/>
        <v>15411.035007422441</v>
      </c>
      <c r="H251" s="16">
        <f t="shared" ca="1" si="90"/>
        <v>4.9777236052888476</v>
      </c>
      <c r="I251" s="9">
        <f t="shared" ca="1" si="91"/>
        <v>7.0404096770750935E-2</v>
      </c>
      <c r="J251" s="13">
        <f t="shared" ca="1" si="92"/>
        <v>201.74563061436857</v>
      </c>
      <c r="K251" s="9">
        <f t="shared" ca="1" si="93"/>
        <v>7112808.7382291937</v>
      </c>
      <c r="L251" s="8">
        <f t="shared" ca="1" si="94"/>
        <v>37881.10458174946</v>
      </c>
      <c r="M251" s="9">
        <f t="shared" ca="1" si="95"/>
        <v>188561.6684709898</v>
      </c>
      <c r="N251" s="13">
        <f t="shared" ca="1" si="96"/>
        <v>1004.2339877730268</v>
      </c>
    </row>
    <row r="252" spans="1:14" ht="15" x14ac:dyDescent="0.25">
      <c r="A252" s="5">
        <f t="shared" si="97"/>
        <v>9</v>
      </c>
      <c r="B252" s="11">
        <v>212.78333330000001</v>
      </c>
      <c r="C252" s="5">
        <f t="shared" ca="1" si="85"/>
        <v>82</v>
      </c>
      <c r="D252" s="13">
        <f t="shared" ca="1" si="86"/>
        <v>9.0553851381374173</v>
      </c>
      <c r="E252" s="9">
        <f t="shared" ca="1" si="87"/>
        <v>5000</v>
      </c>
      <c r="F252" s="9">
        <f t="shared" ca="1" si="88"/>
        <v>410000</v>
      </c>
      <c r="G252" s="9">
        <f t="shared" ca="1" si="89"/>
        <v>45276.925690687087</v>
      </c>
      <c r="H252" s="16">
        <f t="shared" ca="1" si="90"/>
        <v>5.6127838567197355</v>
      </c>
      <c r="I252" s="9">
        <f t="shared" ca="1" si="91"/>
        <v>4.7927282316483404E-2</v>
      </c>
      <c r="J252" s="13">
        <f t="shared" ca="1" si="92"/>
        <v>435.34583448363736</v>
      </c>
      <c r="K252" s="9">
        <f t="shared" ca="1" si="93"/>
        <v>19711043.175058026</v>
      </c>
      <c r="L252" s="8">
        <f t="shared" ca="1" si="94"/>
        <v>92634.337799698435</v>
      </c>
      <c r="M252" s="9">
        <f t="shared" ca="1" si="95"/>
        <v>519936.51578007027</v>
      </c>
      <c r="N252" s="13">
        <f t="shared" ca="1" si="96"/>
        <v>2443.5020718799419</v>
      </c>
    </row>
    <row r="253" spans="1:14" ht="15" x14ac:dyDescent="0.25">
      <c r="A253" s="5">
        <f t="shared" si="97"/>
        <v>10</v>
      </c>
      <c r="B253" s="11">
        <v>237.95</v>
      </c>
      <c r="C253" s="5">
        <f t="shared" ca="1" si="85"/>
        <v>104</v>
      </c>
      <c r="D253" s="13">
        <f t="shared" ca="1" si="86"/>
        <v>10.198039027185569</v>
      </c>
      <c r="E253" s="9">
        <f t="shared" ca="1" si="87"/>
        <v>40000</v>
      </c>
      <c r="F253" s="9">
        <f t="shared" ca="1" si="88"/>
        <v>4160000</v>
      </c>
      <c r="G253" s="9">
        <f t="shared" ca="1" si="89"/>
        <v>407921.56108742277</v>
      </c>
      <c r="H253" s="16">
        <f t="shared" ca="1" si="90"/>
        <v>6.6190933306267423</v>
      </c>
      <c r="I253" s="9">
        <f t="shared" ca="1" si="91"/>
        <v>4.2557201324985937E-2</v>
      </c>
      <c r="J253" s="13">
        <f t="shared" ca="1" si="92"/>
        <v>552.14593641827162</v>
      </c>
      <c r="K253" s="9">
        <f t="shared" ca="1" si="93"/>
        <v>31262614.729554668</v>
      </c>
      <c r="L253" s="8">
        <f t="shared" ca="1" si="94"/>
        <v>131383.12557072775</v>
      </c>
      <c r="M253" s="9">
        <f t="shared" ca="1" si="95"/>
        <v>869637.17022209964</v>
      </c>
      <c r="N253" s="13">
        <f t="shared" ca="1" si="96"/>
        <v>3654.7054852788388</v>
      </c>
    </row>
    <row r="254" spans="1:14" ht="15" x14ac:dyDescent="0.25">
      <c r="B254" s="28">
        <v>261</v>
      </c>
      <c r="C254">
        <v>76</v>
      </c>
      <c r="D254" s="15">
        <f>SQRT(C254)</f>
        <v>8.717797887081348</v>
      </c>
      <c r="E254" s="27">
        <f>16*10000</f>
        <v>160000</v>
      </c>
      <c r="F254" s="9">
        <f>C254*E254</f>
        <v>12160000</v>
      </c>
      <c r="G254" s="9">
        <f>D254*E254</f>
        <v>1394847.6619330156</v>
      </c>
      <c r="H254" s="16">
        <f>LOG10(F254)</f>
        <v>7.0849335749367164</v>
      </c>
      <c r="I254" s="9">
        <f>0.434 * G254/F254</f>
        <v>4.978321424991191E-2</v>
      </c>
      <c r="J254" s="13"/>
      <c r="K254" s="9"/>
      <c r="L254" s="8"/>
      <c r="M254" s="9"/>
      <c r="N254" s="13"/>
    </row>
    <row r="255" spans="1:14" ht="12.75" x14ac:dyDescent="0.2">
      <c r="J255" s="13"/>
      <c r="K255" s="9"/>
      <c r="L255" s="8"/>
      <c r="M255" s="9"/>
      <c r="N255" s="13"/>
    </row>
    <row r="258" spans="1:14" ht="12.75" x14ac:dyDescent="0.2">
      <c r="B258" s="2" t="s">
        <v>54</v>
      </c>
      <c r="F258" s="17" t="s">
        <v>66</v>
      </c>
      <c r="G258" s="18"/>
      <c r="H258" s="18"/>
      <c r="I258" s="19"/>
    </row>
    <row r="259" spans="1:14" ht="12.75" x14ac:dyDescent="0.2">
      <c r="B259" s="2" t="s">
        <v>56</v>
      </c>
      <c r="F259" s="19" t="s">
        <v>40</v>
      </c>
      <c r="G259" s="19" t="s">
        <v>41</v>
      </c>
      <c r="H259" s="20">
        <f ca="1">(SUM(J244:J249)) * (SUM(K244:K249)) - (SUM(L244:L249))^2</f>
        <v>760531200.36686802</v>
      </c>
      <c r="I259" s="19"/>
    </row>
    <row r="260" spans="1:14" ht="12.75" x14ac:dyDescent="0.2">
      <c r="B260" s="2" t="s">
        <v>57</v>
      </c>
      <c r="F260" s="19" t="s">
        <v>42</v>
      </c>
      <c r="G260" s="19" t="s">
        <v>43</v>
      </c>
      <c r="H260" s="20">
        <f ca="1">(1/H259)*(SUM(J244:J249)*SUM(M244:M249) - SUM(L244:L249)* SUM(N244:N249))</f>
        <v>1.0870784075085935E-2</v>
      </c>
      <c r="I260" s="19"/>
    </row>
    <row r="261" spans="1:14" ht="12.75" x14ac:dyDescent="0.2">
      <c r="B261" s="2" t="s">
        <v>58</v>
      </c>
      <c r="F261" s="19"/>
      <c r="G261" s="19" t="s">
        <v>44</v>
      </c>
      <c r="H261" s="20">
        <f ca="1">SQRT((1/H259)*(SUM(J244:J249)))</f>
        <v>1.006087501584611E-3</v>
      </c>
      <c r="I261" s="19"/>
    </row>
    <row r="262" spans="1:14" ht="12.75" x14ac:dyDescent="0.2">
      <c r="F262" s="19"/>
      <c r="G262" s="19"/>
      <c r="H262" s="19"/>
      <c r="I262" s="19"/>
    </row>
    <row r="263" spans="1:14" ht="12.75" x14ac:dyDescent="0.2">
      <c r="F263" s="19" t="s">
        <v>45</v>
      </c>
      <c r="G263" s="19" t="s">
        <v>41</v>
      </c>
      <c r="H263" s="20">
        <f ca="1">(SUM(J250:J253)) * (SUM(K250:K253)) - (SUM(L250:L253))^2</f>
        <v>915929971.28474426</v>
      </c>
      <c r="I263" s="19"/>
    </row>
    <row r="264" spans="1:14" ht="12.75" x14ac:dyDescent="0.2">
      <c r="F264" s="19" t="s">
        <v>42</v>
      </c>
      <c r="G264" s="19" t="s">
        <v>43</v>
      </c>
      <c r="H264" s="20">
        <f ca="1">(1/H263)*(SUM(J250:J253)*SUM(M250:M253) - SUM(L250:L253)* SUM(N250:N253))</f>
        <v>3.3675467219591609E-2</v>
      </c>
      <c r="I264" s="19"/>
    </row>
    <row r="265" spans="1:14" ht="12.75" x14ac:dyDescent="0.2">
      <c r="F265" s="19"/>
      <c r="G265" s="19" t="s">
        <v>44</v>
      </c>
      <c r="H265" s="20">
        <f ca="1">SQRT((1/H263)*(SUM(J250:J253)))</f>
        <v>1.1941164711661671E-3</v>
      </c>
      <c r="I265" s="19"/>
    </row>
    <row r="267" spans="1:14" ht="12.75" x14ac:dyDescent="0.2">
      <c r="A267" s="2" t="s">
        <v>67</v>
      </c>
      <c r="B267" s="2"/>
    </row>
    <row r="268" spans="1:14" ht="51" x14ac:dyDescent="0.2">
      <c r="A268" s="2" t="s">
        <v>26</v>
      </c>
      <c r="B268" s="10" t="s">
        <v>27</v>
      </c>
      <c r="C268" s="2" t="s">
        <v>47</v>
      </c>
      <c r="D268" s="2" t="s">
        <v>48</v>
      </c>
      <c r="E268" s="10" t="s">
        <v>49</v>
      </c>
      <c r="F268" s="2" t="s">
        <v>30</v>
      </c>
      <c r="G268" s="2" t="s">
        <v>31</v>
      </c>
      <c r="H268" s="2" t="s">
        <v>32</v>
      </c>
      <c r="I268" s="2" t="s">
        <v>33</v>
      </c>
      <c r="J268" s="2" t="s">
        <v>50</v>
      </c>
      <c r="K268" s="2" t="s">
        <v>51</v>
      </c>
      <c r="L268" s="2" t="s">
        <v>36</v>
      </c>
      <c r="M268" s="2" t="s">
        <v>52</v>
      </c>
      <c r="N268" s="2" t="s">
        <v>53</v>
      </c>
    </row>
    <row r="269" spans="1:14" ht="15" x14ac:dyDescent="0.25">
      <c r="B269" s="11">
        <v>0</v>
      </c>
      <c r="H269">
        <v>2</v>
      </c>
      <c r="I269">
        <v>0</v>
      </c>
      <c r="J269" s="19"/>
      <c r="K269" s="19"/>
      <c r="L269" s="19"/>
      <c r="M269" s="19"/>
      <c r="N269" s="19"/>
    </row>
    <row r="270" spans="1:14" ht="15" x14ac:dyDescent="0.25">
      <c r="A270" s="2">
        <v>1</v>
      </c>
      <c r="B270" s="11">
        <v>19.166666670000001</v>
      </c>
      <c r="C270" s="5">
        <f t="shared" ref="C270:C279" ca="1" si="98">OFFSET($B$11,(A270-1)*9,0)</f>
        <v>10</v>
      </c>
      <c r="D270" s="13">
        <f t="shared" ref="D270:D280" ca="1" si="99">SQRT(C270)</f>
        <v>3.1622776601683795</v>
      </c>
      <c r="E270" s="5">
        <f t="shared" ref="E270:E279" ca="1" si="100">OFFSET($C$11,(A270-1)*9,0)*OFFSET($D$11,(A270-1)*9,0)</f>
        <v>20</v>
      </c>
      <c r="F270" s="9">
        <f t="shared" ref="F270:F279" ca="1" si="101">C270*E270</f>
        <v>200</v>
      </c>
      <c r="G270" s="9">
        <f t="shared" ref="G270:G279" ca="1" si="102">D270*E270</f>
        <v>63.245553203367592</v>
      </c>
      <c r="H270" s="16">
        <f t="shared" ref="H270:H279" ca="1" si="103">LOG10(F270)</f>
        <v>2.3010299956639813</v>
      </c>
      <c r="I270" s="9">
        <f t="shared" ref="I270:I279" ca="1" si="104">0.434 * G270/F270</f>
        <v>0.13724285045130766</v>
      </c>
      <c r="J270" s="13">
        <f t="shared" ref="J270:J279" ca="1" si="105">(1/I270)^2</f>
        <v>53.090955424833822</v>
      </c>
      <c r="K270" s="9">
        <f t="shared" ref="K270:K279" ca="1" si="106">(B270/I270)^2</f>
        <v>19503.552381601276</v>
      </c>
      <c r="L270" s="8">
        <f t="shared" ref="L270:L279" ca="1" si="107">B270/(I270^2)</f>
        <v>1017.5766458196184</v>
      </c>
      <c r="M270" s="9">
        <f t="shared" ref="M270:M279" ca="1" si="108">B270*H270*J270</f>
        <v>2341.4743849180845</v>
      </c>
      <c r="N270" s="13">
        <f t="shared" ref="N270:N279" ca="1" si="109">H270*J270</f>
        <v>122.163880931002</v>
      </c>
    </row>
    <row r="271" spans="1:14" ht="12.75" x14ac:dyDescent="0.2">
      <c r="A271" s="5">
        <f t="shared" ref="A271:A279" si="110">A270+1</f>
        <v>2</v>
      </c>
      <c r="B271" s="14">
        <v>46.85</v>
      </c>
      <c r="C271" s="5">
        <f t="shared" ca="1" si="98"/>
        <v>20</v>
      </c>
      <c r="D271" s="13">
        <f t="shared" ca="1" si="99"/>
        <v>4.4721359549995796</v>
      </c>
      <c r="E271" s="5">
        <f t="shared" ca="1" si="100"/>
        <v>40</v>
      </c>
      <c r="F271" s="9">
        <f t="shared" ca="1" si="101"/>
        <v>800</v>
      </c>
      <c r="G271" s="9">
        <f t="shared" ca="1" si="102"/>
        <v>178.88543819998318</v>
      </c>
      <c r="H271" s="16">
        <f t="shared" ca="1" si="103"/>
        <v>2.9030899869919438</v>
      </c>
      <c r="I271" s="9">
        <f t="shared" ca="1" si="104"/>
        <v>9.7045350223490881E-2</v>
      </c>
      <c r="J271" s="13">
        <f t="shared" ca="1" si="105"/>
        <v>106.18191084966764</v>
      </c>
      <c r="K271" s="9">
        <f t="shared" ca="1" si="106"/>
        <v>233061.06521692962</v>
      </c>
      <c r="L271" s="8">
        <f t="shared" ca="1" si="107"/>
        <v>4974.6225233069281</v>
      </c>
      <c r="M271" s="9">
        <f t="shared" ca="1" si="108"/>
        <v>14441.776836476944</v>
      </c>
      <c r="N271" s="13">
        <f t="shared" ca="1" si="109"/>
        <v>308.25564218734138</v>
      </c>
    </row>
    <row r="272" spans="1:14" ht="15" x14ac:dyDescent="0.25">
      <c r="A272" s="5">
        <f t="shared" si="110"/>
        <v>3</v>
      </c>
      <c r="B272" s="11">
        <v>69.516666670000006</v>
      </c>
      <c r="C272" s="5">
        <f t="shared" ca="1" si="98"/>
        <v>20</v>
      </c>
      <c r="D272" s="13">
        <f t="shared" ca="1" si="99"/>
        <v>4.4721359549995796</v>
      </c>
      <c r="E272" s="5">
        <f t="shared" ca="1" si="100"/>
        <v>40</v>
      </c>
      <c r="F272" s="9">
        <f t="shared" ca="1" si="101"/>
        <v>800</v>
      </c>
      <c r="G272" s="9">
        <f t="shared" ca="1" si="102"/>
        <v>178.88543819998318</v>
      </c>
      <c r="H272" s="16">
        <f t="shared" ca="1" si="103"/>
        <v>2.9030899869919438</v>
      </c>
      <c r="I272" s="9">
        <f t="shared" ca="1" si="104"/>
        <v>9.7045350223490881E-2</v>
      </c>
      <c r="J272" s="13">
        <f t="shared" ca="1" si="105"/>
        <v>106.18191084966764</v>
      </c>
      <c r="K272" s="9">
        <f t="shared" ca="1" si="106"/>
        <v>513131.19251926016</v>
      </c>
      <c r="L272" s="8">
        <f t="shared" ca="1" si="107"/>
        <v>7381.4125029200013</v>
      </c>
      <c r="M272" s="9">
        <f t="shared" ca="1" si="108"/>
        <v>21428.904727084202</v>
      </c>
      <c r="N272" s="13">
        <f t="shared" ca="1" si="109"/>
        <v>308.25564218734138</v>
      </c>
    </row>
    <row r="273" spans="1:14" ht="15" x14ac:dyDescent="0.25">
      <c r="A273" s="5">
        <f t="shared" si="110"/>
        <v>4</v>
      </c>
      <c r="B273" s="11">
        <v>90.116666670000001</v>
      </c>
      <c r="C273" s="5">
        <f t="shared" ca="1" si="98"/>
        <v>31</v>
      </c>
      <c r="D273" s="13">
        <f t="shared" ca="1" si="99"/>
        <v>5.5677643628300215</v>
      </c>
      <c r="E273" s="5">
        <f t="shared" ca="1" si="100"/>
        <v>40</v>
      </c>
      <c r="F273" s="9">
        <f t="shared" ca="1" si="101"/>
        <v>1240</v>
      </c>
      <c r="G273" s="9">
        <f t="shared" ca="1" si="102"/>
        <v>222.71057451320087</v>
      </c>
      <c r="H273" s="16">
        <f t="shared" ca="1" si="103"/>
        <v>3.0934216851622351</v>
      </c>
      <c r="I273" s="9">
        <f t="shared" ca="1" si="104"/>
        <v>7.7948701079620292E-2</v>
      </c>
      <c r="J273" s="13">
        <f t="shared" ca="1" si="105"/>
        <v>164.58196181698494</v>
      </c>
      <c r="K273" s="9">
        <f t="shared" ca="1" si="106"/>
        <v>1336572.3521579807</v>
      </c>
      <c r="L273" s="8">
        <f t="shared" ca="1" si="107"/>
        <v>14831.577792955899</v>
      </c>
      <c r="M273" s="9">
        <f t="shared" ca="1" si="108"/>
        <v>45880.324369900423</v>
      </c>
      <c r="N273" s="13">
        <f t="shared" ca="1" si="109"/>
        <v>509.12140967120422</v>
      </c>
    </row>
    <row r="274" spans="1:14" ht="15" x14ac:dyDescent="0.25">
      <c r="A274" s="5">
        <f t="shared" si="110"/>
        <v>5</v>
      </c>
      <c r="B274" s="11">
        <v>116.9666667</v>
      </c>
      <c r="C274" s="5">
        <f t="shared" ca="1" si="98"/>
        <v>24</v>
      </c>
      <c r="D274" s="13">
        <f t="shared" ca="1" si="99"/>
        <v>4.8989794855663558</v>
      </c>
      <c r="E274" s="5">
        <f t="shared" ca="1" si="100"/>
        <v>80</v>
      </c>
      <c r="F274" s="9">
        <f t="shared" ca="1" si="101"/>
        <v>1920</v>
      </c>
      <c r="G274" s="9">
        <f t="shared" ca="1" si="102"/>
        <v>391.91835884530849</v>
      </c>
      <c r="H274" s="16">
        <f t="shared" ca="1" si="103"/>
        <v>3.2833012287035497</v>
      </c>
      <c r="I274" s="9">
        <f t="shared" ca="1" si="104"/>
        <v>8.8589879030658278E-2</v>
      </c>
      <c r="J274" s="13">
        <f t="shared" ca="1" si="105"/>
        <v>127.41829301960115</v>
      </c>
      <c r="K274" s="9">
        <f t="shared" ca="1" si="106"/>
        <v>1743235.2930292282</v>
      </c>
      <c r="L274" s="8">
        <f t="shared" ca="1" si="107"/>
        <v>14903.693011106629</v>
      </c>
      <c r="M274" s="9">
        <f t="shared" ca="1" si="108"/>
        <v>48933.313575586893</v>
      </c>
      <c r="N274" s="13">
        <f t="shared" ca="1" si="109"/>
        <v>418.3526380305654</v>
      </c>
    </row>
    <row r="275" spans="1:14" ht="15" x14ac:dyDescent="0.25">
      <c r="A275" s="5">
        <f t="shared" si="110"/>
        <v>6</v>
      </c>
      <c r="B275" s="11">
        <v>140.25</v>
      </c>
      <c r="C275" s="5">
        <f t="shared" ca="1" si="98"/>
        <v>32</v>
      </c>
      <c r="D275" s="13">
        <f t="shared" ca="1" si="99"/>
        <v>5.6568542494923806</v>
      </c>
      <c r="E275" s="5">
        <f t="shared" ca="1" si="100"/>
        <v>160</v>
      </c>
      <c r="F275" s="9">
        <f t="shared" ca="1" si="101"/>
        <v>5120</v>
      </c>
      <c r="G275" s="9">
        <f t="shared" ca="1" si="102"/>
        <v>905.09667991878086</v>
      </c>
      <c r="H275" s="16">
        <f t="shared" ca="1" si="103"/>
        <v>3.7092699609758308</v>
      </c>
      <c r="I275" s="9">
        <f t="shared" ca="1" si="104"/>
        <v>7.6721085758740398E-2</v>
      </c>
      <c r="J275" s="13">
        <f t="shared" ca="1" si="105"/>
        <v>169.89105735946831</v>
      </c>
      <c r="K275" s="9">
        <f t="shared" ca="1" si="106"/>
        <v>3341767.7164518256</v>
      </c>
      <c r="L275" s="8">
        <f t="shared" ca="1" si="107"/>
        <v>23827.220794665423</v>
      </c>
      <c r="M275" s="9">
        <f t="shared" ca="1" si="108"/>
        <v>88381.594347191145</v>
      </c>
      <c r="N275" s="13">
        <f t="shared" ca="1" si="109"/>
        <v>630.17179570189762</v>
      </c>
    </row>
    <row r="276" spans="1:14" ht="15" x14ac:dyDescent="0.25">
      <c r="A276" s="5">
        <f t="shared" si="110"/>
        <v>7</v>
      </c>
      <c r="B276" s="11">
        <v>167.9</v>
      </c>
      <c r="C276" s="5">
        <f t="shared" ca="1" si="98"/>
        <v>22</v>
      </c>
      <c r="D276" s="13">
        <f t="shared" ca="1" si="99"/>
        <v>4.6904157598234297</v>
      </c>
      <c r="E276" s="5">
        <f t="shared" ca="1" si="100"/>
        <v>800</v>
      </c>
      <c r="F276" s="9">
        <f t="shared" ca="1" si="101"/>
        <v>17600</v>
      </c>
      <c r="G276" s="9">
        <f t="shared" ca="1" si="102"/>
        <v>3752.3326078587438</v>
      </c>
      <c r="H276" s="16">
        <f t="shared" ca="1" si="103"/>
        <v>4.2455126678141495</v>
      </c>
      <c r="I276" s="9">
        <f t="shared" ca="1" si="104"/>
        <v>9.2529110898334932E-2</v>
      </c>
      <c r="J276" s="13">
        <f t="shared" ca="1" si="105"/>
        <v>116.80010193463441</v>
      </c>
      <c r="K276" s="9">
        <f t="shared" ca="1" si="106"/>
        <v>3292642.7615791373</v>
      </c>
      <c r="L276" s="8">
        <f t="shared" ca="1" si="107"/>
        <v>19610.737114825115</v>
      </c>
      <c r="M276" s="9">
        <f t="shared" ca="1" si="108"/>
        <v>83257.632846163149</v>
      </c>
      <c r="N276" s="13">
        <f t="shared" ca="1" si="109"/>
        <v>495.87631236547435</v>
      </c>
    </row>
    <row r="277" spans="1:14" ht="15" x14ac:dyDescent="0.25">
      <c r="A277" s="5">
        <f t="shared" si="110"/>
        <v>8</v>
      </c>
      <c r="B277" s="11">
        <v>187.7666667</v>
      </c>
      <c r="C277" s="5">
        <f t="shared" ca="1" si="98"/>
        <v>47</v>
      </c>
      <c r="D277" s="13">
        <f t="shared" ca="1" si="99"/>
        <v>6.8556546004010439</v>
      </c>
      <c r="E277" s="9">
        <f t="shared" ca="1" si="100"/>
        <v>2500</v>
      </c>
      <c r="F277" s="9">
        <f t="shared" ca="1" si="101"/>
        <v>117500</v>
      </c>
      <c r="G277" s="9">
        <f t="shared" ca="1" si="102"/>
        <v>17139.136501002609</v>
      </c>
      <c r="H277" s="16">
        <f t="shared" ca="1" si="103"/>
        <v>5.0700378666077555</v>
      </c>
      <c r="I277" s="9">
        <f t="shared" ca="1" si="104"/>
        <v>6.3305406310086229E-2</v>
      </c>
      <c r="J277" s="13">
        <f t="shared" ca="1" si="105"/>
        <v>249.52749049671903</v>
      </c>
      <c r="K277" s="9">
        <f t="shared" ca="1" si="106"/>
        <v>8797421.3341255821</v>
      </c>
      <c r="L277" s="8">
        <f t="shared" ca="1" si="107"/>
        <v>46852.945140584867</v>
      </c>
      <c r="M277" s="9">
        <f t="shared" ca="1" si="108"/>
        <v>237546.20602486105</v>
      </c>
      <c r="N277" s="13">
        <f t="shared" ca="1" si="109"/>
        <v>1265.1138255779722</v>
      </c>
    </row>
    <row r="278" spans="1:14" ht="15" x14ac:dyDescent="0.25">
      <c r="A278" s="5">
        <f t="shared" si="110"/>
        <v>9</v>
      </c>
      <c r="B278" s="11">
        <v>212.78333330000001</v>
      </c>
      <c r="C278" s="5">
        <f t="shared" ca="1" si="98"/>
        <v>81</v>
      </c>
      <c r="D278" s="13">
        <f t="shared" ca="1" si="99"/>
        <v>9</v>
      </c>
      <c r="E278" s="9">
        <f t="shared" ca="1" si="100"/>
        <v>5000</v>
      </c>
      <c r="F278" s="9">
        <f t="shared" ca="1" si="101"/>
        <v>405000</v>
      </c>
      <c r="G278" s="9">
        <f t="shared" ca="1" si="102"/>
        <v>45000</v>
      </c>
      <c r="H278" s="16">
        <f t="shared" ca="1" si="103"/>
        <v>5.6074550232146683</v>
      </c>
      <c r="I278" s="9">
        <f t="shared" ca="1" si="104"/>
        <v>4.8222222222222222E-2</v>
      </c>
      <c r="J278" s="13">
        <f t="shared" ca="1" si="105"/>
        <v>430.036738941154</v>
      </c>
      <c r="K278" s="9">
        <f t="shared" ca="1" si="106"/>
        <v>19470664.599752437</v>
      </c>
      <c r="L278" s="8">
        <f t="shared" ca="1" si="107"/>
        <v>91504.650753360664</v>
      </c>
      <c r="M278" s="9">
        <f t="shared" ca="1" si="108"/>
        <v>513108.21351443615</v>
      </c>
      <c r="N278" s="13">
        <f t="shared" ca="1" si="109"/>
        <v>2411.4116719424287</v>
      </c>
    </row>
    <row r="279" spans="1:14" ht="15" x14ac:dyDescent="0.25">
      <c r="A279" s="5">
        <f t="shared" si="110"/>
        <v>10</v>
      </c>
      <c r="B279" s="11">
        <v>237.95</v>
      </c>
      <c r="C279" s="5">
        <f t="shared" ca="1" si="98"/>
        <v>67</v>
      </c>
      <c r="D279" s="13">
        <f t="shared" ca="1" si="99"/>
        <v>8.1853527718724504</v>
      </c>
      <c r="E279" s="9">
        <f t="shared" ca="1" si="100"/>
        <v>53333.333333333328</v>
      </c>
      <c r="F279" s="9">
        <f t="shared" ca="1" si="101"/>
        <v>3573333.333333333</v>
      </c>
      <c r="G279" s="9">
        <f t="shared" ca="1" si="102"/>
        <v>436552.14783319732</v>
      </c>
      <c r="H279" s="16">
        <f t="shared" ca="1" si="103"/>
        <v>6.5530735306370884</v>
      </c>
      <c r="I279" s="9">
        <f t="shared" ca="1" si="104"/>
        <v>5.3021538850636471E-2</v>
      </c>
      <c r="J279" s="13">
        <f t="shared" ca="1" si="105"/>
        <v>355.70940134638664</v>
      </c>
      <c r="K279" s="9">
        <f t="shared" ca="1" si="106"/>
        <v>20140338.335386176</v>
      </c>
      <c r="L279" s="8">
        <f t="shared" ca="1" si="107"/>
        <v>84641.052050372688</v>
      </c>
      <c r="M279" s="9">
        <f t="shared" ca="1" si="108"/>
        <v>554659.03779657336</v>
      </c>
      <c r="N279" s="13">
        <f t="shared" ca="1" si="109"/>
        <v>2330.9898625617711</v>
      </c>
    </row>
    <row r="280" spans="1:14" ht="15" x14ac:dyDescent="0.25">
      <c r="B280" s="28">
        <v>261</v>
      </c>
      <c r="C280">
        <v>60</v>
      </c>
      <c r="D280" s="15">
        <f t="shared" si="99"/>
        <v>7.745966692414834</v>
      </c>
      <c r="E280" s="30">
        <f>16*10000</f>
        <v>160000</v>
      </c>
      <c r="F280" s="9">
        <f t="shared" ref="F280" si="111">C280*E280</f>
        <v>9600000</v>
      </c>
      <c r="G280" s="9">
        <f t="shared" ref="G280" si="112">D280*E280</f>
        <v>1239354.6707863736</v>
      </c>
      <c r="H280" s="16">
        <f t="shared" ref="H280" si="113">LOG10(F280)</f>
        <v>6.982271233039568</v>
      </c>
      <c r="I280" s="9">
        <f t="shared" ref="I280" si="114">0.434 * G280/F280</f>
        <v>5.6029159075133977E-2</v>
      </c>
      <c r="J280" s="13"/>
      <c r="K280" s="9"/>
      <c r="L280" s="8"/>
      <c r="M280" s="9"/>
      <c r="N280" s="13"/>
    </row>
    <row r="283" spans="1:14" ht="12.75" x14ac:dyDescent="0.2">
      <c r="B283" s="2" t="s">
        <v>54</v>
      </c>
      <c r="F283" s="17" t="s">
        <v>63</v>
      </c>
      <c r="G283" s="18"/>
      <c r="H283" s="18"/>
      <c r="I283" s="19"/>
    </row>
    <row r="284" spans="1:14" ht="12.75" x14ac:dyDescent="0.2">
      <c r="B284" s="2" t="s">
        <v>56</v>
      </c>
      <c r="F284" s="19" t="s">
        <v>40</v>
      </c>
      <c r="G284" s="19" t="s">
        <v>41</v>
      </c>
      <c r="H284" s="20">
        <f ca="1">(SUM(J270:J274)) * (SUM(K270:K274)) - (SUM(L270:L274))^2</f>
        <v>285319503.24325895</v>
      </c>
      <c r="I284" s="19"/>
    </row>
    <row r="285" spans="1:14" ht="12.75" x14ac:dyDescent="0.2">
      <c r="B285" s="2" t="s">
        <v>57</v>
      </c>
      <c r="F285" s="19" t="s">
        <v>42</v>
      </c>
      <c r="G285" s="19" t="s">
        <v>43</v>
      </c>
      <c r="H285" s="20">
        <f ca="1">(1/H284)*(SUM(J270:J274)*SUM(M270:M274) - SUM(L270:L274)* SUM(N270:N274))</f>
        <v>8.1665205114961423E-3</v>
      </c>
      <c r="I285" s="19"/>
    </row>
    <row r="286" spans="1:14" ht="12.75" x14ac:dyDescent="0.2">
      <c r="B286" s="2" t="s">
        <v>58</v>
      </c>
      <c r="F286" s="19"/>
      <c r="G286" s="19" t="s">
        <v>44</v>
      </c>
      <c r="H286" s="20">
        <f ca="1">SQRT((1/H284)*(SUM(J270:J274)))</f>
        <v>1.3977811853487284E-3</v>
      </c>
      <c r="I286" s="19"/>
    </row>
    <row r="287" spans="1:14" ht="12.75" x14ac:dyDescent="0.2">
      <c r="F287" s="19"/>
      <c r="G287" s="19"/>
      <c r="H287" s="19"/>
      <c r="I287" s="19"/>
    </row>
    <row r="288" spans="1:14" ht="12.75" x14ac:dyDescent="0.2">
      <c r="F288" s="19" t="s">
        <v>45</v>
      </c>
      <c r="G288" s="19" t="s">
        <v>41</v>
      </c>
      <c r="H288" s="20">
        <f ca="1">(SUM(J275:J279)) * (SUM(K275:K279)) - (SUM(L275:L279))^2</f>
        <v>1776224543.1281891</v>
      </c>
      <c r="I288" s="19"/>
    </row>
    <row r="289" spans="1:9" ht="12.75" x14ac:dyDescent="0.2">
      <c r="F289" s="19" t="s">
        <v>42</v>
      </c>
      <c r="G289" s="19" t="s">
        <v>43</v>
      </c>
      <c r="H289" s="20">
        <f ca="1">(1/H288)*(SUM(J275:J279)*SUM(M275:M279) - SUM(L275:L279)* SUM(N275:N279))</f>
        <v>2.9183814435740658E-2</v>
      </c>
      <c r="I289" s="19"/>
    </row>
    <row r="290" spans="1:9" ht="12.75" x14ac:dyDescent="0.2">
      <c r="F290" s="19"/>
      <c r="G290" s="19" t="s">
        <v>44</v>
      </c>
      <c r="H290" s="20">
        <f ca="1">SQRT((1/H288)*(SUM(J275:J279)))</f>
        <v>8.627024088884638E-4</v>
      </c>
      <c r="I290" s="19"/>
    </row>
    <row r="293" spans="1:9" ht="12.75" x14ac:dyDescent="0.2">
      <c r="A293" s="2" t="s">
        <v>68</v>
      </c>
      <c r="C293" s="2" t="s">
        <v>69</v>
      </c>
    </row>
    <row r="295" spans="1:9" ht="12.75" x14ac:dyDescent="0.2">
      <c r="A295" s="2" t="s">
        <v>2</v>
      </c>
      <c r="B295" s="2" t="s">
        <v>70</v>
      </c>
      <c r="C295" s="2" t="s">
        <v>71</v>
      </c>
      <c r="D295" s="2" t="s">
        <v>72</v>
      </c>
      <c r="E295" s="2" t="s">
        <v>71</v>
      </c>
      <c r="F295" s="2" t="s">
        <v>73</v>
      </c>
      <c r="G295" s="2" t="s">
        <v>71</v>
      </c>
      <c r="H295" s="22" t="s">
        <v>74</v>
      </c>
      <c r="I295" s="2" t="s">
        <v>75</v>
      </c>
    </row>
    <row r="296" spans="1:9" ht="12.75" x14ac:dyDescent="0.2">
      <c r="A296" s="2" t="s">
        <v>7</v>
      </c>
      <c r="B296" s="23">
        <f ca="1">OFFSET(H157,0,0)</f>
        <v>9.7887364548247466E-3</v>
      </c>
      <c r="C296" s="24">
        <f ca="1">OFFSET(H157,1,0)</f>
        <v>8.0830429451711971E-4</v>
      </c>
      <c r="D296" s="24">
        <f ca="1">OFFSET(H157,4,0)</f>
        <v>2.6702555488379583E-2</v>
      </c>
      <c r="E296" s="24">
        <f ca="1">OFFSET(H157,5,0)</f>
        <v>7.3655038539844253E-4</v>
      </c>
      <c r="F296" s="15">
        <f t="shared" ref="F296:F301" ca="1" si="115">D296/B296</f>
        <v>2.7278858320083001</v>
      </c>
      <c r="G296" s="13">
        <f t="shared" ref="G296:G301" ca="1" si="116">F296* SQRT(((E296/D296)^2 + (C296/B296)^2))</f>
        <v>0.23749016335128581</v>
      </c>
      <c r="H296" s="9">
        <f t="shared" ref="H296:H301" ca="1" si="117">D296-B296</f>
        <v>1.6913819033554836E-2</v>
      </c>
      <c r="I296" s="25">
        <f t="shared" ref="I296:I301" ca="1" si="118">SQRT(C296^2 +E296^2)</f>
        <v>1.0935548924335772E-3</v>
      </c>
    </row>
    <row r="297" spans="1:9" ht="12.75" x14ac:dyDescent="0.2">
      <c r="A297" s="2" t="s">
        <v>76</v>
      </c>
      <c r="B297" s="26">
        <f ca="1">OFFSET(H184,0,0)</f>
        <v>8.5130563129047748E-3</v>
      </c>
      <c r="C297" s="26">
        <f ca="1">OFFSET(H184,1,0)</f>
        <v>1.2392001052806353E-3</v>
      </c>
      <c r="D297" s="24">
        <f ca="1">OFFSET(H184,4,0)</f>
        <v>1.081712536063114E-2</v>
      </c>
      <c r="E297" s="24">
        <f ca="1">OFFSET(H184,5,0)</f>
        <v>9.5473138644606634E-4</v>
      </c>
      <c r="F297" s="15">
        <f t="shared" ca="1" si="115"/>
        <v>1.2706512165594008</v>
      </c>
      <c r="G297" s="13">
        <f t="shared" ca="1" si="116"/>
        <v>0.21630608305992463</v>
      </c>
      <c r="H297" s="9">
        <f t="shared" ca="1" si="117"/>
        <v>2.3040690477263651E-3</v>
      </c>
      <c r="I297" s="25">
        <f t="shared" ca="1" si="118"/>
        <v>1.564330182919439E-3</v>
      </c>
    </row>
    <row r="298" spans="1:9" ht="12.75" x14ac:dyDescent="0.2">
      <c r="A298" s="2" t="s">
        <v>77</v>
      </c>
      <c r="B298" s="26">
        <f ca="1">OFFSET(H209,0,0)</f>
        <v>1.0465462946989702E-2</v>
      </c>
      <c r="C298" s="26">
        <f ca="1">OFFSET(H209,1,0)</f>
        <v>1.2614090571248812E-3</v>
      </c>
      <c r="D298" s="24">
        <f ca="1">OFFSET(H209,4,0)</f>
        <v>3.1380894252436099E-2</v>
      </c>
      <c r="E298" s="24">
        <f ca="1">OFFSET(H209,5,0)</f>
        <v>7.1990739929848034E-4</v>
      </c>
      <c r="F298" s="15">
        <f t="shared" ca="1" si="115"/>
        <v>2.998519455029224</v>
      </c>
      <c r="G298" s="13">
        <f t="shared" ca="1" si="116"/>
        <v>0.36790165451958734</v>
      </c>
      <c r="H298" s="9">
        <f t="shared" ca="1" si="117"/>
        <v>2.0915431305446396E-2</v>
      </c>
      <c r="I298" s="25">
        <f t="shared" ca="1" si="118"/>
        <v>1.4523840652394199E-3</v>
      </c>
    </row>
    <row r="299" spans="1:9" ht="12.75" x14ac:dyDescent="0.2">
      <c r="A299" s="2" t="s">
        <v>78</v>
      </c>
      <c r="B299" s="26">
        <f ca="1">OFFSET(H234,0,0)</f>
        <v>9.7717996642181799E-3</v>
      </c>
      <c r="C299" s="26">
        <f ca="1">OFFSET(H234,1,0)</f>
        <v>1.237487509175166E-3</v>
      </c>
      <c r="D299" s="24">
        <f ca="1">OFFSET(H234,4,0)</f>
        <v>3.1228412580009884E-2</v>
      </c>
      <c r="E299" s="24">
        <f ca="1">OFFSET(H234,5,0)</f>
        <v>8.6292911415304738E-4</v>
      </c>
      <c r="F299" s="15">
        <f t="shared" ca="1" si="115"/>
        <v>3.1957688095428631</v>
      </c>
      <c r="G299" s="13">
        <f t="shared" ca="1" si="116"/>
        <v>0.41423032395752679</v>
      </c>
      <c r="H299" s="9">
        <f t="shared" ca="1" si="117"/>
        <v>2.1456612915791706E-2</v>
      </c>
      <c r="I299" s="25">
        <f t="shared" ca="1" si="118"/>
        <v>1.5086490617163156E-3</v>
      </c>
    </row>
    <row r="300" spans="1:9" ht="12.75" x14ac:dyDescent="0.2">
      <c r="A300" s="2" t="s">
        <v>79</v>
      </c>
      <c r="B300" s="26">
        <f ca="1">OFFSET(H260,0,0)</f>
        <v>1.0870784075085935E-2</v>
      </c>
      <c r="C300" s="26">
        <f ca="1">OFFSET(H260,1,0)</f>
        <v>1.006087501584611E-3</v>
      </c>
      <c r="D300" s="24">
        <f ca="1">OFFSET(H260,4,0)</f>
        <v>3.3675467219591609E-2</v>
      </c>
      <c r="E300" s="24">
        <f ca="1">OFFSET(H260,5,0)</f>
        <v>1.1941164711661671E-3</v>
      </c>
      <c r="F300" s="15">
        <f t="shared" ca="1" si="115"/>
        <v>3.0977956131766327</v>
      </c>
      <c r="G300" s="13">
        <f t="shared" ca="1" si="116"/>
        <v>0.30702296798998946</v>
      </c>
      <c r="H300" s="9">
        <f t="shared" ca="1" si="117"/>
        <v>2.2804683144505674E-2</v>
      </c>
      <c r="I300" s="25">
        <f t="shared" ca="1" si="118"/>
        <v>1.5614500336402393E-3</v>
      </c>
    </row>
    <row r="301" spans="1:9" ht="12.75" x14ac:dyDescent="0.2">
      <c r="A301" s="2" t="s">
        <v>80</v>
      </c>
      <c r="B301" s="26">
        <f ca="1">OFFSET(H285,0,0)</f>
        <v>8.1665205114961423E-3</v>
      </c>
      <c r="C301" s="26">
        <f ca="1">OFFSET(H285,1,0)</f>
        <v>1.3977811853487284E-3</v>
      </c>
      <c r="D301" s="24">
        <f ca="1">OFFSET(H285,4,0)</f>
        <v>2.9183814435740658E-2</v>
      </c>
      <c r="E301" s="24">
        <f ca="1">OFFSET(H285,5,0)</f>
        <v>8.627024088884638E-4</v>
      </c>
      <c r="F301" s="15">
        <f t="shared" ca="1" si="115"/>
        <v>3.5735922532317321</v>
      </c>
      <c r="G301" s="13">
        <f t="shared" ca="1" si="116"/>
        <v>0.62071125003022176</v>
      </c>
      <c r="H301" s="9">
        <f t="shared" ca="1" si="117"/>
        <v>2.1017293924244514E-2</v>
      </c>
      <c r="I301" s="25">
        <f t="shared" ca="1" si="118"/>
        <v>1.64257349559064E-3</v>
      </c>
    </row>
    <row r="303" spans="1:9" ht="12.75" x14ac:dyDescent="0.2">
      <c r="A303" s="2" t="s">
        <v>81</v>
      </c>
    </row>
    <row r="304" spans="1:9" ht="12.75" x14ac:dyDescent="0.2">
      <c r="A304" s="2" t="s">
        <v>82</v>
      </c>
    </row>
    <row r="307" spans="1:3" ht="12.75" x14ac:dyDescent="0.2">
      <c r="A307" s="2"/>
    </row>
    <row r="308" spans="1:3" ht="15.75" customHeight="1" x14ac:dyDescent="0.2">
      <c r="C308" t="s">
        <v>83</v>
      </c>
    </row>
    <row r="337" spans="1:1" ht="15.75" customHeight="1" x14ac:dyDescent="0.2">
      <c r="A337" t="s">
        <v>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2021-08-20T22:27:22Z</dcterms:created>
  <dcterms:modified xsi:type="dcterms:W3CDTF">2022-01-16T23:33:09Z</dcterms:modified>
</cp:coreProperties>
</file>