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uss" sheetId="1" r:id="rId3"/>
    <sheet state="visible" name="Calculations" sheetId="2" r:id="rId4"/>
    <sheet state="visible" name="Members" sheetId="3" r:id="rId5"/>
  </sheets>
  <definedNames>
    <definedName name="Fore_total">Truss!$B$68</definedName>
    <definedName name="Ffunnell_applied">Truss!$B$75</definedName>
    <definedName name="Fr_IH">Calculations!$B$35</definedName>
    <definedName name="Fr_GH">Calculations!$B$10</definedName>
    <definedName name="Fr_LK">Calculations!$B$79</definedName>
    <definedName name="Ftruss_applied">Truss!$B$6</definedName>
    <definedName name="Fr_AK">Calculations!$B$73</definedName>
    <definedName name="Fbelt_joint">Truss!$B$83</definedName>
    <definedName name="Fweight_x">Truss!$B$37</definedName>
    <definedName name="Fr_BJ">Calculations!$B$56</definedName>
    <definedName name="Fr_KJ">Calculations!$B$64</definedName>
    <definedName name="Fr_EF">Calculations!$B$15</definedName>
    <definedName name="Fr_GF">Calculations!$B$8</definedName>
    <definedName name="Fr_KB">Calculations!$B$63</definedName>
    <definedName name="Fr_JK">Calculations!$B$52</definedName>
    <definedName name="Fr_BK">Calculations!$B$58</definedName>
    <definedName name="Firon_total">Truss!$B$68</definedName>
    <definedName name="Fweight_y">Truss!$B$26</definedName>
    <definedName name="Section_Z">Truss!$B$56</definedName>
    <definedName name="Fr_IJ">Calculations!$B$38</definedName>
    <definedName name="Fbelt_applied">Truss!$B$82</definedName>
    <definedName name="Fore_applied">Truss!$B$69</definedName>
    <definedName name="Fr_CI">Calculations!$B$42</definedName>
    <definedName name="Fr_CB">Calculations!$B$45</definedName>
    <definedName name="Fbelt_total">Truss!$B$81</definedName>
    <definedName name="Fr_HD">Calculations!$B$23</definedName>
    <definedName name="Fweight_joint">#REF!</definedName>
    <definedName name="Fr_IC">Calculations!$B$37</definedName>
    <definedName name="Fweight_z">Truss!$B$59</definedName>
    <definedName name="Fr_Lx">Calculations!$B$78</definedName>
    <definedName name="Section_Y">Truss!$B$21</definedName>
    <definedName name="Fr_FE">Calculations!$B$4</definedName>
    <definedName name="Fr_EH">Calculations!$B$17</definedName>
    <definedName name="Fr_HG">Calculations!$B$21</definedName>
    <definedName name="Fr_LA">Calculations!$B$80</definedName>
    <definedName name="Ffunnell_total">Truss!$B$74</definedName>
    <definedName name="Fore_joint">#REF!</definedName>
    <definedName name="Fr_AL">Calculations!$B$74</definedName>
    <definedName name="Fr_CD">Calculations!$B$43</definedName>
    <definedName name="Fr_FG">Calculations!$B$3</definedName>
    <definedName name="Fr_AB">Calculations!$B$72</definedName>
    <definedName name="Fr_JC">Calculations!$B$49</definedName>
    <definedName name="Fr_HI">Calculations!$B$24</definedName>
    <definedName name="Fr_ID">Calculations!$B$36</definedName>
    <definedName name="Fr_CJ">Calculations!$B$44</definedName>
    <definedName name="Fr_LJ">Calculations!$B$79</definedName>
    <definedName name="Firon_applied">Truss!$B$69</definedName>
    <definedName name="Fr_JB">Calculations!$B$51</definedName>
    <definedName name="Fr_DH">Calculations!$B$28</definedName>
    <definedName name="Fr_KL">Calculations!$B$66</definedName>
    <definedName name="Fweight_ore_m">Truss!$B$70</definedName>
    <definedName name="Fr_ED">Calculations!$B$16</definedName>
    <definedName name="Fr_DC">Calculations!$B$31</definedName>
    <definedName name="Fr_DE">Calculations!$B$29</definedName>
    <definedName name="Fr_GE">Calculations!$B$9</definedName>
    <definedName name="Section_X">Truss!$B$31</definedName>
    <definedName name="Fr_Ax">Calculations!$B$70</definedName>
    <definedName name="Fr_BC">Calculations!$B$57</definedName>
    <definedName name="Fr_HE">Calculations!$B$22</definedName>
    <definedName name="Fr_JI">Calculations!$B$50</definedName>
    <definedName name="Fr_EG">Calculations!$B$14</definedName>
    <definedName name="Section_XY">Truss!$B$45</definedName>
    <definedName name="Ftruss_total">Truss!$B$5</definedName>
    <definedName name="Fr_Ay">Calculations!$B$71</definedName>
    <definedName name="Fr_BA">Calculations!$B$59</definedName>
    <definedName name="Fr_KA">Calculations!$B$65</definedName>
    <definedName name="Fweight_belt_m">Truss!$B$83</definedName>
    <definedName name="Fr_DI">Calculations!$B$30</definedName>
    <definedName name="Ffunnell_joint">Truss!$B$76</definedName>
    <definedName name="Fweight_xy">Truss!$B$48</definedName>
  </definedNames>
  <calcPr/>
</workbook>
</file>

<file path=xl/sharedStrings.xml><?xml version="1.0" encoding="utf-8"?>
<sst xmlns="http://schemas.openxmlformats.org/spreadsheetml/2006/main" count="376" uniqueCount="146">
  <si>
    <t>Joint F</t>
  </si>
  <si>
    <t>Force (N)</t>
  </si>
  <si>
    <t>Length</t>
  </si>
  <si>
    <t>Members</t>
  </si>
  <si>
    <t>State</t>
  </si>
  <si>
    <t>Direction</t>
  </si>
  <si>
    <t>m</t>
  </si>
  <si>
    <t>X</t>
  </si>
  <si>
    <t xml:space="preserve">Width </t>
  </si>
  <si>
    <t xml:space="preserve">Stress (MPa) </t>
  </si>
  <si>
    <t>LK</t>
  </si>
  <si>
    <t>Height</t>
  </si>
  <si>
    <t>Number of Joints</t>
  </si>
  <si>
    <t>Y</t>
  </si>
  <si>
    <t>W_J</t>
  </si>
  <si>
    <t>Tension</t>
  </si>
  <si>
    <t>Total Weight</t>
  </si>
  <si>
    <t>Weight</t>
  </si>
  <si>
    <t>Down</t>
  </si>
  <si>
    <t>N</t>
  </si>
  <si>
    <t>Half Weight</t>
  </si>
  <si>
    <t>KJ</t>
  </si>
  <si>
    <t>Compression</t>
  </si>
  <si>
    <t>Fr_FG</t>
  </si>
  <si>
    <t>Yield Strength</t>
  </si>
  <si>
    <t>MPa</t>
  </si>
  <si>
    <t>Ultimate Tensile Strength</t>
  </si>
  <si>
    <t xml:space="preserve">Density </t>
  </si>
  <si>
    <t>kg/m^3</t>
  </si>
  <si>
    <t>Mean Radius</t>
  </si>
  <si>
    <t>Thickness</t>
  </si>
  <si>
    <t>Cross Sectional Area</t>
  </si>
  <si>
    <t>m^2</t>
  </si>
  <si>
    <t>Cross Sectional Cutout Area</t>
  </si>
  <si>
    <t>Cross Section</t>
  </si>
  <si>
    <t>mm^2</t>
  </si>
  <si>
    <t>Member #1 (y-plane)</t>
  </si>
  <si>
    <t>Δx</t>
  </si>
  <si>
    <t>Δy</t>
  </si>
  <si>
    <t>Δz</t>
  </si>
  <si>
    <t>Total</t>
  </si>
  <si>
    <t>Mass</t>
  </si>
  <si>
    <t>kg</t>
  </si>
  <si>
    <t>Each Weigh</t>
  </si>
  <si>
    <t>Weight at Joint</t>
  </si>
  <si>
    <t>Number of</t>
  </si>
  <si>
    <t>Member #2 (x-plane)</t>
  </si>
  <si>
    <t>Weight at Each Joint</t>
  </si>
  <si>
    <t xml:space="preserve">Number of </t>
  </si>
  <si>
    <t>Member #3 (x and y plane)</t>
  </si>
  <si>
    <t>Fr_FE</t>
  </si>
  <si>
    <t>Member #4 (z plane)</t>
  </si>
  <si>
    <t>ZFM</t>
  </si>
  <si>
    <t>Null</t>
  </si>
  <si>
    <t>Joint G</t>
  </si>
  <si>
    <t>JI</t>
  </si>
  <si>
    <t>IH</t>
  </si>
  <si>
    <t>Fr_GF</t>
  </si>
  <si>
    <t>Iron Ore</t>
  </si>
  <si>
    <t>Density</t>
  </si>
  <si>
    <t>Width</t>
  </si>
  <si>
    <t>Fr_GE</t>
  </si>
  <si>
    <t>GH</t>
  </si>
  <si>
    <t>Up, Right</t>
  </si>
  <si>
    <t>1m Half Ore Weight</t>
  </si>
  <si>
    <t>AB</t>
  </si>
  <si>
    <t>Funnell</t>
  </si>
  <si>
    <t>Fr_GH</t>
  </si>
  <si>
    <t>BC</t>
  </si>
  <si>
    <t>Left</t>
  </si>
  <si>
    <t>Weight at Joints [G, S]</t>
  </si>
  <si>
    <t>Conveyer Belt</t>
  </si>
  <si>
    <t>kg/m^2</t>
  </si>
  <si>
    <t>Total Mass</t>
  </si>
  <si>
    <t>CD</t>
  </si>
  <si>
    <t>Joint E</t>
  </si>
  <si>
    <t>DE</t>
  </si>
  <si>
    <t>1m Half Belt Weight</t>
  </si>
  <si>
    <t>Fr_EG</t>
  </si>
  <si>
    <t>EF</t>
  </si>
  <si>
    <t>Down, Left</t>
  </si>
  <si>
    <t>LA</t>
  </si>
  <si>
    <t>Fr_EF</t>
  </si>
  <si>
    <t>KB</t>
  </si>
  <si>
    <t>Fr_ED</t>
  </si>
  <si>
    <t>JC</t>
  </si>
  <si>
    <t>Right</t>
  </si>
  <si>
    <t>ID</t>
  </si>
  <si>
    <t>Fr_EH</t>
  </si>
  <si>
    <t>Up</t>
  </si>
  <si>
    <t>HE</t>
  </si>
  <si>
    <t>Joint H</t>
  </si>
  <si>
    <t>FG</t>
  </si>
  <si>
    <t>AK</t>
  </si>
  <si>
    <t>Fr_HG</t>
  </si>
  <si>
    <t>BJ</t>
  </si>
  <si>
    <t>Fr_HE</t>
  </si>
  <si>
    <t>CI</t>
  </si>
  <si>
    <t>DH</t>
  </si>
  <si>
    <t>EG</t>
  </si>
  <si>
    <t>FE</t>
  </si>
  <si>
    <t>Fr_HD</t>
  </si>
  <si>
    <t>Fr_HI</t>
  </si>
  <si>
    <t>Joint D</t>
  </si>
  <si>
    <t>Fr_DH</t>
  </si>
  <si>
    <t>Fr_DE</t>
  </si>
  <si>
    <t>Fr_DI</t>
  </si>
  <si>
    <t>Fr_DC</t>
  </si>
  <si>
    <t>Joint I</t>
  </si>
  <si>
    <t>Fr_IH</t>
  </si>
  <si>
    <t>Fr_ID</t>
  </si>
  <si>
    <t>Fr_IC</t>
  </si>
  <si>
    <t>Fr_IJ</t>
  </si>
  <si>
    <t>Joint C</t>
  </si>
  <si>
    <t>Weigh</t>
  </si>
  <si>
    <t>F_CI</t>
  </si>
  <si>
    <t>F_CD</t>
  </si>
  <si>
    <t>F_CJ</t>
  </si>
  <si>
    <t>F_CB</t>
  </si>
  <si>
    <t>Joint J</t>
  </si>
  <si>
    <t>F_JC</t>
  </si>
  <si>
    <t>F_JI</t>
  </si>
  <si>
    <t>F_JB</t>
  </si>
  <si>
    <t>F_JK</t>
  </si>
  <si>
    <t>Joint B</t>
  </si>
  <si>
    <t>F_BJ</t>
  </si>
  <si>
    <t>F_BC</t>
  </si>
  <si>
    <t>F_BK</t>
  </si>
  <si>
    <t>F_BA</t>
  </si>
  <si>
    <t>Joint K</t>
  </si>
  <si>
    <t>F_KB</t>
  </si>
  <si>
    <t>F_KJ</t>
  </si>
  <si>
    <t>F_KA</t>
  </si>
  <si>
    <t>Right, Up</t>
  </si>
  <si>
    <t>F_KL</t>
  </si>
  <si>
    <t>Joint A</t>
  </si>
  <si>
    <t>F_Ax</t>
  </si>
  <si>
    <t>Reaction</t>
  </si>
  <si>
    <t>F_Ay</t>
  </si>
  <si>
    <t>F_AB</t>
  </si>
  <si>
    <t>F_AK</t>
  </si>
  <si>
    <t>F_AL</t>
  </si>
  <si>
    <t>Joint L</t>
  </si>
  <si>
    <t>F_Lx</t>
  </si>
  <si>
    <t>F_LK</t>
  </si>
  <si>
    <t>F_LA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</si>
</sst>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2">
    <font>
      <sz val="10.0"/>
      <color rgb="FF000000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3" xfId="0" applyFont="1" applyNumberFormat="1"/>
    <xf borderId="0" fillId="2" fontId="1" numFmtId="3" xfId="0" applyFont="1" applyNumberFormat="1"/>
    <xf borderId="0" fillId="2" fontId="1" numFmtId="3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3" xfId="0" applyFont="1" applyNumberFormat="1"/>
    <xf borderId="0" fillId="0" fontId="1" numFmtId="1" xfId="0" applyFont="1" applyNumberFormat="1"/>
    <xf borderId="0" fillId="0" fontId="1" numFmtId="164" xfId="0" applyFont="1" applyNumberFormat="1"/>
    <xf borderId="0" fillId="0" fontId="1" numFmtId="2" xfId="0" applyFont="1" applyNumberFormat="1"/>
    <xf borderId="0" fillId="0" fontId="1" numFmtId="3" xfId="0" applyFont="1" applyNumberFormat="1"/>
    <xf borderId="0" fillId="3" fontId="1" numFmtId="3" xfId="0" applyAlignment="1" applyFont="1" applyNumberFormat="1">
      <alignment readingOrder="0"/>
    </xf>
    <xf borderId="0" fillId="4" fontId="1" numFmtId="3" xfId="0" applyFill="1" applyFont="1" applyNumberFormat="1"/>
    <xf borderId="0" fillId="5" fontId="1" numFmtId="0" xfId="0" applyAlignment="1" applyFill="1" applyFont="1">
      <alignment readingOrder="0"/>
    </xf>
    <xf borderId="0" fillId="5" fontId="1" numFmtId="3" xfId="0" applyFont="1" applyNumberFormat="1"/>
    <xf borderId="0" fillId="5" fontId="1" numFmtId="3" xfId="0" applyAlignment="1" applyFont="1" applyNumberFormat="1">
      <alignment readingOrder="0"/>
    </xf>
    <xf borderId="0" fillId="6" fontId="1" numFmtId="0" xfId="0" applyAlignment="1" applyFill="1" applyFont="1">
      <alignment readingOrder="0"/>
    </xf>
    <xf borderId="0" fillId="6" fontId="1" numFmtId="3" xfId="0" applyFont="1" applyNumberFormat="1"/>
    <xf borderId="0" fillId="6" fontId="1" numFmtId="3" xfId="0" applyAlignment="1" applyFont="1" applyNumberForma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Members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2:D2" displayName="Table_1" id="1">
  <tableColumns count="4">
    <tableColumn name="LK" id="1"/>
    <tableColumn name="Tension" id="2"/>
    <tableColumn name="Column3" id="3"/>
    <tableColumn name="Column4" id="4"/>
  </tableColumns>
  <tableStyleInfo name="Membe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57"/>
    <col customWidth="1" min="2" max="2" width="12.0"/>
    <col customWidth="1" min="3" max="3" width="7.14"/>
    <col customWidth="1" min="4" max="4" width="8.43"/>
    <col customWidth="1" min="5" max="5" width="4.57"/>
  </cols>
  <sheetData>
    <row r="1">
      <c r="A1" s="1" t="s">
        <v>2</v>
      </c>
      <c r="B1" s="1">
        <v>15.0</v>
      </c>
      <c r="C1" s="1" t="s">
        <v>6</v>
      </c>
    </row>
    <row r="2">
      <c r="A2" s="1" t="s">
        <v>8</v>
      </c>
      <c r="B2" s="1">
        <v>3.5</v>
      </c>
      <c r="C2" s="1" t="s">
        <v>6</v>
      </c>
    </row>
    <row r="3">
      <c r="A3" s="1" t="s">
        <v>11</v>
      </c>
      <c r="B3" s="1">
        <v>1.0</v>
      </c>
      <c r="C3" s="1" t="s">
        <v>6</v>
      </c>
    </row>
    <row r="4">
      <c r="A4" s="1" t="s">
        <v>12</v>
      </c>
      <c r="B4">
        <f>6*2*2</f>
        <v>24</v>
      </c>
    </row>
    <row r="5">
      <c r="A5" s="1" t="s">
        <v>16</v>
      </c>
      <c r="B5">
        <f>(B28+B39+B50+B61)</f>
        <v>-40249.66218</v>
      </c>
      <c r="C5" s="1" t="s">
        <v>19</v>
      </c>
    </row>
    <row r="6">
      <c r="A6" s="1" t="s">
        <v>20</v>
      </c>
      <c r="B6">
        <f>B5/2</f>
        <v>-20124.83109</v>
      </c>
      <c r="C6" s="1" t="s">
        <v>19</v>
      </c>
    </row>
    <row r="7">
      <c r="A7" s="1"/>
    </row>
    <row r="8">
      <c r="A8" s="1" t="s">
        <v>3</v>
      </c>
      <c r="B8" s="11">
        <f>B27+B38+B49+B60</f>
        <v>54</v>
      </c>
      <c r="C8" s="1"/>
    </row>
    <row r="9">
      <c r="A9" s="1" t="s">
        <v>24</v>
      </c>
      <c r="B9" s="1">
        <v>250.0</v>
      </c>
      <c r="C9" s="1" t="s">
        <v>25</v>
      </c>
    </row>
    <row r="10">
      <c r="A10" s="1" t="s">
        <v>26</v>
      </c>
      <c r="B10" s="1">
        <v>320.0</v>
      </c>
      <c r="C10" s="1" t="s">
        <v>25</v>
      </c>
    </row>
    <row r="11">
      <c r="A11" s="1" t="s">
        <v>27</v>
      </c>
      <c r="B11" s="1">
        <v>8050.0</v>
      </c>
      <c r="C11" s="1" t="s">
        <v>28</v>
      </c>
    </row>
    <row r="12">
      <c r="A12" s="1" t="s">
        <v>29</v>
      </c>
      <c r="B12" s="1">
        <v>0.07</v>
      </c>
      <c r="C12" s="1" t="s">
        <v>6</v>
      </c>
    </row>
    <row r="13">
      <c r="A13" s="1" t="s">
        <v>30</v>
      </c>
      <c r="B13" s="1">
        <v>0.0035</v>
      </c>
      <c r="C13" s="1" t="s">
        <v>6</v>
      </c>
    </row>
    <row r="14">
      <c r="A14" s="1" t="s">
        <v>31</v>
      </c>
      <c r="B14" s="12">
        <f>PI()*((B12+(B13/2))^2)</f>
        <v>0.01617311533</v>
      </c>
      <c r="C14" s="1" t="s">
        <v>32</v>
      </c>
    </row>
    <row r="15">
      <c r="A15" s="1" t="s">
        <v>33</v>
      </c>
      <c r="B15" s="12">
        <f>PI()*((B12-(B13/2))^2)</f>
        <v>0.01463373493</v>
      </c>
      <c r="C15" s="1" t="s">
        <v>32</v>
      </c>
    </row>
    <row r="16">
      <c r="A16" s="1" t="s">
        <v>34</v>
      </c>
      <c r="B16" s="12">
        <f>0.0035</f>
        <v>0.0035</v>
      </c>
      <c r="C16" s="1" t="s">
        <v>32</v>
      </c>
      <c r="D16" s="12">
        <f>$B$14-$B$15</f>
        <v>0.0015393804</v>
      </c>
      <c r="E16" s="1" t="s">
        <v>32</v>
      </c>
      <c r="F16" s="1"/>
    </row>
    <row r="17">
      <c r="A17" s="1" t="s">
        <v>34</v>
      </c>
      <c r="B17" s="12">
        <f>B16*1000000</f>
        <v>3500</v>
      </c>
      <c r="C17" s="1" t="s">
        <v>35</v>
      </c>
    </row>
    <row r="18">
      <c r="A18" s="1"/>
    </row>
    <row r="19">
      <c r="A19" s="1" t="s">
        <v>36</v>
      </c>
    </row>
    <row r="20">
      <c r="A20" s="1" t="s">
        <v>37</v>
      </c>
      <c r="B20" s="1">
        <v>0.0</v>
      </c>
      <c r="C20" s="1" t="s">
        <v>6</v>
      </c>
    </row>
    <row r="21">
      <c r="A21" s="1" t="s">
        <v>38</v>
      </c>
      <c r="B21" s="1">
        <f>B3</f>
        <v>1</v>
      </c>
      <c r="C21" s="1" t="s">
        <v>6</v>
      </c>
    </row>
    <row r="22">
      <c r="A22" s="1" t="s">
        <v>39</v>
      </c>
      <c r="B22" s="1">
        <v>0.0</v>
      </c>
      <c r="C22" s="1" t="s">
        <v>6</v>
      </c>
    </row>
    <row r="23">
      <c r="A23" s="1" t="s">
        <v>40</v>
      </c>
      <c r="B23">
        <f>sqrt(B20^2+B21^2+B22^2)</f>
        <v>1</v>
      </c>
      <c r="C23" s="1" t="s">
        <v>6</v>
      </c>
    </row>
    <row r="24">
      <c r="A24" s="1" t="s">
        <v>41</v>
      </c>
      <c r="B24" s="13">
        <f>B16*B23*B11</f>
        <v>28.175</v>
      </c>
      <c r="C24" s="1" t="s">
        <v>42</v>
      </c>
    </row>
    <row r="25">
      <c r="A25" s="1" t="s">
        <v>43</v>
      </c>
      <c r="B25" s="13">
        <f>B24*-9.81</f>
        <v>-276.39675</v>
      </c>
      <c r="C25" s="1" t="s">
        <v>19</v>
      </c>
    </row>
    <row r="26">
      <c r="A26" s="1" t="s">
        <v>44</v>
      </c>
      <c r="B26" s="13">
        <f>B25/2</f>
        <v>-138.198375</v>
      </c>
      <c r="C26" s="1" t="s">
        <v>19</v>
      </c>
    </row>
    <row r="27">
      <c r="A27" s="1" t="s">
        <v>45</v>
      </c>
      <c r="B27">
        <f>6*2</f>
        <v>12</v>
      </c>
    </row>
    <row r="28">
      <c r="A28" s="1" t="s">
        <v>16</v>
      </c>
      <c r="B28">
        <f>B27*B25</f>
        <v>-3316.761</v>
      </c>
      <c r="C28" s="1" t="s">
        <v>19</v>
      </c>
    </row>
    <row r="30">
      <c r="A30" s="1" t="s">
        <v>46</v>
      </c>
    </row>
    <row r="31">
      <c r="A31" s="1" t="s">
        <v>37</v>
      </c>
      <c r="B31" s="1">
        <f>15/5</f>
        <v>3</v>
      </c>
      <c r="C31" s="1" t="s">
        <v>6</v>
      </c>
    </row>
    <row r="32">
      <c r="A32" s="1" t="s">
        <v>38</v>
      </c>
      <c r="B32" s="1">
        <f t="shared" ref="B32:B33" si="1">0</f>
        <v>0</v>
      </c>
      <c r="C32" s="1" t="s">
        <v>6</v>
      </c>
    </row>
    <row r="33">
      <c r="A33" s="1" t="s">
        <v>39</v>
      </c>
      <c r="B33" s="1">
        <f t="shared" si="1"/>
        <v>0</v>
      </c>
      <c r="C33" s="1" t="s">
        <v>6</v>
      </c>
    </row>
    <row r="34">
      <c r="A34" s="1" t="s">
        <v>40</v>
      </c>
      <c r="B34">
        <f>sqrt(B31^2+B32^2+B33^2)</f>
        <v>3</v>
      </c>
      <c r="C34" s="1" t="s">
        <v>6</v>
      </c>
    </row>
    <row r="35">
      <c r="A35" s="1" t="s">
        <v>41</v>
      </c>
      <c r="B35" s="13">
        <f>B34*B16*B11</f>
        <v>84.525</v>
      </c>
      <c r="C35" s="1" t="s">
        <v>42</v>
      </c>
    </row>
    <row r="36">
      <c r="A36" s="1" t="s">
        <v>43</v>
      </c>
      <c r="B36" s="13">
        <f>B35*-9.81</f>
        <v>-829.19025</v>
      </c>
      <c r="C36" s="1" t="s">
        <v>19</v>
      </c>
    </row>
    <row r="37">
      <c r="A37" s="1" t="s">
        <v>47</v>
      </c>
      <c r="B37" s="13">
        <f>B36/2</f>
        <v>-414.595125</v>
      </c>
      <c r="C37" s="1" t="s">
        <v>19</v>
      </c>
    </row>
    <row r="38">
      <c r="A38" s="1" t="s">
        <v>48</v>
      </c>
      <c r="B38" s="11">
        <f>10*2</f>
        <v>20</v>
      </c>
      <c r="C38" s="1"/>
    </row>
    <row r="39">
      <c r="A39" s="1" t="s">
        <v>16</v>
      </c>
      <c r="B39">
        <f>B36*B38</f>
        <v>-16583.805</v>
      </c>
      <c r="C39" s="1" t="s">
        <v>19</v>
      </c>
    </row>
    <row r="41">
      <c r="A41" s="1" t="s">
        <v>49</v>
      </c>
    </row>
    <row r="42">
      <c r="A42" s="1" t="s">
        <v>37</v>
      </c>
      <c r="B42" s="1">
        <f>15/5</f>
        <v>3</v>
      </c>
      <c r="C42" s="1" t="s">
        <v>6</v>
      </c>
    </row>
    <row r="43">
      <c r="A43" s="1" t="s">
        <v>38</v>
      </c>
      <c r="B43" s="1">
        <f>B3</f>
        <v>1</v>
      </c>
      <c r="C43" s="1" t="s">
        <v>6</v>
      </c>
    </row>
    <row r="44">
      <c r="A44" s="1" t="s">
        <v>39</v>
      </c>
      <c r="B44" s="1">
        <f>0</f>
        <v>0</v>
      </c>
      <c r="C44" s="1" t="s">
        <v>6</v>
      </c>
    </row>
    <row r="45">
      <c r="A45" s="1" t="s">
        <v>40</v>
      </c>
      <c r="B45" s="13">
        <f>sqrt(B42^2+B43^2+B44^2)</f>
        <v>3.16227766</v>
      </c>
      <c r="C45" s="1" t="s">
        <v>6</v>
      </c>
    </row>
    <row r="46">
      <c r="A46" s="1" t="s">
        <v>41</v>
      </c>
      <c r="B46" s="13">
        <f>B45*B11*B16</f>
        <v>89.09717308</v>
      </c>
      <c r="C46" s="1" t="s">
        <v>42</v>
      </c>
    </row>
    <row r="47">
      <c r="A47" s="1" t="s">
        <v>43</v>
      </c>
      <c r="B47" s="13">
        <f>B46*-9.81</f>
        <v>-874.0432679</v>
      </c>
      <c r="C47" s="1" t="s">
        <v>19</v>
      </c>
    </row>
    <row r="48">
      <c r="A48" s="1" t="s">
        <v>47</v>
      </c>
      <c r="B48" s="13">
        <f>B47/2</f>
        <v>-437.0216339</v>
      </c>
      <c r="C48" s="1" t="s">
        <v>19</v>
      </c>
    </row>
    <row r="49">
      <c r="A49" s="1" t="s">
        <v>48</v>
      </c>
      <c r="B49">
        <f>5*2</f>
        <v>10</v>
      </c>
    </row>
    <row r="50">
      <c r="A50" s="1" t="s">
        <v>16</v>
      </c>
      <c r="B50">
        <f>B47*B49</f>
        <v>-8740.432679</v>
      </c>
      <c r="C50" s="1" t="s">
        <v>19</v>
      </c>
    </row>
    <row r="51">
      <c r="A51" s="1"/>
    </row>
    <row r="52">
      <c r="A52" s="1" t="s">
        <v>51</v>
      </c>
    </row>
    <row r="53">
      <c r="A53" s="1" t="s">
        <v>37</v>
      </c>
      <c r="B53" s="1">
        <v>0.0</v>
      </c>
      <c r="C53" s="1" t="s">
        <v>6</v>
      </c>
    </row>
    <row r="54">
      <c r="A54" s="1" t="s">
        <v>38</v>
      </c>
      <c r="B54" s="1">
        <v>0.0</v>
      </c>
      <c r="C54" s="1" t="s">
        <v>6</v>
      </c>
    </row>
    <row r="55">
      <c r="A55" s="1" t="s">
        <v>39</v>
      </c>
      <c r="B55" s="1">
        <f>3.5</f>
        <v>3.5</v>
      </c>
      <c r="C55" s="1" t="s">
        <v>6</v>
      </c>
    </row>
    <row r="56">
      <c r="A56" s="1" t="s">
        <v>40</v>
      </c>
      <c r="B56">
        <f>sqrt(B53^2+B54^2+B55^2)</f>
        <v>3.5</v>
      </c>
      <c r="C56" s="1" t="s">
        <v>6</v>
      </c>
    </row>
    <row r="57">
      <c r="A57" s="1" t="s">
        <v>41</v>
      </c>
      <c r="B57" s="13">
        <f>B56*B11*B16</f>
        <v>98.6125</v>
      </c>
      <c r="C57" s="1" t="s">
        <v>42</v>
      </c>
    </row>
    <row r="58">
      <c r="A58" s="1" t="s">
        <v>43</v>
      </c>
      <c r="B58" s="13">
        <f>B57*-9.81</f>
        <v>-967.388625</v>
      </c>
      <c r="C58" s="1" t="s">
        <v>19</v>
      </c>
    </row>
    <row r="59">
      <c r="A59" s="1" t="s">
        <v>47</v>
      </c>
      <c r="B59" s="13">
        <f>B58/2</f>
        <v>-483.6943125</v>
      </c>
      <c r="C59" s="1" t="s">
        <v>19</v>
      </c>
    </row>
    <row r="60">
      <c r="A60" s="1" t="s">
        <v>45</v>
      </c>
      <c r="B60" s="1">
        <f>6*2</f>
        <v>12</v>
      </c>
    </row>
    <row r="61">
      <c r="A61" s="1" t="s">
        <v>16</v>
      </c>
      <c r="B61">
        <f>B60*B58</f>
        <v>-11608.6635</v>
      </c>
      <c r="C61" s="1" t="s">
        <v>19</v>
      </c>
    </row>
    <row r="62">
      <c r="A62" s="1"/>
      <c r="C62" s="1"/>
    </row>
    <row r="63">
      <c r="A63" s="1" t="s">
        <v>58</v>
      </c>
      <c r="B63" s="1"/>
      <c r="C63" s="1"/>
    </row>
    <row r="64">
      <c r="A64" s="1" t="s">
        <v>59</v>
      </c>
      <c r="B64" s="1">
        <v>2100.0</v>
      </c>
      <c r="C64" s="1" t="s">
        <v>28</v>
      </c>
    </row>
    <row r="65">
      <c r="A65" s="1" t="s">
        <v>60</v>
      </c>
      <c r="B65" s="1">
        <v>0.7</v>
      </c>
      <c r="C65" s="1" t="s">
        <v>6</v>
      </c>
    </row>
    <row r="66">
      <c r="A66" s="1" t="s">
        <v>11</v>
      </c>
      <c r="B66" s="1">
        <v>0.2</v>
      </c>
      <c r="C66" s="1" t="s">
        <v>6</v>
      </c>
    </row>
    <row r="67">
      <c r="A67" s="1" t="s">
        <v>41</v>
      </c>
      <c r="B67">
        <f>B64*B65*B66*Truss!B1</f>
        <v>4410</v>
      </c>
      <c r="C67" s="1" t="s">
        <v>42</v>
      </c>
    </row>
    <row r="68">
      <c r="A68" s="1" t="s">
        <v>17</v>
      </c>
      <c r="B68">
        <f>D68*3</f>
        <v>-129786.3</v>
      </c>
      <c r="C68" s="1" t="s">
        <v>19</v>
      </c>
      <c r="D68">
        <f>B67*-9.81</f>
        <v>-43262.1</v>
      </c>
      <c r="E68" s="1" t="s">
        <v>19</v>
      </c>
    </row>
    <row r="69">
      <c r="A69" s="1" t="s">
        <v>20</v>
      </c>
      <c r="B69">
        <f>B68/2</f>
        <v>-64893.15</v>
      </c>
      <c r="C69" s="1" t="s">
        <v>19</v>
      </c>
    </row>
    <row r="70">
      <c r="A70" s="1" t="s">
        <v>64</v>
      </c>
      <c r="B70">
        <f>B69/15</f>
        <v>-4326.21</v>
      </c>
      <c r="C70" s="1" t="s">
        <v>19</v>
      </c>
    </row>
    <row r="71">
      <c r="A71" s="1"/>
    </row>
    <row r="72">
      <c r="A72" s="1" t="s">
        <v>66</v>
      </c>
    </row>
    <row r="73">
      <c r="A73" s="1" t="s">
        <v>41</v>
      </c>
      <c r="B73" s="1">
        <v>650.0</v>
      </c>
      <c r="C73" s="1" t="s">
        <v>42</v>
      </c>
    </row>
    <row r="74">
      <c r="A74" s="1" t="s">
        <v>17</v>
      </c>
      <c r="B74">
        <f>B73*-9.81</f>
        <v>-6376.5</v>
      </c>
      <c r="C74" s="1" t="s">
        <v>19</v>
      </c>
    </row>
    <row r="75">
      <c r="A75" s="1" t="s">
        <v>20</v>
      </c>
      <c r="B75">
        <f>B74/2</f>
        <v>-3188.25</v>
      </c>
      <c r="C75" s="1" t="s">
        <v>19</v>
      </c>
    </row>
    <row r="76">
      <c r="A76" s="1" t="s">
        <v>70</v>
      </c>
      <c r="B76">
        <f>B74/2</f>
        <v>-3188.25</v>
      </c>
      <c r="C76" s="1" t="s">
        <v>19</v>
      </c>
    </row>
    <row r="77">
      <c r="A77" s="1"/>
      <c r="C77" s="1"/>
    </row>
    <row r="78">
      <c r="A78" s="1" t="s">
        <v>71</v>
      </c>
    </row>
    <row r="79">
      <c r="A79" s="1" t="s">
        <v>41</v>
      </c>
      <c r="B79" s="1">
        <v>80.0</v>
      </c>
      <c r="C79" s="1" t="s">
        <v>72</v>
      </c>
    </row>
    <row r="80">
      <c r="A80" s="1" t="s">
        <v>73</v>
      </c>
      <c r="B80">
        <f>B79*B2*B1</f>
        <v>4200</v>
      </c>
      <c r="C80" s="1" t="s">
        <v>42</v>
      </c>
    </row>
    <row r="81">
      <c r="A81" s="1" t="s">
        <v>17</v>
      </c>
      <c r="B81">
        <f>B80*-9.81</f>
        <v>-41202</v>
      </c>
      <c r="C81" s="1" t="s">
        <v>19</v>
      </c>
    </row>
    <row r="82">
      <c r="A82" s="1" t="s">
        <v>20</v>
      </c>
      <c r="B82">
        <f>B81/2</f>
        <v>-20601</v>
      </c>
      <c r="C82" s="1" t="s">
        <v>19</v>
      </c>
    </row>
    <row r="83">
      <c r="A83" s="1" t="s">
        <v>77</v>
      </c>
      <c r="B83">
        <f>B82/15</f>
        <v>-1373.4</v>
      </c>
      <c r="C83" s="1" t="s">
        <v>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0"/>
    <col customWidth="1" min="2" max="2" width="12.57"/>
    <col customWidth="1" min="3" max="3" width="13.14"/>
    <col customWidth="1" min="4" max="4" width="10.0"/>
    <col customWidth="1" min="5" max="6" width="12.57"/>
  </cols>
  <sheetData>
    <row r="1">
      <c r="A1" s="1" t="s">
        <v>0</v>
      </c>
      <c r="B1" s="2" t="s">
        <v>1</v>
      </c>
      <c r="C1" s="2" t="s">
        <v>4</v>
      </c>
      <c r="D1" s="2" t="s">
        <v>5</v>
      </c>
      <c r="E1" s="3" t="s">
        <v>7</v>
      </c>
      <c r="F1" s="3" t="s">
        <v>13</v>
      </c>
    </row>
    <row r="2">
      <c r="A2" s="5" t="s">
        <v>14</v>
      </c>
      <c r="B2" s="7">
        <f>Fweight_x+Fweight_y+Fweight_z+Ffunnell_applied</f>
        <v>-4224.737813</v>
      </c>
      <c r="C2" s="8" t="s">
        <v>17</v>
      </c>
      <c r="D2" s="8" t="s">
        <v>18</v>
      </c>
      <c r="E2" s="7">
        <v>0.0</v>
      </c>
      <c r="F2" s="7">
        <f t="shared" ref="F2:F3" si="1">B2</f>
        <v>-4224.737813</v>
      </c>
    </row>
    <row r="3">
      <c r="A3" s="9" t="s">
        <v>23</v>
      </c>
      <c r="B3" s="10">
        <f>-B2</f>
        <v>4224.737813</v>
      </c>
      <c r="C3" s="15" t="s">
        <v>15</v>
      </c>
      <c r="D3" s="10" t="s">
        <v>18</v>
      </c>
      <c r="E3" s="10">
        <v>0.0</v>
      </c>
      <c r="F3" s="10">
        <f t="shared" si="1"/>
        <v>4224.737813</v>
      </c>
    </row>
    <row r="4">
      <c r="A4" s="9" t="s">
        <v>50</v>
      </c>
      <c r="B4" s="10">
        <f>0</f>
        <v>0</v>
      </c>
      <c r="C4" s="15" t="s">
        <v>52</v>
      </c>
      <c r="D4" s="15" t="s">
        <v>53</v>
      </c>
      <c r="E4" s="10">
        <v>0.0</v>
      </c>
      <c r="F4" s="10">
        <v>0.0</v>
      </c>
    </row>
    <row r="5">
      <c r="B5" s="3"/>
      <c r="C5" s="3"/>
      <c r="D5" s="3"/>
      <c r="E5" s="16">
        <f t="shared" ref="E5:F5" si="2">sum(E2:E4)</f>
        <v>0</v>
      </c>
      <c r="F5" s="16">
        <f t="shared" si="2"/>
        <v>0</v>
      </c>
    </row>
    <row r="6">
      <c r="A6" s="1" t="s">
        <v>54</v>
      </c>
      <c r="B6" s="3"/>
      <c r="C6" s="3"/>
      <c r="D6" s="3"/>
      <c r="E6" s="3"/>
      <c r="F6" s="3"/>
    </row>
    <row r="7">
      <c r="A7" s="5" t="s">
        <v>14</v>
      </c>
      <c r="B7" s="7">
        <f>((Fweight_belt_m+Fweight_ore_m)*1.5)+(Fweight_x+Fweight_z+Fweight_y+Fweight_xy)</f>
        <v>-10022.92445</v>
      </c>
      <c r="C7" s="8" t="s">
        <v>17</v>
      </c>
      <c r="D7" s="8" t="s">
        <v>18</v>
      </c>
      <c r="E7" s="7">
        <f t="shared" ref="E7:E8" si="3">0</f>
        <v>0</v>
      </c>
      <c r="F7" s="7">
        <f t="shared" ref="F7:F8" si="4">B7</f>
        <v>-10022.92445</v>
      </c>
    </row>
    <row r="8">
      <c r="A8" s="17" t="s">
        <v>57</v>
      </c>
      <c r="B8" s="18">
        <f>-Fr_FG</f>
        <v>-4224.737813</v>
      </c>
      <c r="C8" s="19" t="s">
        <v>15</v>
      </c>
      <c r="D8" s="19" t="s">
        <v>18</v>
      </c>
      <c r="E8" s="18">
        <f t="shared" si="3"/>
        <v>0</v>
      </c>
      <c r="F8" s="18">
        <f t="shared" si="4"/>
        <v>-4224.737813</v>
      </c>
    </row>
    <row r="9">
      <c r="A9" s="9" t="s">
        <v>61</v>
      </c>
      <c r="B9" s="10">
        <f>-((Section_XY/Section_Y)*(Fr_GF+B7))</f>
        <v>45055.06407</v>
      </c>
      <c r="C9" s="15" t="s">
        <v>22</v>
      </c>
      <c r="D9" s="15" t="s">
        <v>63</v>
      </c>
      <c r="E9" s="10">
        <f>B9*(Section_X/Section_XY)</f>
        <v>42742.98678</v>
      </c>
      <c r="F9" s="10">
        <f>B9*(Section_Y/Section_XY)</f>
        <v>14247.66226</v>
      </c>
    </row>
    <row r="10">
      <c r="A10" s="9" t="s">
        <v>67</v>
      </c>
      <c r="B10" s="10">
        <f>-(Section_X/Section_XY)*Fr_GE</f>
        <v>-42742.98678</v>
      </c>
      <c r="C10" s="15" t="s">
        <v>15</v>
      </c>
      <c r="D10" s="15" t="s">
        <v>69</v>
      </c>
      <c r="E10" s="10">
        <f>B10</f>
        <v>-42742.98678</v>
      </c>
      <c r="F10" s="10">
        <v>0.0</v>
      </c>
    </row>
    <row r="11">
      <c r="B11" s="3"/>
      <c r="C11" s="3"/>
      <c r="D11" s="3"/>
      <c r="E11" s="16">
        <f t="shared" ref="E11:F11" si="5">SUM(E7:E10)</f>
        <v>0</v>
      </c>
      <c r="F11" s="16">
        <f t="shared" si="5"/>
        <v>0</v>
      </c>
    </row>
    <row r="12">
      <c r="A12" s="1" t="s">
        <v>75</v>
      </c>
      <c r="B12" s="3"/>
      <c r="C12" s="3"/>
      <c r="D12" s="3"/>
      <c r="E12" s="3"/>
      <c r="F12" s="3"/>
    </row>
    <row r="13">
      <c r="A13" s="5" t="s">
        <v>14</v>
      </c>
      <c r="B13" s="7">
        <f>Fweight_x+Fweight_x+Fweight_y+Fweight_z+Fweight_xy</f>
        <v>-1888.104571</v>
      </c>
      <c r="C13" s="8" t="s">
        <v>17</v>
      </c>
      <c r="D13" s="8" t="s">
        <v>18</v>
      </c>
      <c r="E13" s="7">
        <f>0</f>
        <v>0</v>
      </c>
      <c r="F13" s="7">
        <f>B13</f>
        <v>-1888.104571</v>
      </c>
    </row>
    <row r="14">
      <c r="A14" s="17" t="s">
        <v>78</v>
      </c>
      <c r="B14" s="18">
        <f>-Fr_GE</f>
        <v>-45055.06407</v>
      </c>
      <c r="C14" s="19" t="s">
        <v>22</v>
      </c>
      <c r="D14" s="19" t="s">
        <v>80</v>
      </c>
      <c r="E14" s="18">
        <f>(Section_X/Section_XY)*B14</f>
        <v>-42742.98678</v>
      </c>
      <c r="F14" s="18">
        <f>B14*(Section_Y/Section_XY)</f>
        <v>-14247.66226</v>
      </c>
    </row>
    <row r="15">
      <c r="A15" s="17" t="s">
        <v>82</v>
      </c>
      <c r="B15" s="18">
        <f>-Fr_FE</f>
        <v>0</v>
      </c>
      <c r="C15" s="19" t="s">
        <v>52</v>
      </c>
      <c r="D15" s="19" t="s">
        <v>53</v>
      </c>
      <c r="E15" s="18">
        <f t="shared" ref="E15:E16" si="6">B15</f>
        <v>0</v>
      </c>
      <c r="F15" s="18">
        <f t="shared" ref="F15:F16" si="7">0</f>
        <v>0</v>
      </c>
    </row>
    <row r="16">
      <c r="A16" s="9" t="s">
        <v>84</v>
      </c>
      <c r="B16" s="10">
        <f>-((Section_X/Section_XY)*Fr_EG+Fr_EF)</f>
        <v>42742.98678</v>
      </c>
      <c r="C16" s="15" t="s">
        <v>22</v>
      </c>
      <c r="D16" s="15" t="s">
        <v>86</v>
      </c>
      <c r="E16" s="10">
        <f t="shared" si="6"/>
        <v>42742.98678</v>
      </c>
      <c r="F16" s="10">
        <f t="shared" si="7"/>
        <v>0</v>
      </c>
    </row>
    <row r="17">
      <c r="A17" s="9" t="s">
        <v>88</v>
      </c>
      <c r="B17" s="10">
        <f>-((Section_Y/Section_XY)*Fr_EG+B13)</f>
        <v>16135.76683</v>
      </c>
      <c r="C17" s="15" t="s">
        <v>15</v>
      </c>
      <c r="D17" s="15" t="s">
        <v>89</v>
      </c>
      <c r="E17" s="10">
        <v>0.0</v>
      </c>
      <c r="F17" s="10">
        <f>B17</f>
        <v>16135.76683</v>
      </c>
    </row>
    <row r="18">
      <c r="B18" s="3"/>
      <c r="C18" s="3"/>
      <c r="D18" s="3"/>
      <c r="E18" s="16">
        <f t="shared" ref="E18:F18" si="8">SUM(E13:E17)</f>
        <v>0</v>
      </c>
      <c r="F18" s="16">
        <f t="shared" si="8"/>
        <v>0</v>
      </c>
    </row>
    <row r="19">
      <c r="A19" s="1" t="s">
        <v>91</v>
      </c>
      <c r="B19" s="3"/>
      <c r="C19" s="3"/>
      <c r="D19" s="3"/>
      <c r="E19" s="3"/>
      <c r="F19" s="3"/>
    </row>
    <row r="20">
      <c r="A20" s="5" t="s">
        <v>14</v>
      </c>
      <c r="B20" s="7">
        <f>Fweight_x+Fweight_x+Fweight_y+Fweight_z+Fweight_xy+((Fweight_belt_m+Fweight_ore_m)*3)</f>
        <v>-18986.93457</v>
      </c>
      <c r="C20" s="8" t="s">
        <v>17</v>
      </c>
      <c r="D20" s="8" t="s">
        <v>18</v>
      </c>
      <c r="E20" s="7">
        <f>0</f>
        <v>0</v>
      </c>
      <c r="F20" s="7">
        <f>B20</f>
        <v>-18986.93457</v>
      </c>
    </row>
    <row r="21">
      <c r="A21" s="17" t="s">
        <v>94</v>
      </c>
      <c r="B21" s="18">
        <f>-Fr_GH</f>
        <v>42742.98678</v>
      </c>
      <c r="C21" s="19" t="s">
        <v>15</v>
      </c>
      <c r="D21" s="19" t="s">
        <v>86</v>
      </c>
      <c r="E21" s="18">
        <f>B21</f>
        <v>42742.98678</v>
      </c>
      <c r="F21" s="18">
        <f>0</f>
        <v>0</v>
      </c>
    </row>
    <row r="22">
      <c r="A22" s="17" t="s">
        <v>96</v>
      </c>
      <c r="B22" s="18">
        <f>-Fr_EH</f>
        <v>-16135.76683</v>
      </c>
      <c r="C22" s="19" t="s">
        <v>15</v>
      </c>
      <c r="D22" s="19" t="s">
        <v>18</v>
      </c>
      <c r="E22" s="18">
        <f>0</f>
        <v>0</v>
      </c>
      <c r="F22" s="18">
        <f>B22</f>
        <v>-16135.76683</v>
      </c>
    </row>
    <row r="23">
      <c r="A23" s="9" t="s">
        <v>101</v>
      </c>
      <c r="B23" s="10">
        <f>-((Section_XY/Section_Y)*(Fr_HE+B20))</f>
        <v>111067.734</v>
      </c>
      <c r="C23" s="15" t="s">
        <v>22</v>
      </c>
      <c r="D23" s="15" t="s">
        <v>63</v>
      </c>
      <c r="E23" s="10">
        <f>(Section_X/Section_XY)*B23</f>
        <v>105368.1042</v>
      </c>
      <c r="F23" s="10">
        <f>(Section_Y/Section_XY)*B23</f>
        <v>35122.7014</v>
      </c>
    </row>
    <row r="24">
      <c r="A24" s="9" t="s">
        <v>102</v>
      </c>
      <c r="B24" s="10">
        <f>-((Section_X/Section_XY)*Fr_HD+Fr_HG)</f>
        <v>-148111.091</v>
      </c>
      <c r="C24" s="15" t="s">
        <v>15</v>
      </c>
      <c r="D24" s="15" t="s">
        <v>69</v>
      </c>
      <c r="E24" s="10">
        <f>B24</f>
        <v>-148111.091</v>
      </c>
      <c r="F24" s="10">
        <f>0</f>
        <v>0</v>
      </c>
    </row>
    <row r="25">
      <c r="B25" s="3"/>
      <c r="C25" s="3"/>
      <c r="D25" s="3"/>
      <c r="E25" s="16">
        <f t="shared" ref="E25:F25" si="9">SUM(E20:E24)</f>
        <v>0</v>
      </c>
      <c r="F25" s="16">
        <f t="shared" si="9"/>
        <v>0</v>
      </c>
    </row>
    <row r="26">
      <c r="A26" s="1" t="s">
        <v>103</v>
      </c>
      <c r="B26" s="3"/>
      <c r="C26" s="3"/>
      <c r="D26" s="3"/>
      <c r="E26" s="3"/>
      <c r="F26" s="3"/>
    </row>
    <row r="27">
      <c r="A27" s="5" t="s">
        <v>14</v>
      </c>
      <c r="B27" s="8">
        <f>B13</f>
        <v>-1888.104571</v>
      </c>
      <c r="C27" s="8" t="s">
        <v>17</v>
      </c>
      <c r="D27" s="7"/>
      <c r="E27" s="7">
        <f>0</f>
        <v>0</v>
      </c>
      <c r="F27" s="7">
        <f>B27</f>
        <v>-1888.104571</v>
      </c>
    </row>
    <row r="28">
      <c r="A28" s="17" t="s">
        <v>104</v>
      </c>
      <c r="B28" s="18">
        <f>-Fr_HD</f>
        <v>-111067.734</v>
      </c>
      <c r="C28" s="19" t="s">
        <v>22</v>
      </c>
      <c r="D28" s="19" t="s">
        <v>80</v>
      </c>
      <c r="E28" s="18">
        <f>(Section_X/Section_XY)*B28</f>
        <v>-105368.1042</v>
      </c>
      <c r="F28" s="18">
        <f>(Section_Y/Section_XY)*B28</f>
        <v>-35122.7014</v>
      </c>
    </row>
    <row r="29">
      <c r="A29" s="17" t="s">
        <v>105</v>
      </c>
      <c r="B29" s="18">
        <f>-Fr_ED</f>
        <v>-42742.98678</v>
      </c>
      <c r="C29" s="19" t="s">
        <v>22</v>
      </c>
      <c r="D29" s="19" t="s">
        <v>69</v>
      </c>
      <c r="E29" s="18">
        <f>B29</f>
        <v>-42742.98678</v>
      </c>
      <c r="F29" s="18">
        <f>0</f>
        <v>0</v>
      </c>
    </row>
    <row r="30">
      <c r="A30" s="9" t="s">
        <v>106</v>
      </c>
      <c r="B30" s="10">
        <f>-(((Section_Y/Section_XY)*Fr_DH)+B27)</f>
        <v>37010.80597</v>
      </c>
      <c r="C30" s="15" t="s">
        <v>15</v>
      </c>
      <c r="D30" s="15" t="s">
        <v>89</v>
      </c>
      <c r="E30" s="10">
        <f>0</f>
        <v>0</v>
      </c>
      <c r="F30" s="10">
        <f>B30</f>
        <v>37010.80597</v>
      </c>
    </row>
    <row r="31">
      <c r="A31" s="9" t="s">
        <v>107</v>
      </c>
      <c r="B31" s="10">
        <f>-(Fr_DE+Fr_DH*(Section_X/Section_XY))</f>
        <v>148111.091</v>
      </c>
      <c r="C31" s="15" t="s">
        <v>22</v>
      </c>
      <c r="D31" s="15" t="s">
        <v>86</v>
      </c>
      <c r="E31" s="10">
        <f>B31</f>
        <v>148111.091</v>
      </c>
      <c r="F31" s="10">
        <v>0.0</v>
      </c>
    </row>
    <row r="32">
      <c r="B32" s="3"/>
      <c r="C32" s="3"/>
      <c r="D32" s="3"/>
      <c r="E32" s="16">
        <f t="shared" ref="E32:F32" si="10">SUM(E27:E31)</f>
        <v>0</v>
      </c>
      <c r="F32" s="16">
        <f t="shared" si="10"/>
        <v>0</v>
      </c>
    </row>
    <row r="33">
      <c r="A33" s="1" t="s">
        <v>108</v>
      </c>
      <c r="B33" s="3"/>
      <c r="C33" s="3"/>
      <c r="D33" s="3"/>
      <c r="E33" s="3"/>
      <c r="F33" s="3"/>
    </row>
    <row r="34">
      <c r="A34" s="5" t="s">
        <v>14</v>
      </c>
      <c r="B34" s="7">
        <f>B20</f>
        <v>-18986.93457</v>
      </c>
      <c r="C34" s="8" t="s">
        <v>17</v>
      </c>
      <c r="D34" s="8" t="s">
        <v>18</v>
      </c>
      <c r="E34" s="7">
        <v>0.0</v>
      </c>
      <c r="F34" s="7">
        <f>B34</f>
        <v>-18986.93457</v>
      </c>
    </row>
    <row r="35">
      <c r="A35" s="17" t="s">
        <v>109</v>
      </c>
      <c r="B35" s="18">
        <f>-Fr_HI</f>
        <v>148111.091</v>
      </c>
      <c r="C35" s="19" t="s">
        <v>15</v>
      </c>
      <c r="D35" s="19" t="s">
        <v>86</v>
      </c>
      <c r="E35" s="18">
        <f>B35</f>
        <v>148111.091</v>
      </c>
      <c r="F35" s="18">
        <v>0.0</v>
      </c>
    </row>
    <row r="36">
      <c r="A36" s="17" t="s">
        <v>110</v>
      </c>
      <c r="B36" s="18">
        <f>-Fr_DI</f>
        <v>-37010.80597</v>
      </c>
      <c r="C36" s="19" t="s">
        <v>15</v>
      </c>
      <c r="D36" s="19" t="s">
        <v>18</v>
      </c>
      <c r="E36" s="18">
        <f>0</f>
        <v>0</v>
      </c>
      <c r="F36" s="18">
        <f>B36</f>
        <v>-37010.80597</v>
      </c>
    </row>
    <row r="37">
      <c r="A37" s="9" t="s">
        <v>111</v>
      </c>
      <c r="B37" s="10">
        <f>-((Section_XY/Section_Y)*(Fr_ID+B34))</f>
        <v>177080.4039</v>
      </c>
      <c r="C37" s="15" t="s">
        <v>22</v>
      </c>
      <c r="D37" s="15" t="s">
        <v>63</v>
      </c>
      <c r="E37" s="10">
        <f>(Section_X/Section_XY)*B37</f>
        <v>167993.2216</v>
      </c>
      <c r="F37" s="10">
        <f>(Section_Y/Section_XY)*B37</f>
        <v>55997.74054</v>
      </c>
    </row>
    <row r="38">
      <c r="A38" s="9" t="s">
        <v>112</v>
      </c>
      <c r="B38" s="10">
        <f>-((Section_X/Section_XY)*Fr_IC+Fr_IH)</f>
        <v>-316104.3126</v>
      </c>
      <c r="C38" s="15" t="s">
        <v>15</v>
      </c>
      <c r="D38" s="15" t="s">
        <v>69</v>
      </c>
      <c r="E38" s="10">
        <f>B38</f>
        <v>-316104.3126</v>
      </c>
      <c r="F38" s="10">
        <f>0</f>
        <v>0</v>
      </c>
    </row>
    <row r="39">
      <c r="B39" s="3"/>
      <c r="C39" s="3"/>
      <c r="D39" s="3"/>
      <c r="E39" s="16">
        <f t="shared" ref="E39:F39" si="11">SUM(E34:E38)</f>
        <v>0</v>
      </c>
      <c r="F39" s="16">
        <f t="shared" si="11"/>
        <v>0</v>
      </c>
    </row>
    <row r="40">
      <c r="A40" s="1" t="s">
        <v>113</v>
      </c>
      <c r="B40" s="3"/>
      <c r="C40" s="3"/>
      <c r="D40" s="3"/>
      <c r="E40" s="3"/>
      <c r="F40" s="3"/>
    </row>
    <row r="41">
      <c r="A41" s="5" t="s">
        <v>14</v>
      </c>
      <c r="B41" s="7">
        <f>B27</f>
        <v>-1888.104571</v>
      </c>
      <c r="C41" s="8" t="s">
        <v>114</v>
      </c>
      <c r="D41" s="8" t="s">
        <v>18</v>
      </c>
      <c r="E41" s="7">
        <f>0</f>
        <v>0</v>
      </c>
      <c r="F41" s="7">
        <f>B41</f>
        <v>-1888.104571</v>
      </c>
    </row>
    <row r="42">
      <c r="A42" s="17" t="s">
        <v>115</v>
      </c>
      <c r="B42" s="18">
        <f>-Fr_IC</f>
        <v>-177080.4039</v>
      </c>
      <c r="C42" s="19" t="s">
        <v>22</v>
      </c>
      <c r="D42" s="19" t="s">
        <v>80</v>
      </c>
      <c r="E42" s="18">
        <f>(Section_X/Section_XY)*B42</f>
        <v>-167993.2216</v>
      </c>
      <c r="F42" s="18">
        <f>(Section_Y/Section_XY)*B42</f>
        <v>-55997.74054</v>
      </c>
    </row>
    <row r="43">
      <c r="A43" s="17" t="s">
        <v>116</v>
      </c>
      <c r="B43" s="18">
        <f>-Fr_DC</f>
        <v>-148111.091</v>
      </c>
      <c r="C43" s="19" t="s">
        <v>22</v>
      </c>
      <c r="D43" s="19" t="s">
        <v>69</v>
      </c>
      <c r="E43" s="18">
        <f>B43</f>
        <v>-148111.091</v>
      </c>
      <c r="F43" s="18">
        <f>0</f>
        <v>0</v>
      </c>
    </row>
    <row r="44">
      <c r="A44" s="9" t="s">
        <v>117</v>
      </c>
      <c r="B44" s="10">
        <f>-(B41+Fr_CI*((Section_Y/Section_XY)))</f>
        <v>57885.84512</v>
      </c>
      <c r="C44" s="15" t="s">
        <v>15</v>
      </c>
      <c r="D44" s="15" t="s">
        <v>89</v>
      </c>
      <c r="E44" s="10">
        <f>0</f>
        <v>0</v>
      </c>
      <c r="F44" s="10">
        <f>B44</f>
        <v>57885.84512</v>
      </c>
    </row>
    <row r="45">
      <c r="A45" s="9" t="s">
        <v>118</v>
      </c>
      <c r="B45" s="10">
        <f>-((Section_X/Section_XY)*Fr_CI+Fr_CD)</f>
        <v>316104.3126</v>
      </c>
      <c r="C45" s="15" t="s">
        <v>22</v>
      </c>
      <c r="D45" s="15" t="s">
        <v>86</v>
      </c>
      <c r="E45" s="10">
        <f>B45</f>
        <v>316104.3126</v>
      </c>
      <c r="F45" s="10">
        <f>0</f>
        <v>0</v>
      </c>
    </row>
    <row r="46">
      <c r="B46" s="3"/>
      <c r="C46" s="3"/>
      <c r="D46" s="3"/>
      <c r="E46" s="16">
        <f t="shared" ref="E46:F46" si="12">SUM(E41:E45)</f>
        <v>0</v>
      </c>
      <c r="F46" s="16">
        <f t="shared" si="12"/>
        <v>0</v>
      </c>
    </row>
    <row r="47">
      <c r="A47" s="1" t="s">
        <v>119</v>
      </c>
      <c r="B47" s="3"/>
      <c r="C47" s="3"/>
      <c r="D47" s="3"/>
      <c r="E47" s="3"/>
      <c r="F47" s="3"/>
    </row>
    <row r="48">
      <c r="A48" s="5" t="s">
        <v>14</v>
      </c>
      <c r="B48" s="7">
        <f>B34</f>
        <v>-18986.93457</v>
      </c>
      <c r="C48" s="8" t="s">
        <v>17</v>
      </c>
      <c r="D48" s="8" t="s">
        <v>18</v>
      </c>
      <c r="E48" s="7">
        <f t="shared" ref="E48:E49" si="13">0</f>
        <v>0</v>
      </c>
      <c r="F48" s="7">
        <f t="shared" ref="F48:F49" si="14">B48</f>
        <v>-18986.93457</v>
      </c>
    </row>
    <row r="49">
      <c r="A49" s="17" t="s">
        <v>120</v>
      </c>
      <c r="B49" s="18">
        <f>-Fr_CJ</f>
        <v>-57885.84512</v>
      </c>
      <c r="C49" s="19" t="s">
        <v>15</v>
      </c>
      <c r="D49" s="19" t="s">
        <v>18</v>
      </c>
      <c r="E49" s="18">
        <f t="shared" si="13"/>
        <v>0</v>
      </c>
      <c r="F49" s="18">
        <f t="shared" si="14"/>
        <v>-57885.84512</v>
      </c>
    </row>
    <row r="50">
      <c r="A50" s="17" t="s">
        <v>121</v>
      </c>
      <c r="B50" s="18">
        <f>-Fr_IJ</f>
        <v>316104.3126</v>
      </c>
      <c r="C50" s="19" t="s">
        <v>22</v>
      </c>
      <c r="D50" s="19" t="s">
        <v>69</v>
      </c>
      <c r="E50" s="18">
        <f>B50</f>
        <v>316104.3126</v>
      </c>
      <c r="F50" s="18">
        <f>0</f>
        <v>0</v>
      </c>
    </row>
    <row r="51">
      <c r="A51" s="9" t="s">
        <v>122</v>
      </c>
      <c r="B51" s="10">
        <f>-((Section_XY/Section_Y)*(Fr_JC+B48))</f>
        <v>243093.0739</v>
      </c>
      <c r="C51" s="15" t="s">
        <v>22</v>
      </c>
      <c r="D51" s="15" t="s">
        <v>63</v>
      </c>
      <c r="E51" s="10">
        <f>(Section_X/Section_XY)*B51</f>
        <v>230618.3391</v>
      </c>
      <c r="F51" s="10">
        <f>(Section_Y/Section_XY)*B51</f>
        <v>76872.77969</v>
      </c>
    </row>
    <row r="52">
      <c r="A52" s="9" t="s">
        <v>123</v>
      </c>
      <c r="B52" s="10">
        <f>-((Section_X/Section_XY)*Fr_JB+Fr_JI)</f>
        <v>-546722.6517</v>
      </c>
      <c r="C52" s="15" t="s">
        <v>15</v>
      </c>
      <c r="D52" s="15" t="s">
        <v>69</v>
      </c>
      <c r="E52" s="10">
        <f>B52</f>
        <v>-546722.6517</v>
      </c>
      <c r="F52" s="10">
        <f>0</f>
        <v>0</v>
      </c>
    </row>
    <row r="53">
      <c r="B53" s="3"/>
      <c r="C53" s="3"/>
      <c r="D53" s="3"/>
      <c r="E53" s="16">
        <f t="shared" ref="E53:F53" si="15">SUM(E48:E52)</f>
        <v>0</v>
      </c>
      <c r="F53" s="16">
        <f t="shared" si="15"/>
        <v>0</v>
      </c>
    </row>
    <row r="54">
      <c r="A54" s="1" t="s">
        <v>124</v>
      </c>
      <c r="B54" s="3"/>
      <c r="C54" s="3"/>
      <c r="D54" s="3"/>
      <c r="E54" s="3"/>
      <c r="F54" s="3"/>
    </row>
    <row r="55">
      <c r="A55" s="5" t="s">
        <v>14</v>
      </c>
      <c r="B55" s="7">
        <f>B41</f>
        <v>-1888.104571</v>
      </c>
      <c r="C55" s="8" t="s">
        <v>17</v>
      </c>
      <c r="D55" s="8" t="s">
        <v>18</v>
      </c>
      <c r="E55" s="7">
        <v>0.0</v>
      </c>
      <c r="F55" s="7">
        <f>B55</f>
        <v>-1888.104571</v>
      </c>
    </row>
    <row r="56">
      <c r="A56" s="17" t="s">
        <v>125</v>
      </c>
      <c r="B56" s="18">
        <f>-Fr_JB</f>
        <v>-243093.0739</v>
      </c>
      <c r="C56" s="19" t="s">
        <v>22</v>
      </c>
      <c r="D56" s="19" t="s">
        <v>80</v>
      </c>
      <c r="E56" s="18">
        <f>(Section_X/Section_XY)*B56</f>
        <v>-230618.3391</v>
      </c>
      <c r="F56" s="18">
        <f>(Section_Y/Section_XY)*B56</f>
        <v>-76872.77969</v>
      </c>
    </row>
    <row r="57">
      <c r="A57" s="17" t="s">
        <v>126</v>
      </c>
      <c r="B57" s="18">
        <f>-Fr_CB</f>
        <v>-316104.3126</v>
      </c>
      <c r="C57" s="19" t="s">
        <v>22</v>
      </c>
      <c r="D57" s="19" t="s">
        <v>69</v>
      </c>
      <c r="E57" s="18">
        <f>B57</f>
        <v>-316104.3126</v>
      </c>
      <c r="F57" s="18">
        <f>0</f>
        <v>0</v>
      </c>
    </row>
    <row r="58">
      <c r="A58" s="9" t="s">
        <v>127</v>
      </c>
      <c r="B58" s="10">
        <f>-(B41+Fr_BJ*((Section_Y/Section_XY)))</f>
        <v>78760.88426</v>
      </c>
      <c r="C58" s="15" t="s">
        <v>15</v>
      </c>
      <c r="D58" s="15" t="s">
        <v>89</v>
      </c>
      <c r="E58" s="10">
        <f>0</f>
        <v>0</v>
      </c>
      <c r="F58" s="10">
        <f>B58</f>
        <v>78760.88426</v>
      </c>
    </row>
    <row r="59">
      <c r="A59" s="9" t="s">
        <v>128</v>
      </c>
      <c r="B59" s="10">
        <f>-((Section_X/Section_XY)*Fr_BJ+Fr_BC)</f>
        <v>546722.6517</v>
      </c>
      <c r="C59" s="15" t="s">
        <v>22</v>
      </c>
      <c r="D59" s="15" t="s">
        <v>86</v>
      </c>
      <c r="E59" s="10">
        <f>B59</f>
        <v>546722.6517</v>
      </c>
      <c r="F59" s="10">
        <v>0.0</v>
      </c>
    </row>
    <row r="60">
      <c r="B60" s="3"/>
      <c r="C60" s="3"/>
      <c r="D60" s="3"/>
      <c r="E60" s="10">
        <f t="shared" ref="E60:F60" si="16">SUM(E55:E59)</f>
        <v>0</v>
      </c>
      <c r="F60" s="10">
        <f t="shared" si="16"/>
        <v>0</v>
      </c>
    </row>
    <row r="61">
      <c r="A61" s="1" t="s">
        <v>129</v>
      </c>
      <c r="B61" s="3"/>
      <c r="C61" s="3"/>
      <c r="D61" s="3"/>
      <c r="E61" s="3"/>
      <c r="F61" s="3"/>
    </row>
    <row r="62">
      <c r="A62" s="5" t="s">
        <v>14</v>
      </c>
      <c r="B62" s="7">
        <f>B48</f>
        <v>-18986.93457</v>
      </c>
      <c r="C62" s="8" t="s">
        <v>17</v>
      </c>
      <c r="D62" s="8" t="s">
        <v>18</v>
      </c>
      <c r="E62" s="7">
        <f>0</f>
        <v>0</v>
      </c>
      <c r="F62" s="7">
        <f t="shared" ref="F62:F63" si="17">B62</f>
        <v>-18986.93457</v>
      </c>
    </row>
    <row r="63">
      <c r="A63" s="17" t="s">
        <v>130</v>
      </c>
      <c r="B63" s="18">
        <f>-Fr_BK</f>
        <v>-78760.88426</v>
      </c>
      <c r="C63" s="19" t="s">
        <v>15</v>
      </c>
      <c r="D63" s="19" t="s">
        <v>18</v>
      </c>
      <c r="E63" s="19">
        <v>0.0</v>
      </c>
      <c r="F63" s="18">
        <f t="shared" si="17"/>
        <v>-78760.88426</v>
      </c>
    </row>
    <row r="64">
      <c r="A64" s="17" t="s">
        <v>131</v>
      </c>
      <c r="B64" s="18">
        <f>-Fr_JK</f>
        <v>546722.6517</v>
      </c>
      <c r="C64" s="19" t="s">
        <v>22</v>
      </c>
      <c r="D64" s="19" t="s">
        <v>69</v>
      </c>
      <c r="E64" s="18">
        <f>B64</f>
        <v>546722.6517</v>
      </c>
      <c r="F64" s="18">
        <f>0</f>
        <v>0</v>
      </c>
    </row>
    <row r="65">
      <c r="A65" s="9" t="s">
        <v>132</v>
      </c>
      <c r="B65" s="10">
        <f>-((Section_XY/Section_Y)*(Fr_KB+B62))</f>
        <v>309105.7438</v>
      </c>
      <c r="C65" s="15" t="s">
        <v>22</v>
      </c>
      <c r="D65" s="15" t="s">
        <v>133</v>
      </c>
      <c r="E65" s="10">
        <f>(Section_X/Section_XY)*B65</f>
        <v>293243.4565</v>
      </c>
      <c r="F65" s="10">
        <f>(Section_Y/Section_XY)*B65</f>
        <v>97747.81883</v>
      </c>
    </row>
    <row r="66">
      <c r="A66" s="9" t="s">
        <v>134</v>
      </c>
      <c r="B66" s="10">
        <f>-((Section_X/Section_XY)*Fr_KA+Fr_KJ)</f>
        <v>-839966.1082</v>
      </c>
      <c r="C66" s="15" t="s">
        <v>15</v>
      </c>
      <c r="D66" s="15" t="s">
        <v>69</v>
      </c>
      <c r="E66" s="10">
        <f>B66</f>
        <v>-839966.1082</v>
      </c>
      <c r="F66" s="15">
        <v>0.0</v>
      </c>
    </row>
    <row r="67">
      <c r="B67" s="3"/>
      <c r="C67" s="3"/>
      <c r="D67" s="3"/>
      <c r="E67" s="16">
        <f t="shared" ref="E67:F67" si="18">SUM(E62:E66)</f>
        <v>0</v>
      </c>
      <c r="F67" s="16">
        <f t="shared" si="18"/>
        <v>0</v>
      </c>
    </row>
    <row r="68">
      <c r="A68" s="1" t="s">
        <v>135</v>
      </c>
      <c r="B68" s="3"/>
      <c r="C68" s="3"/>
      <c r="D68" s="3"/>
      <c r="E68" s="3"/>
      <c r="F68" s="3"/>
    </row>
    <row r="69">
      <c r="A69" s="5" t="s">
        <v>14</v>
      </c>
      <c r="B69" s="7">
        <f>(Fweight_x+Fweight_y+Fweight_z+Fweight_xy)</f>
        <v>-1473.509446</v>
      </c>
      <c r="C69" s="8" t="s">
        <v>17</v>
      </c>
      <c r="D69" s="8" t="s">
        <v>18</v>
      </c>
      <c r="E69" s="7">
        <f>0</f>
        <v>0</v>
      </c>
      <c r="F69" s="7">
        <f>B69</f>
        <v>-1473.509446</v>
      </c>
    </row>
    <row r="70">
      <c r="A70" s="5" t="s">
        <v>136</v>
      </c>
      <c r="B70" s="7">
        <f>-(Ftruss_applied*7.5+Fbelt_applied*7.5+Fore_applied*7.5+Ffunnell_applied*15)</f>
        <v>839966.1082</v>
      </c>
      <c r="C70" s="8" t="s">
        <v>137</v>
      </c>
      <c r="D70" s="8" t="s">
        <v>86</v>
      </c>
      <c r="E70" s="7">
        <f>B70</f>
        <v>839966.1082</v>
      </c>
      <c r="F70" s="7">
        <f>0</f>
        <v>0</v>
      </c>
    </row>
    <row r="71">
      <c r="A71" s="5" t="s">
        <v>138</v>
      </c>
      <c r="B71" s="7">
        <f>-(Ftruss_applied+Ffunnell_applied+Firon_applied+Fbelt_applied)</f>
        <v>108807.2311</v>
      </c>
      <c r="C71" s="8" t="s">
        <v>137</v>
      </c>
      <c r="D71" s="8" t="s">
        <v>89</v>
      </c>
      <c r="E71" s="7">
        <f>0</f>
        <v>0</v>
      </c>
      <c r="F71" s="7">
        <f>B71</f>
        <v>108807.2311</v>
      </c>
    </row>
    <row r="72">
      <c r="A72" s="17" t="s">
        <v>139</v>
      </c>
      <c r="B72" s="18">
        <f>-Fr_BA</f>
        <v>-546722.6517</v>
      </c>
      <c r="C72" s="19" t="s">
        <v>22</v>
      </c>
      <c r="D72" s="19" t="s">
        <v>80</v>
      </c>
      <c r="E72" s="18">
        <f>B72</f>
        <v>-546722.6517</v>
      </c>
      <c r="F72" s="18">
        <f>0</f>
        <v>0</v>
      </c>
    </row>
    <row r="73">
      <c r="A73" s="17" t="s">
        <v>140</v>
      </c>
      <c r="B73" s="18">
        <f>-Fr_KA</f>
        <v>-309105.7438</v>
      </c>
      <c r="C73" s="19" t="s">
        <v>22</v>
      </c>
      <c r="D73" s="19" t="s">
        <v>69</v>
      </c>
      <c r="E73" s="18">
        <f>(Section_X/Section_XY)*B73</f>
        <v>-293243.4565</v>
      </c>
      <c r="F73" s="18">
        <f>(Section_Y/Section_XY)*B73</f>
        <v>-97747.81883</v>
      </c>
    </row>
    <row r="74">
      <c r="A74" s="9" t="s">
        <v>141</v>
      </c>
      <c r="B74" s="15">
        <f>-B80</f>
        <v>-9585.902813</v>
      </c>
      <c r="C74" s="15" t="s">
        <v>22</v>
      </c>
      <c r="D74" s="15" t="s">
        <v>18</v>
      </c>
      <c r="E74" s="15">
        <v>0.0</v>
      </c>
      <c r="F74" s="15">
        <f>B74</f>
        <v>-9585.902813</v>
      </c>
    </row>
    <row r="75">
      <c r="B75" s="3"/>
      <c r="C75" s="3"/>
      <c r="D75" s="3"/>
      <c r="E75" s="16">
        <f t="shared" ref="E75:F75" si="19">SUM(E69:E74)</f>
        <v>0</v>
      </c>
      <c r="F75" s="16">
        <f t="shared" si="19"/>
        <v>0</v>
      </c>
    </row>
    <row r="76">
      <c r="A76" s="1" t="s">
        <v>142</v>
      </c>
      <c r="B76" s="3"/>
      <c r="C76" s="3"/>
      <c r="D76" s="3"/>
      <c r="E76" s="3"/>
      <c r="F76" s="3"/>
    </row>
    <row r="77">
      <c r="A77" s="5" t="s">
        <v>14</v>
      </c>
      <c r="B77" s="7">
        <f>(Fweight_x+Fweight_y+Fweight_z)+((Fweight_belt_m+Fweight_ore_m)*1.5)</f>
        <v>-9585.902813</v>
      </c>
      <c r="C77" s="8" t="s">
        <v>17</v>
      </c>
      <c r="D77" s="8" t="s">
        <v>18</v>
      </c>
      <c r="E77" s="8">
        <v>0.0</v>
      </c>
      <c r="F77" s="7">
        <f>B77</f>
        <v>-9585.902813</v>
      </c>
    </row>
    <row r="78">
      <c r="A78" s="5" t="s">
        <v>143</v>
      </c>
      <c r="B78" s="7">
        <f>-Fr_Ax</f>
        <v>-839966.1082</v>
      </c>
      <c r="C78" s="8" t="s">
        <v>137</v>
      </c>
      <c r="D78" s="8" t="s">
        <v>69</v>
      </c>
      <c r="E78" s="7">
        <f t="shared" ref="E78:E79" si="20">B78</f>
        <v>-839966.1082</v>
      </c>
      <c r="F78" s="7">
        <f t="shared" ref="F78:F79" si="21">0</f>
        <v>0</v>
      </c>
    </row>
    <row r="79">
      <c r="A79" s="20" t="s">
        <v>144</v>
      </c>
      <c r="B79" s="21">
        <f>-Fr_KL</f>
        <v>839966.1082</v>
      </c>
      <c r="C79" s="22" t="s">
        <v>15</v>
      </c>
      <c r="D79" s="22" t="s">
        <v>86</v>
      </c>
      <c r="E79" s="21">
        <f t="shared" si="20"/>
        <v>839966.1082</v>
      </c>
      <c r="F79" s="21">
        <f t="shared" si="21"/>
        <v>0</v>
      </c>
    </row>
    <row r="80">
      <c r="A80" s="20" t="s">
        <v>145</v>
      </c>
      <c r="B80" s="21">
        <f>-B77</f>
        <v>9585.902813</v>
      </c>
      <c r="C80" s="22" t="s">
        <v>22</v>
      </c>
      <c r="D80" s="22" t="s">
        <v>89</v>
      </c>
      <c r="E80" s="21">
        <f>0</f>
        <v>0</v>
      </c>
      <c r="F80" s="21">
        <f>B80</f>
        <v>9585.902813</v>
      </c>
    </row>
    <row r="81">
      <c r="B81" s="3"/>
      <c r="C81" s="3"/>
      <c r="D81" s="3"/>
      <c r="E81" s="16">
        <f t="shared" ref="E81:F81" si="22">SUM(E77:E80)</f>
        <v>0</v>
      </c>
      <c r="F81" s="16">
        <f t="shared" si="22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86"/>
    <col customWidth="1" min="2" max="2" width="12.14"/>
    <col customWidth="1" min="3" max="3" width="9.0"/>
    <col customWidth="1" min="4" max="4" width="12.43"/>
  </cols>
  <sheetData>
    <row r="1">
      <c r="A1" s="1" t="s">
        <v>3</v>
      </c>
      <c r="B1" s="1" t="s">
        <v>4</v>
      </c>
      <c r="C1" s="1" t="s">
        <v>1</v>
      </c>
      <c r="D1" s="1" t="s">
        <v>9</v>
      </c>
    </row>
    <row r="2">
      <c r="A2" s="4" t="s">
        <v>10</v>
      </c>
      <c r="B2" s="4" t="s">
        <v>15</v>
      </c>
      <c r="C2" s="6">
        <f>Fr_LK</f>
        <v>839966.1082</v>
      </c>
      <c r="D2" s="6">
        <f>C2/Truss!$B$17</f>
        <v>239.9903166</v>
      </c>
    </row>
    <row r="3">
      <c r="A3" s="1" t="s">
        <v>21</v>
      </c>
      <c r="B3" s="1" t="s">
        <v>22</v>
      </c>
      <c r="C3" s="14">
        <f>Fr_KJ</f>
        <v>546722.6517</v>
      </c>
      <c r="D3" s="14">
        <f>C3/Truss!$B$17</f>
        <v>156.2064719</v>
      </c>
    </row>
    <row r="4">
      <c r="A4" s="1" t="s">
        <v>55</v>
      </c>
      <c r="B4" s="1" t="s">
        <v>22</v>
      </c>
      <c r="C4" s="14">
        <f>Fr_JI</f>
        <v>316104.3126</v>
      </c>
      <c r="D4" s="14">
        <f>C4/Truss!$B$17</f>
        <v>90.31551789</v>
      </c>
    </row>
    <row r="5">
      <c r="A5" s="1" t="s">
        <v>56</v>
      </c>
      <c r="B5" s="1" t="s">
        <v>15</v>
      </c>
      <c r="C5" s="14">
        <f>Fr_IH</f>
        <v>148111.091</v>
      </c>
      <c r="D5" s="14">
        <f>C5/Truss!$B$17</f>
        <v>42.31745457</v>
      </c>
    </row>
    <row r="6">
      <c r="A6" s="1" t="s">
        <v>62</v>
      </c>
      <c r="B6" s="1" t="s">
        <v>15</v>
      </c>
      <c r="C6" s="14">
        <f>Fr_HG</f>
        <v>42742.98678</v>
      </c>
      <c r="D6" s="14">
        <f>C6/Truss!$B$17</f>
        <v>12.21228194</v>
      </c>
    </row>
    <row r="7">
      <c r="A7" s="1" t="s">
        <v>65</v>
      </c>
      <c r="B7" s="1" t="s">
        <v>22</v>
      </c>
      <c r="C7" s="14">
        <f>Fr_BA</f>
        <v>546722.6517</v>
      </c>
      <c r="D7" s="14">
        <f>C7/Truss!$B$17</f>
        <v>156.2064719</v>
      </c>
    </row>
    <row r="8">
      <c r="A8" s="1" t="s">
        <v>68</v>
      </c>
      <c r="B8" s="1" t="s">
        <v>22</v>
      </c>
      <c r="C8" s="14">
        <f>Fr_CB</f>
        <v>316104.3126</v>
      </c>
      <c r="D8" s="14">
        <f>C8/Truss!$B$17</f>
        <v>90.31551789</v>
      </c>
    </row>
    <row r="9">
      <c r="A9" s="1" t="s">
        <v>74</v>
      </c>
      <c r="B9" s="1" t="s">
        <v>22</v>
      </c>
      <c r="C9" s="14">
        <f>Fr_DC</f>
        <v>148111.091</v>
      </c>
      <c r="D9" s="14">
        <f>C9/Truss!$B$17</f>
        <v>42.31745457</v>
      </c>
    </row>
    <row r="10">
      <c r="A10" s="1" t="s">
        <v>76</v>
      </c>
      <c r="B10" s="1" t="s">
        <v>22</v>
      </c>
      <c r="C10" s="14">
        <f>Fr_ED</f>
        <v>42742.98678</v>
      </c>
      <c r="D10" s="14">
        <f>C10/Truss!$B$17</f>
        <v>12.21228194</v>
      </c>
    </row>
    <row r="11">
      <c r="A11" s="1" t="s">
        <v>79</v>
      </c>
      <c r="B11" s="1" t="s">
        <v>52</v>
      </c>
      <c r="C11" s="14">
        <f>Fr_EF</f>
        <v>0</v>
      </c>
      <c r="D11" s="14">
        <f>C11/Truss!$B$17</f>
        <v>0</v>
      </c>
    </row>
    <row r="12">
      <c r="A12" s="1" t="s">
        <v>81</v>
      </c>
      <c r="B12" s="1" t="s">
        <v>22</v>
      </c>
      <c r="C12" s="14">
        <f>Fr_LA</f>
        <v>9585.902813</v>
      </c>
      <c r="D12" s="14">
        <f>C12/Truss!$B$17</f>
        <v>2.738829375</v>
      </c>
    </row>
    <row r="13">
      <c r="A13" s="1" t="s">
        <v>83</v>
      </c>
      <c r="B13" s="1" t="s">
        <v>15</v>
      </c>
      <c r="C13" s="14">
        <f>Fr_BK</f>
        <v>78760.88426</v>
      </c>
      <c r="D13" s="14">
        <f>C13/Truss!$B$17</f>
        <v>22.50310979</v>
      </c>
    </row>
    <row r="14">
      <c r="A14" s="1" t="s">
        <v>85</v>
      </c>
      <c r="B14" s="1" t="s">
        <v>15</v>
      </c>
      <c r="C14" s="14">
        <f>Fr_CJ</f>
        <v>57885.84512</v>
      </c>
      <c r="D14" s="14">
        <f>C14/Truss!$B$17</f>
        <v>16.53881289</v>
      </c>
    </row>
    <row r="15">
      <c r="A15" s="1" t="s">
        <v>87</v>
      </c>
      <c r="B15" s="1" t="s">
        <v>15</v>
      </c>
      <c r="C15" s="14">
        <f>Fr_DI</f>
        <v>37010.80597</v>
      </c>
      <c r="D15" s="14">
        <f>C15/Truss!$B$17</f>
        <v>10.57451599</v>
      </c>
    </row>
    <row r="16">
      <c r="A16" s="1" t="s">
        <v>90</v>
      </c>
      <c r="B16" s="1" t="s">
        <v>15</v>
      </c>
      <c r="C16" s="14">
        <f>Fr_EH</f>
        <v>16135.76683</v>
      </c>
      <c r="D16" s="14">
        <f>C16/Truss!$B$17</f>
        <v>4.610219094</v>
      </c>
    </row>
    <row r="17">
      <c r="A17" s="1" t="s">
        <v>92</v>
      </c>
      <c r="B17" s="1" t="s">
        <v>15</v>
      </c>
      <c r="C17" s="14">
        <f>Fr_FG</f>
        <v>4224.737813</v>
      </c>
      <c r="D17" s="14">
        <f>C17/Truss!$B$17</f>
        <v>1.207067946</v>
      </c>
    </row>
    <row r="18">
      <c r="A18" s="1" t="s">
        <v>93</v>
      </c>
      <c r="B18" s="1" t="s">
        <v>22</v>
      </c>
      <c r="C18" s="14">
        <f>Fr_KA</f>
        <v>309105.7438</v>
      </c>
      <c r="D18" s="14">
        <f>C18/Truss!$B$17</f>
        <v>88.31592681</v>
      </c>
    </row>
    <row r="19">
      <c r="A19" s="1" t="s">
        <v>95</v>
      </c>
      <c r="B19" s="1" t="s">
        <v>22</v>
      </c>
      <c r="C19" s="14">
        <f>Fr_JB</f>
        <v>243093.0739</v>
      </c>
      <c r="D19" s="14">
        <f>C19/Truss!$B$17</f>
        <v>69.45516397</v>
      </c>
    </row>
    <row r="20">
      <c r="A20" s="1" t="s">
        <v>97</v>
      </c>
      <c r="B20" s="1" t="s">
        <v>22</v>
      </c>
      <c r="C20" s="14">
        <f>Fr_IC</f>
        <v>177080.4039</v>
      </c>
      <c r="D20" s="14">
        <f>C20/Truss!$B$17</f>
        <v>50.59440113</v>
      </c>
    </row>
    <row r="21">
      <c r="A21" s="1" t="s">
        <v>98</v>
      </c>
      <c r="B21" s="1" t="s">
        <v>22</v>
      </c>
      <c r="C21" s="14">
        <f>Fr_HD</f>
        <v>111067.734</v>
      </c>
      <c r="D21" s="14">
        <f>C21/Truss!$B$17</f>
        <v>31.73363829</v>
      </c>
    </row>
    <row r="22">
      <c r="A22" s="1" t="s">
        <v>99</v>
      </c>
      <c r="B22" s="1" t="s">
        <v>22</v>
      </c>
      <c r="C22" s="14">
        <f>Fr_GE</f>
        <v>45055.06407</v>
      </c>
      <c r="D22" s="14">
        <f>C22/Truss!$B$17</f>
        <v>12.87287545</v>
      </c>
    </row>
    <row r="23">
      <c r="A23" s="1" t="s">
        <v>92</v>
      </c>
      <c r="B23" s="1" t="s">
        <v>15</v>
      </c>
      <c r="C23" s="3">
        <f>Fr_FG</f>
        <v>4224.737813</v>
      </c>
      <c r="D23" s="14">
        <f>C23/Truss!$B$17</f>
        <v>1.207067946</v>
      </c>
    </row>
    <row r="24">
      <c r="A24" s="1" t="s">
        <v>100</v>
      </c>
      <c r="B24" s="1" t="s">
        <v>52</v>
      </c>
      <c r="C24" s="1">
        <v>0.0</v>
      </c>
      <c r="D24" s="1">
        <v>0.0</v>
      </c>
    </row>
  </sheetData>
  <conditionalFormatting sqref="D2:D24">
    <cfRule type="cellIs" dxfId="0" priority="1" operator="greaterThan">
      <formula>"Truss!$B$9"</formula>
    </cfRule>
  </conditionalFormatting>
  <conditionalFormatting sqref="D2:D24">
    <cfRule type="cellIs" dxfId="1" priority="2" operator="lessThan">
      <formula>"Truss!$B$9"</formula>
    </cfRule>
  </conditionalFormatting>
  <drawing r:id="rId1"/>
  <tableParts count="1">
    <tablePart r:id="rId3"/>
  </tableParts>
</worksheet>
</file>