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F14DC0E2-54E4-4C2A-A35C-771BD3C31176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D52" i="1"/>
  <c r="D42" i="1"/>
  <c r="D27" i="1"/>
  <c r="D26" i="1"/>
  <c r="D21" i="1"/>
  <c r="D14" i="1"/>
  <c r="D57" i="1"/>
  <c r="D9" i="1"/>
  <c r="A20" i="5"/>
  <c r="D6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D7" i="5"/>
  <c r="D2" i="5"/>
  <c r="D3" i="5" s="1"/>
  <c r="D9" i="5" l="1"/>
  <c r="D51" i="1" l="1"/>
  <c r="H51" i="1" s="1"/>
  <c r="J51" i="1" l="1"/>
  <c r="M51" i="1"/>
  <c r="G6" i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<sst xmlns="http://schemas.openxmlformats.org/spreadsheetml/2006/main" count="44" uniqueCount="43">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</sst>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0" fontId="0" fillId="5" borderId="2" xfId="0" quotePrefix="1" applyFill="1" applyBorder="1"/>
    <xf numFmtId="0" fontId="0" fillId="5" borderId="2" xfId="0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6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02/06/2025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262555</xdr:colOff>
      <xdr:row>4</xdr:row>
      <xdr:rowOff>63608</xdr:rowOff>
    </xdr:from>
    <xdr:to>
      <xdr:col>15</xdr:col>
      <xdr:colOff>924556</xdr:colOff>
      <xdr:row>15</xdr:row>
      <xdr:rowOff>9517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15,22%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/>
      <sheetData sheetId="1"/>
      <sheetData sheetId="2"/>
      <sheetData sheetId="3"/>
      <sheetData sheetId="4"/>
      <sheetData sheetId="5">
        <row r="23">
          <cell r="D23">
            <v>7574</v>
          </cell>
          <cell r="E23">
            <v>447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18" tableBorderDxfId="17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Normal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115" zoomScaleNormal="115" workbookViewId="0">
      <selection activeCell="I54" sqref="I54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31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6"/>
    </row>
    <row r="2" spans="1:16" x14ac:dyDescent="0.25">
      <c r="G2"/>
      <c r="K2" s="1"/>
      <c r="L2" s="1"/>
      <c r="M2" s="26"/>
      <c r="P2" s="13">
        <f ca="1">TODAY()-1</f>
        <v>45810</v>
      </c>
    </row>
    <row r="3" spans="1:16" x14ac:dyDescent="0.25">
      <c r="G3"/>
      <c r="K3" s="1"/>
      <c r="L3" s="1"/>
      <c r="M3" s="26"/>
    </row>
    <row r="4" spans="1:16" x14ac:dyDescent="0.25">
      <c r="G4"/>
      <c r="K4" s="1"/>
      <c r="L4" s="1"/>
      <c r="M4" s="26"/>
    </row>
    <row r="5" spans="1:16" ht="18.75" x14ac:dyDescent="0.3">
      <c r="E5" s="16">
        <f>E6/D6</f>
        <v>5.2827183435094238E-2</v>
      </c>
      <c r="F5" s="16">
        <f>F6/D6</f>
        <v>7.8311653835943726E-3</v>
      </c>
      <c r="G5" s="16">
        <f>G6/D6</f>
        <v>2.4953543934165118E-2</v>
      </c>
      <c r="J5" s="28">
        <f>J6-'% cOB. caRT'!D9</f>
        <v>-7.6287881076834763E-2</v>
      </c>
      <c r="K5" s="1"/>
      <c r="L5" s="1"/>
      <c r="M5" s="26"/>
    </row>
    <row r="6" spans="1:16" x14ac:dyDescent="0.25">
      <c r="A6" s="33" t="s">
        <v>8</v>
      </c>
      <c r="B6" s="33"/>
      <c r="C6" s="33"/>
      <c r="D6" s="2">
        <f>SUBTOTAL(9,Tabela1[Carteira])</f>
        <v>7534</v>
      </c>
      <c r="E6" s="2">
        <f>SUBTOTAL(9,Tabela1[Bloqueados])</f>
        <v>398</v>
      </c>
      <c r="F6" s="2">
        <f>SUBTOTAL(9,Tabela1[Abertos 2025 2º SEM])</f>
        <v>59</v>
      </c>
      <c r="G6" s="2">
        <f>SUBTOTAL(9,Tabela1[Sem Limite])</f>
        <v>188</v>
      </c>
      <c r="H6" s="2">
        <f>SUBTOTAL(9,Tabela1[Saldo de Carteira])</f>
        <v>7195</v>
      </c>
      <c r="I6" s="2">
        <f>SUBTOTAL(9,Tabela1[cobertura])</f>
        <v>546</v>
      </c>
      <c r="J6" s="28">
        <f>I6/H6</f>
        <v>7.5886031966643508E-2</v>
      </c>
      <c r="K6" s="3">
        <f>SUBTOTAL(101,Tabela1[mix])</f>
        <v>7.8532000000000002</v>
      </c>
      <c r="L6" s="3"/>
      <c r="M6" s="2"/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2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29" t="s">
        <v>41</v>
      </c>
    </row>
    <row r="9" spans="1:16" ht="15" customHeight="1" x14ac:dyDescent="0.25">
      <c r="A9" s="17">
        <v>11</v>
      </c>
      <c r="B9" s="17" t="str">
        <f>VLOOKUP(Tabela1[[#This Row],[Rep]],[1]REPRESENTANTES!$A$3:$D$57,4,0)</f>
        <v>George</v>
      </c>
      <c r="C9" s="11">
        <v>9902</v>
      </c>
      <c r="D9" s="8">
        <f>252-27</f>
        <v>225</v>
      </c>
      <c r="E9" s="8">
        <v>10</v>
      </c>
      <c r="F9" s="8">
        <v>0</v>
      </c>
      <c r="G9" s="14">
        <v>6</v>
      </c>
      <c r="H9" s="8">
        <f>D9-E9+Tabela1[[#This Row],[Abertos 2025 2º SEM]]</f>
        <v>215</v>
      </c>
      <c r="I9" s="8">
        <v>15</v>
      </c>
      <c r="J9" s="12">
        <f t="shared" ref="J9:J59" si="0">I9/H9</f>
        <v>6.9767441860465115E-2</v>
      </c>
      <c r="K9" s="10">
        <v>18.5</v>
      </c>
      <c r="L9" s="10"/>
      <c r="M9" s="29">
        <f>Tabela1[[#This Row],[Saldo de Carteira]]*80%</f>
        <v>172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19</v>
      </c>
      <c r="F10" s="8">
        <v>1</v>
      </c>
      <c r="G10" s="14">
        <v>6</v>
      </c>
      <c r="H10" s="8">
        <f>D10-E10+Tabela1[[#This Row],[Abertos 2025 2º SEM]]</f>
        <v>157</v>
      </c>
      <c r="I10" s="8">
        <v>18</v>
      </c>
      <c r="J10" s="12">
        <f t="shared" si="0"/>
        <v>0.11464968152866242</v>
      </c>
      <c r="K10" s="10">
        <v>12.39</v>
      </c>
      <c r="L10" s="10"/>
      <c r="M10" s="29">
        <f>Tabela1[[#This Row],[Saldo de Carteira]]*80%</f>
        <v>125.60000000000001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7</v>
      </c>
      <c r="F11" s="8">
        <v>0</v>
      </c>
      <c r="G11" s="14">
        <v>0</v>
      </c>
      <c r="H11" s="8">
        <f>D11-E11+Tabela1[[#This Row],[Abertos 2025 2º SEM]]</f>
        <v>104</v>
      </c>
      <c r="I11" s="8">
        <v>7</v>
      </c>
      <c r="J11" s="12">
        <f t="shared" si="0"/>
        <v>6.7307692307692304E-2</v>
      </c>
      <c r="K11" s="10">
        <v>14.14</v>
      </c>
      <c r="L11" s="10"/>
      <c r="M11" s="29">
        <f>Tabela1[[#This Row],[Saldo de Carteira]]*80%</f>
        <v>83.2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11</v>
      </c>
      <c r="F12" s="8">
        <v>1</v>
      </c>
      <c r="G12" s="14">
        <v>3</v>
      </c>
      <c r="H12" s="8">
        <f>D12-E12+Tabela1[[#This Row],[Abertos 2025 2º SEM]]</f>
        <v>174</v>
      </c>
      <c r="I12" s="8">
        <v>14</v>
      </c>
      <c r="J12" s="12">
        <f t="shared" si="0"/>
        <v>8.0459770114942528E-2</v>
      </c>
      <c r="K12" s="10">
        <v>9.07</v>
      </c>
      <c r="L12" s="10"/>
      <c r="M12" s="29">
        <f>Tabela1[[#This Row],[Saldo de Carteira]]*80%</f>
        <v>139.20000000000002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10</v>
      </c>
      <c r="F13" s="8">
        <v>2</v>
      </c>
      <c r="G13" s="14">
        <v>4</v>
      </c>
      <c r="H13" s="8">
        <f>D13-E13+Tabela1[[#This Row],[Abertos 2025 2º SEM]]</f>
        <v>137</v>
      </c>
      <c r="I13" s="8">
        <v>12</v>
      </c>
      <c r="J13" s="12">
        <f t="shared" si="0"/>
        <v>8.7591240875912413E-2</v>
      </c>
      <c r="K13" s="10">
        <v>4.92</v>
      </c>
      <c r="L13" s="10"/>
      <c r="M13" s="29">
        <f>Tabela1[[#This Row],[Saldo de Carteira]]*80%</f>
        <v>109.60000000000001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4</v>
      </c>
      <c r="F14" s="8">
        <v>0</v>
      </c>
      <c r="G14" s="14">
        <v>3</v>
      </c>
      <c r="H14" s="8">
        <f>D14-E14+Tabela1[[#This Row],[Abertos 2025 2º SEM]]</f>
        <v>122</v>
      </c>
      <c r="I14" s="8">
        <v>16</v>
      </c>
      <c r="J14" s="12">
        <f t="shared" si="0"/>
        <v>0.13114754098360656</v>
      </c>
      <c r="K14" s="10">
        <v>13.08</v>
      </c>
      <c r="L14" s="10"/>
      <c r="M14" s="29">
        <f>Tabela1[[#This Row],[Saldo de Carteira]]*80%</f>
        <v>97.600000000000009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3</v>
      </c>
      <c r="F15" s="8">
        <v>2</v>
      </c>
      <c r="G15" s="14">
        <v>6</v>
      </c>
      <c r="H15" s="8">
        <f>D15-E15+Tabela1[[#This Row],[Abertos 2025 2º SEM]]</f>
        <v>143</v>
      </c>
      <c r="I15" s="8">
        <v>4</v>
      </c>
      <c r="J15" s="12">
        <f t="shared" si="0"/>
        <v>2.7972027972027972E-2</v>
      </c>
      <c r="K15" s="10">
        <v>9.25</v>
      </c>
      <c r="L15" s="10"/>
      <c r="M15" s="29">
        <f>Tabela1[[#This Row],[Saldo de Carteira]]*80%</f>
        <v>114.4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12</v>
      </c>
      <c r="F16" s="8">
        <v>0</v>
      </c>
      <c r="G16" s="14">
        <v>2</v>
      </c>
      <c r="H16" s="8">
        <f>D16-E16+Tabela1[[#This Row],[Abertos 2025 2º SEM]]</f>
        <v>94</v>
      </c>
      <c r="I16" s="8">
        <v>15</v>
      </c>
      <c r="J16" s="12">
        <f t="shared" si="0"/>
        <v>0.15957446808510639</v>
      </c>
      <c r="K16" s="10">
        <v>3.6</v>
      </c>
      <c r="L16" s="10"/>
      <c r="M16" s="29">
        <f>Tabela1[[#This Row],[Saldo de Carteira]]*80%</f>
        <v>75.2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1</v>
      </c>
      <c r="G17" s="14">
        <v>3</v>
      </c>
      <c r="H17" s="8">
        <f>D17-E17+Tabela1[[#This Row],[Abertos 2025 2º SEM]]</f>
        <v>63</v>
      </c>
      <c r="I17" s="8">
        <v>5</v>
      </c>
      <c r="J17" s="12">
        <f t="shared" si="0"/>
        <v>7.9365079365079361E-2</v>
      </c>
      <c r="K17" s="10">
        <v>6.8</v>
      </c>
      <c r="L17" s="10"/>
      <c r="M17" s="29">
        <f>Tabela1[[#This Row],[Saldo de Carteira]]*80%</f>
        <v>50.400000000000006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8</v>
      </c>
      <c r="F18" s="8">
        <v>1</v>
      </c>
      <c r="G18" s="14">
        <v>6</v>
      </c>
      <c r="H18" s="8">
        <f>D18-E18+Tabela1[[#This Row],[Abertos 2025 2º SEM]]</f>
        <v>215</v>
      </c>
      <c r="I18" s="8">
        <v>18</v>
      </c>
      <c r="J18" s="12">
        <f t="shared" si="0"/>
        <v>8.3720930232558138E-2</v>
      </c>
      <c r="K18" s="10">
        <v>8.33</v>
      </c>
      <c r="L18" s="10"/>
      <c r="M18" s="29">
        <f>Tabela1[[#This Row],[Saldo de Carteira]]*80%</f>
        <v>172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5</v>
      </c>
      <c r="F19" s="8">
        <v>0</v>
      </c>
      <c r="G19" s="14">
        <v>0</v>
      </c>
      <c r="H19" s="8">
        <f>D19-E19+Tabela1[[#This Row],[Abertos 2025 2º SEM]]</f>
        <v>88</v>
      </c>
      <c r="I19" s="8">
        <v>9</v>
      </c>
      <c r="J19" s="12">
        <f t="shared" si="0"/>
        <v>0.10227272727272728</v>
      </c>
      <c r="K19" s="10">
        <v>4.33</v>
      </c>
      <c r="L19" s="10"/>
      <c r="M19" s="29">
        <f>Tabela1[[#This Row],[Saldo de Carteira]]*80%</f>
        <v>70.400000000000006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5</v>
      </c>
      <c r="F20" s="8">
        <v>4</v>
      </c>
      <c r="G20" s="14">
        <v>8</v>
      </c>
      <c r="H20" s="8">
        <f>D20-E20+Tabela1[[#This Row],[Abertos 2025 2º SEM]]</f>
        <v>85</v>
      </c>
      <c r="I20" s="8">
        <v>11</v>
      </c>
      <c r="J20" s="12">
        <f t="shared" si="0"/>
        <v>0.12941176470588237</v>
      </c>
      <c r="K20" s="10">
        <v>9</v>
      </c>
      <c r="L20" s="10"/>
      <c r="M20" s="29">
        <f>Tabela1[[#This Row],[Saldo de Carteira]]*80%</f>
        <v>68</v>
      </c>
    </row>
    <row r="21" spans="1:13" ht="15" customHeight="1" x14ac:dyDescent="0.25">
      <c r="A21" s="18">
        <v>61</v>
      </c>
      <c r="B21" s="8" t="str">
        <f>VLOOKUP(Tabela1[[#This Row],[Rep]],[1]REPRESENTANTES!$A$3:$D$57,4,0)</f>
        <v>Edmar</v>
      </c>
      <c r="C21" s="8">
        <v>9915</v>
      </c>
      <c r="D21" s="8">
        <f>167-14</f>
        <v>153</v>
      </c>
      <c r="E21" s="8">
        <v>2</v>
      </c>
      <c r="F21" s="8">
        <v>0</v>
      </c>
      <c r="G21" s="14">
        <v>0</v>
      </c>
      <c r="H21" s="8">
        <f>D21-E21+Tabela1[[#This Row],[Abertos 2025 2º SEM]]</f>
        <v>151</v>
      </c>
      <c r="I21" s="8">
        <v>3</v>
      </c>
      <c r="J21" s="12">
        <f t="shared" si="0"/>
        <v>1.9867549668874173E-2</v>
      </c>
      <c r="K21" s="10">
        <v>16.3</v>
      </c>
      <c r="L21" s="10"/>
      <c r="M21" s="29">
        <f>Tabela1[[#This Row],[Saldo de Carteira]]*80%</f>
        <v>120.80000000000001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11</v>
      </c>
      <c r="F22" s="8">
        <v>0</v>
      </c>
      <c r="G22" s="14">
        <v>4</v>
      </c>
      <c r="H22" s="8">
        <f>D22-E22+Tabela1[[#This Row],[Abertos 2025 2º SEM]]</f>
        <v>148</v>
      </c>
      <c r="I22" s="8">
        <v>10</v>
      </c>
      <c r="J22" s="12">
        <f t="shared" si="0"/>
        <v>6.7567567567567571E-2</v>
      </c>
      <c r="K22" s="10">
        <v>6.1</v>
      </c>
      <c r="L22" s="10"/>
      <c r="M22" s="29">
        <f>Tabela1[[#This Row],[Saldo de Carteira]]*80%</f>
        <v>118.4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12</v>
      </c>
      <c r="F23" s="8">
        <v>13</v>
      </c>
      <c r="G23" s="14">
        <v>6</v>
      </c>
      <c r="H23" s="8">
        <f>D23-E23+Tabela1[[#This Row],[Abertos 2025 2º SEM]]</f>
        <v>159</v>
      </c>
      <c r="I23" s="8">
        <v>13</v>
      </c>
      <c r="J23" s="12">
        <f t="shared" si="0"/>
        <v>8.1761006289308172E-2</v>
      </c>
      <c r="K23" s="10">
        <v>7</v>
      </c>
      <c r="L23" s="10"/>
      <c r="M23" s="29">
        <f>Tabela1[[#This Row],[Saldo de Carteira]]*80%</f>
        <v>127.2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14</v>
      </c>
      <c r="F24" s="8">
        <v>1</v>
      </c>
      <c r="G24" s="14">
        <v>8</v>
      </c>
      <c r="H24" s="8">
        <f>D24-E24+Tabela1[[#This Row],[Abertos 2025 2º SEM]]</f>
        <v>216</v>
      </c>
      <c r="I24" s="8">
        <v>16</v>
      </c>
      <c r="J24" s="12">
        <f t="shared" si="0"/>
        <v>7.407407407407407E-2</v>
      </c>
      <c r="K24" s="10">
        <v>11.56</v>
      </c>
      <c r="L24" s="10"/>
      <c r="M24" s="29">
        <f>Tabela1[[#This Row],[Saldo de Carteira]]*80%</f>
        <v>172.8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3</v>
      </c>
      <c r="F25" s="8">
        <v>0</v>
      </c>
      <c r="G25" s="14">
        <v>1</v>
      </c>
      <c r="H25" s="8">
        <f>D25-E25+Tabela1[[#This Row],[Abertos 2025 2º SEM]]</f>
        <v>103</v>
      </c>
      <c r="I25" s="8">
        <v>17</v>
      </c>
      <c r="J25" s="12">
        <f t="shared" si="0"/>
        <v>0.1650485436893204</v>
      </c>
      <c r="K25" s="10">
        <v>4</v>
      </c>
      <c r="L25" s="10"/>
      <c r="M25" s="29">
        <f>Tabela1[[#This Row],[Saldo de Carteira]]*80%</f>
        <v>82.4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1</v>
      </c>
      <c r="F26" s="8">
        <v>0</v>
      </c>
      <c r="G26" s="14">
        <v>2</v>
      </c>
      <c r="H26" s="8">
        <f>D26-E26+Tabela1[[#This Row],[Abertos 2025 2º SEM]]</f>
        <v>90</v>
      </c>
      <c r="I26" s="8">
        <v>4</v>
      </c>
      <c r="J26" s="12">
        <f t="shared" si="0"/>
        <v>4.4444444444444446E-2</v>
      </c>
      <c r="K26" s="10">
        <v>7</v>
      </c>
      <c r="L26" s="10"/>
      <c r="M26" s="29">
        <f>Tabela1[[#This Row],[Saldo de Carteira]]*80%</f>
        <v>72</v>
      </c>
    </row>
    <row r="27" spans="1:13" ht="15" customHeight="1" x14ac:dyDescent="0.25">
      <c r="A27" s="8">
        <v>261</v>
      </c>
      <c r="B27" s="8" t="s">
        <v>26</v>
      </c>
      <c r="C27" s="8">
        <v>9915</v>
      </c>
      <c r="D27" s="8">
        <f>168-49</f>
        <v>119</v>
      </c>
      <c r="E27" s="8">
        <v>10</v>
      </c>
      <c r="F27" s="8">
        <v>1</v>
      </c>
      <c r="G27" s="14">
        <v>7</v>
      </c>
      <c r="H27" s="8">
        <f>D27-E27+Tabela1[[#This Row],[Abertos 2025 2º SEM]]</f>
        <v>110</v>
      </c>
      <c r="I27" s="8">
        <v>15</v>
      </c>
      <c r="J27" s="12">
        <f t="shared" si="0"/>
        <v>0.13636363636363635</v>
      </c>
      <c r="K27" s="10">
        <v>5</v>
      </c>
      <c r="L27" s="10"/>
      <c r="M27" s="29">
        <f>Tabela1[[#This Row],[Saldo de Carteira]]*80%</f>
        <v>88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16</v>
      </c>
      <c r="F28" s="8">
        <v>0</v>
      </c>
      <c r="G28" s="14">
        <v>5</v>
      </c>
      <c r="H28" s="8">
        <f>D28-E28+Tabela1[[#This Row],[Abertos 2025 2º SEM]]</f>
        <v>162</v>
      </c>
      <c r="I28" s="8">
        <v>14</v>
      </c>
      <c r="J28" s="12">
        <f t="shared" si="0"/>
        <v>8.6419753086419748E-2</v>
      </c>
      <c r="K28" s="10">
        <v>7.71</v>
      </c>
      <c r="L28" s="10"/>
      <c r="M28" s="29">
        <f>Tabela1[[#This Row],[Saldo de Carteira]]*80%</f>
        <v>129.6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3</v>
      </c>
      <c r="F29" s="8">
        <v>0</v>
      </c>
      <c r="G29" s="14">
        <v>0</v>
      </c>
      <c r="H29" s="8">
        <f>D29-E29+Tabela1[[#This Row],[Abertos 2025 2º SEM]]</f>
        <v>124</v>
      </c>
      <c r="I29" s="8">
        <v>4</v>
      </c>
      <c r="J29" s="12">
        <f t="shared" si="0"/>
        <v>3.2258064516129031E-2</v>
      </c>
      <c r="K29" s="10">
        <v>18.25</v>
      </c>
      <c r="L29" s="10"/>
      <c r="M29" s="29">
        <f>Tabela1[[#This Row],[Saldo de Carteira]]*80%</f>
        <v>99.2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9</v>
      </c>
      <c r="F30" s="8">
        <v>5</v>
      </c>
      <c r="G30" s="14">
        <v>1</v>
      </c>
      <c r="H30" s="8">
        <f>D30-E30+Tabela1[[#This Row],[Abertos 2025 2º SEM]]</f>
        <v>253</v>
      </c>
      <c r="I30" s="8">
        <v>6</v>
      </c>
      <c r="J30" s="12">
        <f t="shared" si="0"/>
        <v>2.3715415019762844E-2</v>
      </c>
      <c r="K30" s="10">
        <v>6.33</v>
      </c>
      <c r="L30" s="10"/>
      <c r="M30" s="29">
        <f>Tabela1[[#This Row],[Saldo de Carteira]]*80%</f>
        <v>202.4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15</v>
      </c>
      <c r="J31" s="12">
        <f t="shared" si="0"/>
        <v>0.10948905109489052</v>
      </c>
      <c r="K31" s="10">
        <v>6.13</v>
      </c>
      <c r="L31" s="10"/>
      <c r="M31" s="29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6</v>
      </c>
      <c r="F32" s="8">
        <v>1</v>
      </c>
      <c r="G32" s="14">
        <v>2</v>
      </c>
      <c r="H32" s="8">
        <f>D32-E32+Tabela1[[#This Row],[Abertos 2025 2º SEM]]</f>
        <v>112</v>
      </c>
      <c r="I32" s="8">
        <v>6</v>
      </c>
      <c r="J32" s="12">
        <f t="shared" si="0"/>
        <v>5.3571428571428568E-2</v>
      </c>
      <c r="K32" s="10">
        <v>13.5</v>
      </c>
      <c r="L32" s="10"/>
      <c r="M32" s="29">
        <f>Tabela1[[#This Row],[Saldo de Carteira]]*80%</f>
        <v>89.600000000000009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6</v>
      </c>
      <c r="F33" s="8">
        <v>0</v>
      </c>
      <c r="G33" s="14">
        <v>3</v>
      </c>
      <c r="H33" s="8">
        <f>D33-E33+Tabela1[[#This Row],[Abertos 2025 2º SEM]]</f>
        <v>254</v>
      </c>
      <c r="I33" s="8">
        <v>7</v>
      </c>
      <c r="J33" s="12">
        <f t="shared" si="0"/>
        <v>2.7559055118110236E-2</v>
      </c>
      <c r="K33" s="10">
        <v>5.43</v>
      </c>
      <c r="L33" s="10"/>
      <c r="M33" s="29">
        <f>Tabela1[[#This Row],[Saldo de Carteira]]*80%</f>
        <v>203.20000000000002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0</v>
      </c>
      <c r="G34" s="14">
        <v>4</v>
      </c>
      <c r="H34" s="8">
        <f>D34-E34+Tabela1[[#This Row],[Abertos 2025 2º SEM]]</f>
        <v>173</v>
      </c>
      <c r="I34" s="8">
        <v>21</v>
      </c>
      <c r="J34" s="12">
        <f t="shared" si="0"/>
        <v>0.12138728323699421</v>
      </c>
      <c r="K34" s="10">
        <v>6.48</v>
      </c>
      <c r="L34" s="10"/>
      <c r="M34" s="29">
        <f>Tabela1[[#This Row],[Saldo de Carteira]]*80%</f>
        <v>138.4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11</v>
      </c>
      <c r="F35" s="8">
        <v>0</v>
      </c>
      <c r="G35" s="14">
        <v>2</v>
      </c>
      <c r="H35" s="8">
        <f>D35-E35+Tabela1[[#This Row],[Abertos 2025 2º SEM]]</f>
        <v>111</v>
      </c>
      <c r="I35" s="8">
        <v>12</v>
      </c>
      <c r="J35" s="12">
        <f t="shared" si="0"/>
        <v>0.10810810810810811</v>
      </c>
      <c r="K35" s="10">
        <v>11.25</v>
      </c>
      <c r="L35" s="10"/>
      <c r="M35" s="29">
        <f>Tabela1[[#This Row],[Saldo de Carteira]]*80%</f>
        <v>88.800000000000011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15</v>
      </c>
      <c r="F36" s="8">
        <v>0</v>
      </c>
      <c r="G36" s="14">
        <v>4</v>
      </c>
      <c r="H36" s="8">
        <f>D36-E36+Tabela1[[#This Row],[Abertos 2025 2º SEM]]</f>
        <v>257</v>
      </c>
      <c r="I36" s="8">
        <v>21</v>
      </c>
      <c r="J36" s="12">
        <f t="shared" si="0"/>
        <v>8.171206225680934E-2</v>
      </c>
      <c r="K36" s="10">
        <v>8</v>
      </c>
      <c r="L36" s="10"/>
      <c r="M36" s="29">
        <f>Tabela1[[#This Row],[Saldo de Carteira]]*80%</f>
        <v>205.60000000000002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9</v>
      </c>
      <c r="F37" s="8">
        <v>4</v>
      </c>
      <c r="G37" s="14">
        <v>6</v>
      </c>
      <c r="H37" s="8">
        <f>D37-E37+Tabela1[[#This Row],[Abertos 2025 2º SEM]]</f>
        <v>168</v>
      </c>
      <c r="I37" s="8">
        <v>10</v>
      </c>
      <c r="J37" s="12">
        <f t="shared" si="0"/>
        <v>5.9523809523809521E-2</v>
      </c>
      <c r="K37" s="10">
        <v>4</v>
      </c>
      <c r="L37" s="10"/>
      <c r="M37" s="29">
        <f>Tabela1[[#This Row],[Saldo de Carteira]]*80%</f>
        <v>134.4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134</v>
      </c>
      <c r="E38" s="8">
        <v>16</v>
      </c>
      <c r="F38" s="8">
        <v>0</v>
      </c>
      <c r="G38" s="14">
        <v>4</v>
      </c>
      <c r="H38" s="8">
        <f>D38-E38+Tabela1[[#This Row],[Abertos 2025 2º SEM]]</f>
        <v>118</v>
      </c>
      <c r="I38" s="8">
        <v>6</v>
      </c>
      <c r="J38" s="12">
        <f t="shared" si="0"/>
        <v>5.0847457627118647E-2</v>
      </c>
      <c r="K38" s="10">
        <v>6.33</v>
      </c>
      <c r="L38" s="10"/>
      <c r="M38" s="29">
        <f>Tabela1[[#This Row],[Saldo de Carteira]]*80%</f>
        <v>94.4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10</v>
      </c>
      <c r="F39" s="8">
        <v>1</v>
      </c>
      <c r="G39" s="14">
        <v>7</v>
      </c>
      <c r="H39" s="8">
        <f>D39-E39+Tabela1[[#This Row],[Abertos 2025 2º SEM]]</f>
        <v>159</v>
      </c>
      <c r="I39" s="8">
        <v>15</v>
      </c>
      <c r="J39" s="12">
        <f t="shared" si="0"/>
        <v>9.4339622641509441E-2</v>
      </c>
      <c r="K39" s="10">
        <v>5</v>
      </c>
      <c r="L39" s="10"/>
      <c r="M39" s="29">
        <f>Tabela1[[#This Row],[Saldo de Carteira]]*80%</f>
        <v>127.2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317</v>
      </c>
      <c r="E40" s="8">
        <v>19</v>
      </c>
      <c r="F40" s="8">
        <v>1</v>
      </c>
      <c r="G40" s="14">
        <v>7</v>
      </c>
      <c r="H40" s="8">
        <f>D40-E40+Tabela1[[#This Row],[Abertos 2025 2º SEM]]</f>
        <v>299</v>
      </c>
      <c r="I40" s="8">
        <v>5</v>
      </c>
      <c r="J40" s="12">
        <f t="shared" si="0"/>
        <v>1.6722408026755852E-2</v>
      </c>
      <c r="K40" s="10">
        <v>9.9</v>
      </c>
      <c r="L40" s="10"/>
      <c r="M40" s="29">
        <f>Tabela1[[#This Row],[Saldo de Carteira]]*80%</f>
        <v>239.20000000000002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7</v>
      </c>
      <c r="F41" s="8">
        <v>0</v>
      </c>
      <c r="G41" s="14">
        <v>0</v>
      </c>
      <c r="H41" s="8">
        <f>D41-E41+Tabela1[[#This Row],[Abertos 2025 2º SEM]]</f>
        <v>123</v>
      </c>
      <c r="I41" s="8">
        <v>11</v>
      </c>
      <c r="J41" s="12">
        <f t="shared" si="0"/>
        <v>8.943089430894309E-2</v>
      </c>
      <c r="K41" s="10">
        <v>9.18</v>
      </c>
      <c r="L41" s="10"/>
      <c r="M41" s="29">
        <f>Tabela1[[#This Row],[Saldo de Carteira]]*80%</f>
        <v>98.4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2</v>
      </c>
      <c r="F42" s="8">
        <v>0</v>
      </c>
      <c r="G42" s="14">
        <v>6</v>
      </c>
      <c r="H42" s="8">
        <f>D42-E42+Tabela1[[#This Row],[Abertos 2025 2º SEM]]</f>
        <v>77</v>
      </c>
      <c r="I42" s="8">
        <v>4</v>
      </c>
      <c r="J42" s="12">
        <f t="shared" si="0"/>
        <v>5.1948051948051951E-2</v>
      </c>
      <c r="K42" s="10">
        <v>4.5</v>
      </c>
      <c r="L42" s="10"/>
      <c r="M42" s="29">
        <f>Tabela1[[#This Row],[Saldo de Carteira]]*80%</f>
        <v>61.6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40</v>
      </c>
      <c r="F43" s="8">
        <v>3</v>
      </c>
      <c r="G43" s="14">
        <v>5</v>
      </c>
      <c r="H43" s="8">
        <f>D43-E43+Tabela1[[#This Row],[Abertos 2025 2º SEM]]</f>
        <v>169</v>
      </c>
      <c r="I43" s="8">
        <v>12</v>
      </c>
      <c r="J43" s="12">
        <f t="shared" si="0"/>
        <v>7.1005917159763315E-2</v>
      </c>
      <c r="K43" s="10">
        <v>6.42</v>
      </c>
      <c r="L43" s="10"/>
      <c r="M43" s="29">
        <f>Tabela1[[#This Row],[Saldo de Carteira]]*80%</f>
        <v>135.20000000000002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15</v>
      </c>
      <c r="F44" s="8">
        <v>1</v>
      </c>
      <c r="G44" s="14">
        <v>1</v>
      </c>
      <c r="H44" s="8">
        <f>D44-E44+Tabela1[[#This Row],[Abertos 2025 2º SEM]]</f>
        <v>199</v>
      </c>
      <c r="I44" s="8">
        <v>19</v>
      </c>
      <c r="J44" s="12">
        <f t="shared" si="0"/>
        <v>9.5477386934673364E-2</v>
      </c>
      <c r="K44" s="10">
        <v>3.79</v>
      </c>
      <c r="L44" s="10"/>
      <c r="M44" s="29">
        <f>Tabela1[[#This Row],[Saldo de Carteira]]*80%</f>
        <v>159.20000000000002</v>
      </c>
    </row>
    <row r="45" spans="1:13" ht="15" customHeight="1" x14ac:dyDescent="0.25">
      <c r="A45" s="8">
        <v>322</v>
      </c>
      <c r="B45" s="8" t="s">
        <v>37</v>
      </c>
      <c r="C45" s="8">
        <v>9907</v>
      </c>
      <c r="D45" s="8">
        <f>80-3+58</f>
        <v>135</v>
      </c>
      <c r="E45" s="8">
        <v>0</v>
      </c>
      <c r="F45" s="8">
        <v>0</v>
      </c>
      <c r="G45" s="14">
        <v>0</v>
      </c>
      <c r="H45" s="8">
        <f>D45-E45+Tabela1[[#This Row],[Abertos 2025 2º SEM]]</f>
        <v>135</v>
      </c>
      <c r="I45" s="8">
        <v>0</v>
      </c>
      <c r="J45" s="12">
        <f t="shared" si="0"/>
        <v>0</v>
      </c>
      <c r="K45" s="10">
        <v>0</v>
      </c>
      <c r="L45" s="10"/>
      <c r="M45" s="29">
        <f>Tabela1[[#This Row],[Saldo de Carteira]]*80%</f>
        <v>108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3</v>
      </c>
      <c r="F46" s="8">
        <v>1</v>
      </c>
      <c r="G46" s="14">
        <v>3</v>
      </c>
      <c r="H46" s="8">
        <f>D46-E46+Tabela1[[#This Row],[Abertos 2025 2º SEM]]</f>
        <v>101</v>
      </c>
      <c r="I46" s="8">
        <v>7</v>
      </c>
      <c r="J46" s="12">
        <f t="shared" si="0"/>
        <v>6.9306930693069313E-2</v>
      </c>
      <c r="K46" s="10">
        <v>4.43</v>
      </c>
      <c r="L46" s="10"/>
      <c r="M46" s="29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0</v>
      </c>
      <c r="G47" s="14">
        <v>0</v>
      </c>
      <c r="H47" s="8">
        <f>D47-E47+Tabela1[[#This Row],[Abertos 2025 2º SEM]]</f>
        <v>162</v>
      </c>
      <c r="I47" s="8">
        <v>3</v>
      </c>
      <c r="J47" s="12">
        <f t="shared" si="0"/>
        <v>1.8518518518518517E-2</v>
      </c>
      <c r="K47" s="10">
        <v>3.87</v>
      </c>
      <c r="L47" s="10"/>
      <c r="M47" s="29">
        <f>Tabela1[[#This Row],[Saldo de Carteira]]*80%</f>
        <v>129.6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31</v>
      </c>
      <c r="F48" s="8">
        <v>2</v>
      </c>
      <c r="G48" s="14">
        <v>0</v>
      </c>
      <c r="H48" s="8">
        <f>D48-E48+Tabela1[[#This Row],[Abertos 2025 2º SEM]]</f>
        <v>118</v>
      </c>
      <c r="I48" s="8">
        <v>7</v>
      </c>
      <c r="J48" s="12">
        <f t="shared" si="0"/>
        <v>5.9322033898305086E-2</v>
      </c>
      <c r="K48" s="10">
        <v>7.57</v>
      </c>
      <c r="L48" s="10"/>
      <c r="M48" s="29">
        <f>Tabela1[[#This Row],[Saldo de Carteira]]*80%</f>
        <v>94.4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3</v>
      </c>
      <c r="F49" s="8">
        <v>0</v>
      </c>
      <c r="G49" s="14">
        <v>2</v>
      </c>
      <c r="H49" s="8">
        <f>D49-E49+Tabela1[[#This Row],[Abertos 2025 2º SEM]]</f>
        <v>114</v>
      </c>
      <c r="I49" s="8">
        <v>20</v>
      </c>
      <c r="J49" s="12">
        <f t="shared" si="0"/>
        <v>0.17543859649122806</v>
      </c>
      <c r="K49" s="10">
        <v>4.55</v>
      </c>
      <c r="L49" s="10"/>
      <c r="M49" s="29">
        <f>Tabela1[[#This Row],[Saldo de Carteira]]*80%</f>
        <v>91.2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2</v>
      </c>
      <c r="G50" s="14">
        <v>2</v>
      </c>
      <c r="H50" s="8">
        <f>D50-E50+Tabela1[[#This Row],[Abertos 2025 2º SEM]]</f>
        <v>137</v>
      </c>
      <c r="I50" s="8">
        <v>6</v>
      </c>
      <c r="J50" s="12">
        <f t="shared" si="0"/>
        <v>4.3795620437956206E-2</v>
      </c>
      <c r="K50" s="10">
        <v>8.33</v>
      </c>
      <c r="L50" s="10"/>
      <c r="M50" s="29">
        <f>Tabela1[[#This Row],[Saldo de Carteira]]*80%</f>
        <v>109.60000000000001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2</v>
      </c>
      <c r="F51" s="8">
        <v>1</v>
      </c>
      <c r="G51" s="14">
        <v>1</v>
      </c>
      <c r="H51" s="8">
        <f>D51-E51+Tabela1[[#This Row],[Abertos 2025 2º SEM]]</f>
        <v>93</v>
      </c>
      <c r="I51" s="8">
        <v>3</v>
      </c>
      <c r="J51" s="12">
        <f t="shared" si="0"/>
        <v>3.2258064516129031E-2</v>
      </c>
      <c r="K51" s="10">
        <v>14.33</v>
      </c>
      <c r="L51" s="10"/>
      <c r="M51" s="29">
        <f>Tabela1[[#This Row],[Saldo de Carteira]]*80%</f>
        <v>74.400000000000006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2</v>
      </c>
      <c r="F52" s="8">
        <v>2</v>
      </c>
      <c r="G52" s="14">
        <v>0</v>
      </c>
      <c r="H52" s="8">
        <f>D52-E52+Tabela1[[#This Row],[Abertos 2025 2º SEM]]</f>
        <v>78</v>
      </c>
      <c r="I52" s="8">
        <v>19</v>
      </c>
      <c r="J52" s="12">
        <f t="shared" si="0"/>
        <v>0.24358974358974358</v>
      </c>
      <c r="K52" s="10">
        <v>5.4</v>
      </c>
      <c r="L52" s="10"/>
      <c r="M52" s="29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38</v>
      </c>
      <c r="C53" s="8">
        <v>9914</v>
      </c>
      <c r="D53" s="8">
        <v>135</v>
      </c>
      <c r="E53" s="8">
        <v>6</v>
      </c>
      <c r="F53" s="8">
        <v>1</v>
      </c>
      <c r="G53" s="14">
        <v>1</v>
      </c>
      <c r="H53" s="8">
        <f>D53-E53+Tabela1[[#This Row],[Abertos 2025 2º SEM]]</f>
        <v>130</v>
      </c>
      <c r="I53" s="8">
        <v>16</v>
      </c>
      <c r="J53" s="12">
        <f t="shared" si="0"/>
        <v>0.12307692307692308</v>
      </c>
      <c r="K53" s="10">
        <v>7.56</v>
      </c>
      <c r="L53" s="10"/>
      <c r="M53" s="29">
        <f>Tabela1[[#This Row],[Saldo de Carteira]]*80%</f>
        <v>104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/>
      <c r="E54" s="8">
        <v>0</v>
      </c>
      <c r="F54" s="8">
        <v>0</v>
      </c>
      <c r="G54" s="14">
        <v>0</v>
      </c>
      <c r="H54" s="8">
        <f>D54-E54+Tabela1[[#This Row],[Abertos 2025 2º SEM]]</f>
        <v>0</v>
      </c>
      <c r="I54" s="8">
        <v>5</v>
      </c>
      <c r="J54" s="12" t="e">
        <f>I54/H54</f>
        <v>#DIV/0!</v>
      </c>
      <c r="K54" s="10">
        <v>4.4000000000000004</v>
      </c>
      <c r="L54" s="10"/>
      <c r="M54" s="29">
        <f>Tabela1[[#This Row],[Saldo de Carteira]]*80%</f>
        <v>0</v>
      </c>
    </row>
    <row r="55" spans="1:13" x14ac:dyDescent="0.25">
      <c r="A55" s="8">
        <v>311</v>
      </c>
      <c r="B55" s="8" t="s">
        <v>32</v>
      </c>
      <c r="C55" s="8">
        <v>9917</v>
      </c>
      <c r="D55" s="8">
        <v>101</v>
      </c>
      <c r="E55" s="8">
        <v>2</v>
      </c>
      <c r="F55" s="8">
        <v>0</v>
      </c>
      <c r="G55" s="14">
        <v>4</v>
      </c>
      <c r="H55" s="8">
        <f>D55-E55+Tabela1[[#This Row],[Abertos 2025 2º SEM]]</f>
        <v>99</v>
      </c>
      <c r="I55" s="8"/>
      <c r="J55" s="12">
        <f t="shared" si="0"/>
        <v>0</v>
      </c>
      <c r="K55" s="10"/>
      <c r="L55" s="10"/>
      <c r="M55" s="29">
        <f>Tabela1[[#This Row],[Saldo de Carteira]]*80%</f>
        <v>79.2</v>
      </c>
    </row>
    <row r="56" spans="1:13" ht="15" customHeight="1" x14ac:dyDescent="0.25">
      <c r="A56" s="8">
        <v>315</v>
      </c>
      <c r="B56" s="8" t="s">
        <v>33</v>
      </c>
      <c r="C56" s="8">
        <v>9907</v>
      </c>
      <c r="D56" s="8">
        <f>158-36</f>
        <v>122</v>
      </c>
      <c r="E56" s="8">
        <v>2</v>
      </c>
      <c r="F56" s="8">
        <v>3</v>
      </c>
      <c r="G56" s="14">
        <v>0</v>
      </c>
      <c r="H56" s="8">
        <f>D56-E56+Tabela1[[#This Row],[Abertos 2025 2º SEM]]</f>
        <v>123</v>
      </c>
      <c r="I56" s="8">
        <v>19</v>
      </c>
      <c r="J56" s="12">
        <f t="shared" si="0"/>
        <v>0.15447154471544716</v>
      </c>
      <c r="K56" s="10">
        <v>5</v>
      </c>
      <c r="L56" s="10"/>
      <c r="M56" s="29">
        <f>Tabela1[[#This Row],[Saldo de Carteira]]*80%</f>
        <v>98.4</v>
      </c>
    </row>
    <row r="57" spans="1:13" ht="15" customHeight="1" x14ac:dyDescent="0.25">
      <c r="A57" s="8">
        <v>316</v>
      </c>
      <c r="B57" s="8" t="s">
        <v>34</v>
      </c>
      <c r="C57" s="8">
        <v>9902</v>
      </c>
      <c r="D57" s="8">
        <f>85-49</f>
        <v>36</v>
      </c>
      <c r="E57" s="8">
        <v>5</v>
      </c>
      <c r="F57" s="8">
        <v>4</v>
      </c>
      <c r="G57" s="14">
        <v>16</v>
      </c>
      <c r="H57" s="8">
        <f>D57-E57+Tabela1[[#This Row],[Abertos 2025 2º SEM]]</f>
        <v>35</v>
      </c>
      <c r="I57" s="8" t="s">
        <v>42</v>
      </c>
      <c r="J57" s="12" t="e">
        <f t="shared" si="0"/>
        <v>#VALUE!</v>
      </c>
      <c r="K57" s="10">
        <v>6.29</v>
      </c>
      <c r="L57" s="10"/>
      <c r="M57" s="29">
        <f>Tabela1[[#This Row],[Saldo de Carteira]]*80%</f>
        <v>28</v>
      </c>
    </row>
    <row r="58" spans="1:13" ht="15" customHeight="1" x14ac:dyDescent="0.25">
      <c r="A58" s="18">
        <v>317</v>
      </c>
      <c r="B58" s="8" t="s">
        <v>35</v>
      </c>
      <c r="C58" s="8">
        <v>9902</v>
      </c>
      <c r="D58" s="8">
        <v>265</v>
      </c>
      <c r="E58" s="8">
        <v>1</v>
      </c>
      <c r="F58" s="8">
        <v>0</v>
      </c>
      <c r="G58" s="14">
        <v>11</v>
      </c>
      <c r="H58" s="8">
        <f>D58-E58+Tabela1[[#This Row],[Abertos 2025 2º SEM]]</f>
        <v>264</v>
      </c>
      <c r="I58" s="8">
        <v>22</v>
      </c>
      <c r="J58" s="12">
        <f t="shared" si="0"/>
        <v>8.3333333333333329E-2</v>
      </c>
      <c r="K58" s="10">
        <v>14.25</v>
      </c>
      <c r="L58" s="10"/>
      <c r="M58" s="29">
        <f>Tabela1[[#This Row],[Saldo de Carteira]]*80%</f>
        <v>211.20000000000002</v>
      </c>
    </row>
    <row r="59" spans="1:13" ht="15" customHeight="1" x14ac:dyDescent="0.25">
      <c r="A59" s="8">
        <v>320</v>
      </c>
      <c r="B59" s="8" t="s">
        <v>36</v>
      </c>
      <c r="C59" s="8">
        <v>9915</v>
      </c>
      <c r="D59" s="8">
        <v>137</v>
      </c>
      <c r="E59" s="8">
        <v>0</v>
      </c>
      <c r="F59" s="8">
        <v>0</v>
      </c>
      <c r="G59" s="14">
        <v>14</v>
      </c>
      <c r="H59" s="8">
        <f>D59-E59+Tabela1[[#This Row],[Abertos 2025 2º SEM]]</f>
        <v>137</v>
      </c>
      <c r="I59" s="8">
        <v>9</v>
      </c>
      <c r="J59" s="12">
        <f t="shared" si="0"/>
        <v>6.569343065693431E-2</v>
      </c>
      <c r="K59" s="10">
        <v>4.1100000000000003</v>
      </c>
      <c r="L59" s="10"/>
      <c r="M59" s="29">
        <f>Tabela1[[#This Row],[Saldo de Carteira]]*80%</f>
        <v>109.60000000000001</v>
      </c>
    </row>
    <row r="60" spans="1:13" ht="15" customHeight="1" x14ac:dyDescent="0.25">
      <c r="G60"/>
      <c r="J60" s="19"/>
      <c r="K60" s="20"/>
      <c r="L60" s="20"/>
      <c r="M60" s="30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0.15</formula>
    </cfRule>
  </conditionalFormatting>
  <conditionalFormatting sqref="J5:J60">
    <cfRule type="cellIs" dxfId="20" priority="2" operator="lessThan">
      <formula>0.1199</formula>
    </cfRule>
    <cfRule type="cellIs" dxfId="19" priority="3" operator="between">
      <formula>0.12</formula>
      <formula>0.1499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topLeftCell="A13" zoomScale="220" zoomScaleNormal="220" workbookViewId="0">
      <selection activeCell="A21" sqref="A21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21" t="s">
        <v>10</v>
      </c>
      <c r="B1" s="21" t="s">
        <v>11</v>
      </c>
      <c r="D1" s="22">
        <v>1</v>
      </c>
    </row>
    <row r="2" spans="1:8" x14ac:dyDescent="0.25">
      <c r="A2" s="23">
        <v>45597</v>
      </c>
      <c r="B2" s="24">
        <v>21</v>
      </c>
      <c r="D2">
        <f>SUM(B2:B8)</f>
        <v>138</v>
      </c>
    </row>
    <row r="3" spans="1:8" x14ac:dyDescent="0.25">
      <c r="A3" s="23">
        <v>45627</v>
      </c>
      <c r="B3" s="24">
        <v>16</v>
      </c>
      <c r="D3" s="25">
        <f>D1/D2</f>
        <v>7.246376811594203E-3</v>
      </c>
    </row>
    <row r="4" spans="1:8" x14ac:dyDescent="0.25">
      <c r="A4" s="24" t="s">
        <v>12</v>
      </c>
      <c r="B4" s="24">
        <v>20</v>
      </c>
      <c r="H4">
        <v>0</v>
      </c>
    </row>
    <row r="5" spans="1:8" x14ac:dyDescent="0.25">
      <c r="A5" s="24" t="s">
        <v>13</v>
      </c>
      <c r="B5" s="24">
        <v>20</v>
      </c>
    </row>
    <row r="6" spans="1:8" x14ac:dyDescent="0.25">
      <c r="A6" s="24" t="s">
        <v>14</v>
      </c>
      <c r="B6" s="24">
        <v>21</v>
      </c>
      <c r="D6">
        <f>SUM(B8)</f>
        <v>21</v>
      </c>
    </row>
    <row r="7" spans="1:8" x14ac:dyDescent="0.25">
      <c r="A7" s="24" t="s">
        <v>15</v>
      </c>
      <c r="B7" s="24">
        <v>19</v>
      </c>
      <c r="D7">
        <f>SUM(D5:D6)</f>
        <v>21</v>
      </c>
    </row>
    <row r="8" spans="1:8" x14ac:dyDescent="0.25">
      <c r="A8" s="24" t="s">
        <v>16</v>
      </c>
      <c r="B8" s="24">
        <v>21</v>
      </c>
    </row>
    <row r="9" spans="1:8" x14ac:dyDescent="0.25">
      <c r="A9" s="24" t="s">
        <v>17</v>
      </c>
      <c r="B9" s="24">
        <v>21</v>
      </c>
      <c r="D9" s="25">
        <f>D7*D3</f>
        <v>0.15217391304347827</v>
      </c>
    </row>
    <row r="10" spans="1:8" x14ac:dyDescent="0.25">
      <c r="A10" s="24" t="s">
        <v>18</v>
      </c>
      <c r="B10" s="24">
        <v>23</v>
      </c>
    </row>
    <row r="11" spans="1:8" x14ac:dyDescent="0.25">
      <c r="A11" s="24" t="s">
        <v>19</v>
      </c>
      <c r="B11" s="24">
        <v>21</v>
      </c>
    </row>
    <row r="12" spans="1:8" x14ac:dyDescent="0.25">
      <c r="A12" s="24" t="s">
        <v>20</v>
      </c>
      <c r="B12" s="24">
        <v>22</v>
      </c>
    </row>
    <row r="13" spans="1:8" x14ac:dyDescent="0.25">
      <c r="A13" s="24" t="s">
        <v>21</v>
      </c>
      <c r="B13" s="24">
        <v>23</v>
      </c>
    </row>
    <row r="14" spans="1:8" x14ac:dyDescent="0.25">
      <c r="A14" s="24" t="s">
        <v>22</v>
      </c>
      <c r="B14" s="24">
        <v>20</v>
      </c>
    </row>
    <row r="15" spans="1:8" x14ac:dyDescent="0.25">
      <c r="A15" s="24" t="s">
        <v>23</v>
      </c>
      <c r="B15" s="24">
        <v>0</v>
      </c>
    </row>
    <row r="17" spans="1:1" x14ac:dyDescent="0.25">
      <c r="A17">
        <f>[2]Ausentes!D23*'% cOB. caRT'!D9</f>
        <v>1152.5652173913045</v>
      </c>
    </row>
    <row r="18" spans="1:1" x14ac:dyDescent="0.25">
      <c r="A18" s="26">
        <f>A17-[2]Ausentes!E23</f>
        <v>705.56521739130449</v>
      </c>
    </row>
    <row r="20" spans="1:1" x14ac:dyDescent="0.25">
      <c r="A20" s="27">
        <f ca="1">TODAY()-2</f>
        <v>45809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2025-06-03T10:31:33Z</dcterms:modified>
</cp:coreProperties>
</file>