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4E39930D-0713-49DD-86A0-D12412219ADA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cobertura!$A$9:$K$9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D24" i="1" l="1"/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3" i="1"/>
  <c r="H54" i="1"/>
  <c r="H55" i="1"/>
  <c r="H57" i="1"/>
  <c r="H58" i="1"/>
  <c r="H59" i="1"/>
  <c r="H10" i="1" l="1"/>
  <c r="A20" i="5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1" i="1"/>
  <c r="B32" i="1"/>
  <c r="B33" i="1"/>
  <c r="B34" i="1"/>
  <c r="B35" i="1"/>
  <c r="B36" i="1"/>
  <c r="B37" i="1"/>
  <c r="B38" i="1"/>
  <c r="B40" i="1"/>
  <c r="B41" i="1"/>
  <c r="B42" i="1"/>
  <c r="B43" i="1"/>
  <c r="B45" i="1"/>
  <c r="B47" i="1"/>
  <c r="B50" i="1"/>
  <c r="B51" i="1"/>
  <c r="B52" i="1"/>
  <c r="B53" i="1"/>
  <c r="D56" i="1"/>
  <c r="H56" i="1" s="1"/>
  <c r="D46" i="1"/>
  <c r="H46" i="1" s="1"/>
  <c r="D30" i="1"/>
  <c r="H30" i="1" s="1"/>
  <c r="I7" i="1" l="1"/>
  <c r="D7" i="5"/>
  <c r="D2" i="5"/>
  <c r="D3" i="5" s="1"/>
  <c r="D9" i="5" l="1"/>
  <c r="D52" i="1" l="1"/>
  <c r="H52" i="1" s="1"/>
  <c r="G7" i="1" l="1"/>
  <c r="F7" i="1" l="1"/>
  <c r="E7" i="1"/>
  <c r="D7" i="1"/>
  <c r="H7" i="1" l="1"/>
  <c r="A17" i="5" l="1"/>
  <c r="A18" i="5" s="1"/>
</calcChain>
</file>

<file path=xl/sharedStrings.xml><?xml version="1.0" encoding="utf-8"?>
<sst xmlns="http://schemas.openxmlformats.org/spreadsheetml/2006/main" count="54" uniqueCount="53">
  <si>
    <t>Rep</t>
  </si>
  <si>
    <t>Carteira</t>
  </si>
  <si>
    <t>Bloqueados</t>
  </si>
  <si>
    <t>Saldo de Carteira</t>
  </si>
  <si>
    <t>cobertura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</si>
  <si>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</si>
  <si>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</si>
  <si>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</si>
  <si>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</si>
  <si>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</si>
  <si>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</si>
  <si>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</si>
  <si>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</si>
  <si>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</si>
  <si>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</si>
  <si>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</si>
  <si>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</si>
  <si>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</si>
  <si>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</si>
  <si>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</si>
  <si>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</si>
  <si>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</si>
  <si>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</si>
  <si>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</si>
  <si>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</si>
  <si>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</si>
  <si>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</si>
  <si>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</si>
  <si>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</si>
  <si>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</si>
  <si>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Wagner</t>
  </si>
  <si>
    <t>Alexandre</t>
  </si>
  <si>
    <t>Lilian</t>
  </si>
  <si>
    <t>Junior</t>
  </si>
  <si>
    <t>Leandro</t>
  </si>
  <si>
    <t>Fernando</t>
  </si>
  <si>
    <t>Cicero</t>
  </si>
  <si>
    <t>Abertos 2025 2º SEM</t>
  </si>
  <si>
    <t>Possiveis</t>
  </si>
  <si>
    <t>Municipios</t>
  </si>
  <si>
    <t>Região</t>
  </si>
  <si>
    <t>AM/RR</t>
  </si>
  <si>
    <t>SE/AL</t>
  </si>
  <si>
    <t>SP/PA</t>
  </si>
  <si>
    <t>BA</t>
  </si>
  <si>
    <t>AC/RO</t>
  </si>
  <si>
    <t>PE</t>
  </si>
  <si>
    <t>CE</t>
  </si>
  <si>
    <t>MA</t>
  </si>
  <si>
    <t>PB/RN</t>
  </si>
  <si>
    <t>PI</t>
  </si>
  <si>
    <t>B2B - NN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</si>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</sst>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0" fontId="0" fillId="0" borderId="2" xfId="0" applyBorder="1"/>
    <xf numFmtId="0" fontId="1" fillId="0" borderId="2" xfId="0" applyFont="1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4" borderId="2" xfId="0" quotePrefix="1" applyFill="1" applyBorder="1"/>
    <xf numFmtId="0" fontId="0" fillId="4" borderId="2" xfId="0" applyFill="1" applyBorder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3"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44442" cy="59330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0" y="0"/>
          <a:ext cx="7244442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32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POR REPRESENTANTE</a:t>
          </a:r>
          <a:endParaRPr lang="pt-BR" sz="32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twoCellAnchor editAs="absolute">
    <xdr:from>
      <xdr:col>6</xdr:col>
      <xdr:colOff>801397</xdr:colOff>
      <xdr:row>0</xdr:row>
      <xdr:rowOff>5443</xdr:rowOff>
    </xdr:from>
    <xdr:to>
      <xdr:col>10</xdr:col>
      <xdr:colOff>653142</xdr:colOff>
      <xdr:row>5</xdr:row>
      <xdr:rowOff>143220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1854" y="5443"/>
              <a:ext cx="3040549" cy="10902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3">
          <cell r="D23" t="e">
            <v>#N/A</v>
          </cell>
          <cell r="E23">
            <v>310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9:L60" totalsRowCount="1" headerRowDxfId="12" tableBorderDxfId="11">
  <autoFilter ref="A9:L59" xr:uid="{2C699080-BB77-4B73-A408-C4AABE6B398B}"/>
  <tableColumns count="12">
    <tableColumn id="1" xr3:uid="{2E103CB5-8552-4DFF-8DFF-D7107D28CA72}" name="Rep" dataDxfId="10"/>
    <tableColumn id="11" xr3:uid="{DC53BAE2-FEFB-4577-8C31-8C708160F4AE}" name="Nome Rep." dataDxfId="9"/>
    <tableColumn id="9" xr3:uid="{98443E25-9A69-4DD4-BEF1-083F32064E92}" name="Supervisor" dataDxfId="8"/>
    <tableColumn id="2" xr3:uid="{313671CC-B700-48CF-9572-F301644DDCBF}" name="Carteira" dataDxfId="7"/>
    <tableColumn id="3" xr3:uid="{99AB9EB0-9D28-4F16-99B2-865263D09091}" name="Bloqueados" dataDxfId="6"/>
    <tableColumn id="8" xr3:uid="{3F77B725-1A7B-4337-AFEC-F2B0738A84A9}" name="Abertos 2025 2º SEM" dataDxfId="5"/>
    <tableColumn id="10" xr3:uid="{B161C5DE-CB19-4197-B530-CF605C61AEE8}" name="Sem Limite" dataDxfId="4"/>
    <tableColumn id="4" xr3:uid="{7DF927DB-FC14-493C-8860-08E3337FCB7E}" name="Saldo de Carteira" dataDxfId="3">
      <calculatedColumnFormula>D10-E10+Tabela1[[#This Row],[Abertos 2025 2º SEM]]</calculatedColumnFormula>
    </tableColumn>
    <tableColumn id="5" xr3:uid="{39FC1898-2573-42E0-BC52-C9F93D1A1B69}" name="cobertura" dataDxfId="2"/>
    <tableColumn id="13" xr3:uid="{1957A98E-0BF4-4631-9D5E-53C8A1F1C35B}" name="Possiveis" dataDxfId="1"/>
    <tableColumn id="12" xr3:uid="{4630280F-73C2-44AE-B11E-2F4521494666}" name="Municipios" dataDxfId="0"/>
    <tableColumn id="6" xr3:uid="{4A1AF6D9-2ED5-4099-A769-9BCBAAA8DE5A}" name="Regiã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L62"/>
  <sheetViews>
    <sheetView showGridLines="0" tabSelected="1" zoomScale="115" zoomScaleNormal="115" workbookViewId="0">
      <selection activeCell="G54" sqref="G54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11" max="11" width="13.140625" bestFit="1" customWidth="1"/>
  </cols>
  <sheetData>
    <row r="1" spans="1:12" x14ac:dyDescent="0.25">
      <c r="G1"/>
    </row>
    <row r="2" spans="1:12" x14ac:dyDescent="0.25">
      <c r="G2"/>
    </row>
    <row r="3" spans="1:12" x14ac:dyDescent="0.25">
      <c r="G3"/>
    </row>
    <row r="4" spans="1:12" x14ac:dyDescent="0.25">
      <c r="G4"/>
    </row>
    <row r="5" spans="1:12" x14ac:dyDescent="0.25">
      <c r="G5"/>
    </row>
    <row r="6" spans="1:12" x14ac:dyDescent="0.25">
      <c r="G6"/>
    </row>
    <row r="7" spans="1:12" x14ac:dyDescent="0.25">
      <c r="A7" s="19" t="s">
        <v>6</v>
      </c>
      <c r="B7" s="19"/>
      <c r="C7" s="19"/>
      <c r="D7" s="2">
        <f>SUBTOTAL(9,Tabela1[Carteira])</f>
        <v>7706</v>
      </c>
      <c r="E7" s="2">
        <f>SUBTOTAL(9,Tabela1[Bloqueados])</f>
        <v>130</v>
      </c>
      <c r="F7" s="2">
        <f>SUBTOTAL(9,Tabela1[Abertos 2025 2º SEM])</f>
        <v>36</v>
      </c>
      <c r="G7" s="2">
        <f>SUBTOTAL(9,Tabela1[Sem Limite])</f>
        <v>104</v>
      </c>
      <c r="H7" s="2">
        <f>SUBTOTAL(9,Tabela1[Saldo de Carteira])</f>
        <v>7612</v>
      </c>
      <c r="I7" s="2">
        <f>SUBTOTAL(9,Tabela1[cobertura])</f>
        <v>3053</v>
      </c>
      <c r="J7" s="2">
        <f>SUBTOTAL(9,Tabela1[Possiveis])</f>
        <v>3765</v>
      </c>
      <c r="K7" s="2">
        <f>SUBTOTAL(9,Tabela1[Municipios])</f>
        <v>4594</v>
      </c>
    </row>
    <row r="8" spans="1:12" x14ac:dyDescent="0.25">
      <c r="A8" s="3"/>
      <c r="B8" s="3"/>
      <c r="C8" s="3"/>
      <c r="D8" s="4"/>
      <c r="E8" s="4"/>
      <c r="F8" s="4"/>
      <c r="G8" s="4"/>
      <c r="H8" s="4"/>
      <c r="I8" s="4"/>
      <c r="J8" s="4"/>
      <c r="K8" s="4"/>
    </row>
    <row r="9" spans="1:12" x14ac:dyDescent="0.25">
      <c r="A9" s="5" t="s">
        <v>0</v>
      </c>
      <c r="B9" s="5" t="s">
        <v>22</v>
      </c>
      <c r="C9" s="6" t="s">
        <v>5</v>
      </c>
      <c r="D9" s="5" t="s">
        <v>1</v>
      </c>
      <c r="E9" s="5" t="s">
        <v>2</v>
      </c>
      <c r="F9" s="5" t="s">
        <v>37</v>
      </c>
      <c r="G9" s="9" t="s">
        <v>7</v>
      </c>
      <c r="H9" s="5" t="s">
        <v>3</v>
      </c>
      <c r="I9" s="5" t="s">
        <v>4</v>
      </c>
      <c r="J9" s="5" t="s">
        <v>38</v>
      </c>
      <c r="K9" s="5" t="s">
        <v>39</v>
      </c>
      <c r="L9" s="9" t="s">
        <v>40</v>
      </c>
    </row>
    <row r="10" spans="1:12" ht="15" customHeight="1" x14ac:dyDescent="0.25">
      <c r="A10" s="10">
        <v>11</v>
      </c>
      <c r="B10" s="10" t="str">
        <f>VLOOKUP(Tabela1[[#This Row],[Rep]],[1]REPRESENTANTES!$A$3:$D$57,4,0)</f>
        <v>George</v>
      </c>
      <c r="C10" s="7">
        <v>9902</v>
      </c>
      <c r="D10" s="5">
        <v>252</v>
      </c>
      <c r="E10" s="5">
        <v>0</v>
      </c>
      <c r="F10" s="5"/>
      <c r="G10" s="8">
        <v>1</v>
      </c>
      <c r="H10" s="5">
        <f>D10-E10+Tabela1[[#This Row],[Abertos 2025 2º SEM]]</f>
        <v>252</v>
      </c>
      <c r="I10" s="5">
        <v>92</v>
      </c>
      <c r="J10" s="5">
        <v>65</v>
      </c>
      <c r="K10" s="5">
        <v>190</v>
      </c>
    </row>
    <row r="11" spans="1:12" ht="15" customHeight="1" x14ac:dyDescent="0.25">
      <c r="A11" s="5">
        <v>15</v>
      </c>
      <c r="B11" s="5" t="str">
        <f>VLOOKUP(Tabela1[[#This Row],[Rep]],[1]REPRESENTANTES!$A$3:$D$57,4,0)</f>
        <v>Paulo Bier</v>
      </c>
      <c r="C11" s="5">
        <v>9914</v>
      </c>
      <c r="D11" s="5">
        <v>175</v>
      </c>
      <c r="E11" s="5">
        <v>3</v>
      </c>
      <c r="F11" s="5">
        <v>1</v>
      </c>
      <c r="G11" s="8">
        <v>0</v>
      </c>
      <c r="H11" s="5">
        <f>D11-E11+Tabela1[[#This Row],[Abertos 2025 2º SEM]]</f>
        <v>173</v>
      </c>
      <c r="I11" s="5">
        <v>49</v>
      </c>
      <c r="J11" s="5">
        <v>18</v>
      </c>
      <c r="K11" s="5">
        <v>62</v>
      </c>
      <c r="L11" t="s">
        <v>41</v>
      </c>
    </row>
    <row r="12" spans="1:12" x14ac:dyDescent="0.25">
      <c r="A12" s="5">
        <v>19</v>
      </c>
      <c r="B12" s="5" t="str">
        <f>VLOOKUP(Tabela1[[#This Row],[Rep]],[1]REPRESENTANTES!$A$3:$D$57,4,0)</f>
        <v>Hamilton</v>
      </c>
      <c r="C12" s="5">
        <v>9917</v>
      </c>
      <c r="D12" s="5">
        <v>111</v>
      </c>
      <c r="E12" s="5">
        <v>4</v>
      </c>
      <c r="F12" s="5"/>
      <c r="G12" s="8">
        <v>0</v>
      </c>
      <c r="H12" s="5">
        <f>D12-E12+Tabela1[[#This Row],[Abertos 2025 2º SEM]]</f>
        <v>107</v>
      </c>
      <c r="I12" s="5">
        <v>65</v>
      </c>
      <c r="J12" s="5">
        <v>80</v>
      </c>
      <c r="K12" s="5">
        <v>80</v>
      </c>
    </row>
    <row r="13" spans="1:12" ht="15" customHeight="1" x14ac:dyDescent="0.25">
      <c r="A13" s="5">
        <v>23</v>
      </c>
      <c r="B13" s="5" t="str">
        <f>VLOOKUP(Tabela1[[#This Row],[Rep]],[1]REPRESENTANTES!$A$3:$D$57,4,0)</f>
        <v xml:space="preserve">Marcos </v>
      </c>
      <c r="C13" s="5">
        <v>9907</v>
      </c>
      <c r="D13" s="5">
        <v>184</v>
      </c>
      <c r="E13" s="5">
        <v>2</v>
      </c>
      <c r="F13" s="5">
        <v>1</v>
      </c>
      <c r="G13" s="8">
        <v>1</v>
      </c>
      <c r="H13" s="5">
        <f>D13-E13+Tabela1[[#This Row],[Abertos 2025 2º SEM]]</f>
        <v>183</v>
      </c>
      <c r="I13" s="5">
        <v>99</v>
      </c>
      <c r="J13" s="5">
        <v>22</v>
      </c>
      <c r="K13" s="5">
        <v>2</v>
      </c>
    </row>
    <row r="14" spans="1:12" ht="15" customHeight="1" x14ac:dyDescent="0.25">
      <c r="A14" s="5">
        <v>31</v>
      </c>
      <c r="B14" s="5" t="str">
        <f>VLOOKUP(Tabela1[[#This Row],[Rep]],[1]REPRESENTANTES!$A$3:$D$57,4,0)</f>
        <v>Marcos Vinicio</v>
      </c>
      <c r="C14" s="5">
        <v>9914</v>
      </c>
      <c r="D14" s="5">
        <v>145</v>
      </c>
      <c r="E14" s="5">
        <v>2</v>
      </c>
      <c r="F14" s="5">
        <v>1</v>
      </c>
      <c r="G14" s="8">
        <v>2</v>
      </c>
      <c r="H14" s="5">
        <f>D14-E14+Tabela1[[#This Row],[Abertos 2025 2º SEM]]</f>
        <v>144</v>
      </c>
      <c r="I14" s="5">
        <v>67</v>
      </c>
      <c r="J14" s="5">
        <v>54</v>
      </c>
      <c r="K14" s="5">
        <v>177</v>
      </c>
      <c r="L14" t="s">
        <v>42</v>
      </c>
    </row>
    <row r="15" spans="1:12" ht="15" customHeight="1" x14ac:dyDescent="0.25">
      <c r="A15" s="5">
        <v>34</v>
      </c>
      <c r="B15" s="5" t="str">
        <f>VLOOKUP(Tabela1[[#This Row],[Rep]],[1]REPRESENTANTES!$A$3:$D$57,4,0)</f>
        <v>Fabricio</v>
      </c>
      <c r="C15" s="5">
        <v>9915</v>
      </c>
      <c r="D15" s="5">
        <v>129</v>
      </c>
      <c r="E15" s="5">
        <v>2</v>
      </c>
      <c r="F15" s="5"/>
      <c r="G15" s="8">
        <v>2</v>
      </c>
      <c r="H15" s="5">
        <f>D15-E15+Tabela1[[#This Row],[Abertos 2025 2º SEM]]</f>
        <v>127</v>
      </c>
      <c r="I15" s="5">
        <v>65</v>
      </c>
      <c r="J15" s="5">
        <v>0</v>
      </c>
      <c r="K15" s="5">
        <v>85</v>
      </c>
    </row>
    <row r="16" spans="1:12" ht="15" customHeight="1" x14ac:dyDescent="0.25">
      <c r="A16" s="5">
        <v>38</v>
      </c>
      <c r="B16" s="5" t="str">
        <f>VLOOKUP(Tabela1[[#This Row],[Rep]],[1]REPRESENTANTES!$A$3:$D$57,4,0)</f>
        <v>Maul</v>
      </c>
      <c r="C16" s="5">
        <v>9915</v>
      </c>
      <c r="D16" s="5">
        <v>144</v>
      </c>
      <c r="E16" s="5">
        <v>0</v>
      </c>
      <c r="F16" s="5"/>
      <c r="G16" s="8">
        <v>1</v>
      </c>
      <c r="H16" s="5">
        <f>D16-E16+Tabela1[[#This Row],[Abertos 2025 2º SEM]]</f>
        <v>144</v>
      </c>
      <c r="I16" s="5">
        <v>56</v>
      </c>
      <c r="J16" s="5">
        <v>0</v>
      </c>
      <c r="K16" s="5">
        <v>179</v>
      </c>
    </row>
    <row r="17" spans="1:12" ht="15" customHeight="1" x14ac:dyDescent="0.25">
      <c r="A17" s="5">
        <v>39</v>
      </c>
      <c r="B17" s="5" t="str">
        <f>VLOOKUP(Tabela1[[#This Row],[Rep]],[1]REPRESENTANTES!$A$3:$D$57,4,0)</f>
        <v>Carlos Veloso</v>
      </c>
      <c r="C17" s="5">
        <v>9916</v>
      </c>
      <c r="D17" s="5">
        <v>106</v>
      </c>
      <c r="E17" s="5">
        <v>0</v>
      </c>
      <c r="F17" s="5"/>
      <c r="G17" s="8">
        <v>0</v>
      </c>
      <c r="H17" s="5">
        <f>D17-E17+Tabela1[[#This Row],[Abertos 2025 2º SEM]]</f>
        <v>106</v>
      </c>
      <c r="I17" s="5">
        <v>38</v>
      </c>
      <c r="J17" s="5">
        <v>0</v>
      </c>
      <c r="K17" s="5">
        <v>0</v>
      </c>
    </row>
    <row r="18" spans="1:12" x14ac:dyDescent="0.25">
      <c r="A18" s="5">
        <v>41</v>
      </c>
      <c r="B18" s="5" t="str">
        <f>VLOOKUP(Tabela1[[#This Row],[Rep]],[1]REPRESENTANTES!$A$3:$D$57,4,0)</f>
        <v>Reginaldo</v>
      </c>
      <c r="C18" s="5">
        <v>9917</v>
      </c>
      <c r="D18" s="5">
        <v>64</v>
      </c>
      <c r="E18" s="5">
        <v>0</v>
      </c>
      <c r="F18" s="5"/>
      <c r="G18" s="8">
        <v>0</v>
      </c>
      <c r="H18" s="5">
        <f>D18-E18+Tabela1[[#This Row],[Abertos 2025 2º SEM]]</f>
        <v>64</v>
      </c>
      <c r="I18" s="5">
        <v>25</v>
      </c>
      <c r="J18" s="5">
        <v>38</v>
      </c>
      <c r="K18" s="5">
        <v>35</v>
      </c>
    </row>
    <row r="19" spans="1:12" ht="15" customHeight="1" x14ac:dyDescent="0.25">
      <c r="A19" s="5">
        <v>45</v>
      </c>
      <c r="B19" s="5" t="str">
        <f>VLOOKUP(Tabela1[[#This Row],[Rep]],[1]REPRESENTANTES!$A$3:$D$57,4,0)</f>
        <v>Airto</v>
      </c>
      <c r="C19" s="5">
        <v>9907</v>
      </c>
      <c r="D19" s="5">
        <v>222</v>
      </c>
      <c r="E19" s="5">
        <v>3</v>
      </c>
      <c r="F19" s="5">
        <v>3</v>
      </c>
      <c r="G19" s="8">
        <v>3</v>
      </c>
      <c r="H19" s="5">
        <f>D19-E19+Tabela1[[#This Row],[Abertos 2025 2º SEM]]</f>
        <v>222</v>
      </c>
      <c r="I19" s="5">
        <v>113</v>
      </c>
      <c r="J19" s="5">
        <v>41</v>
      </c>
      <c r="K19" s="5">
        <v>295</v>
      </c>
    </row>
    <row r="20" spans="1:12" ht="15" customHeight="1" x14ac:dyDescent="0.25">
      <c r="A20" s="5">
        <v>46</v>
      </c>
      <c r="B20" s="5" t="str">
        <f>VLOOKUP(Tabela1[[#This Row],[Rep]],[1]REPRESENTANTES!$A$3:$D$57,4,0)</f>
        <v>Sergio</v>
      </c>
      <c r="C20" s="5">
        <v>9907</v>
      </c>
      <c r="D20" s="5">
        <v>93</v>
      </c>
      <c r="E20" s="5">
        <v>0</v>
      </c>
      <c r="F20" s="5">
        <v>1</v>
      </c>
      <c r="G20" s="8">
        <v>0</v>
      </c>
      <c r="H20" s="5">
        <f>D20-E20+Tabela1[[#This Row],[Abertos 2025 2º SEM]]</f>
        <v>94</v>
      </c>
      <c r="I20" s="5">
        <v>37</v>
      </c>
      <c r="J20" s="5">
        <v>172</v>
      </c>
      <c r="K20" s="5">
        <v>34</v>
      </c>
    </row>
    <row r="21" spans="1:12" ht="15" customHeight="1" x14ac:dyDescent="0.25">
      <c r="A21" s="5">
        <v>53</v>
      </c>
      <c r="B21" s="5" t="str">
        <f>VLOOKUP(Tabela1[[#This Row],[Rep]],[1]REPRESENTANTES!$A$3:$D$57,4,0)</f>
        <v xml:space="preserve">Odelon </v>
      </c>
      <c r="C21" s="5">
        <v>9914</v>
      </c>
      <c r="D21" s="5">
        <v>86</v>
      </c>
      <c r="E21" s="5">
        <v>0</v>
      </c>
      <c r="F21" s="5"/>
      <c r="G21" s="8">
        <v>1</v>
      </c>
      <c r="H21" s="5">
        <f>D21-E21+Tabela1[[#This Row],[Abertos 2025 2º SEM]]</f>
        <v>86</v>
      </c>
      <c r="I21" s="5">
        <v>39</v>
      </c>
      <c r="J21" s="5">
        <v>98</v>
      </c>
      <c r="K21" s="5">
        <v>64</v>
      </c>
      <c r="L21" t="s">
        <v>43</v>
      </c>
    </row>
    <row r="22" spans="1:12" ht="15" customHeight="1" x14ac:dyDescent="0.25">
      <c r="A22" s="11">
        <v>61</v>
      </c>
      <c r="B22" s="5" t="str">
        <f>VLOOKUP(Tabela1[[#This Row],[Rep]],[1]REPRESENTANTES!$A$3:$D$57,4,0)</f>
        <v>Edmar</v>
      </c>
      <c r="C22" s="5">
        <v>9915</v>
      </c>
      <c r="D22" s="5">
        <v>167</v>
      </c>
      <c r="E22" s="5">
        <v>1</v>
      </c>
      <c r="F22" s="5"/>
      <c r="G22" s="8">
        <v>0</v>
      </c>
      <c r="H22" s="5">
        <f>D22-E22+Tabela1[[#This Row],[Abertos 2025 2º SEM]]</f>
        <v>166</v>
      </c>
      <c r="I22" s="5">
        <v>81</v>
      </c>
      <c r="J22" s="5">
        <v>0</v>
      </c>
      <c r="K22" s="5">
        <v>158</v>
      </c>
    </row>
    <row r="23" spans="1:12" ht="15" customHeight="1" x14ac:dyDescent="0.25">
      <c r="A23" s="5">
        <v>65</v>
      </c>
      <c r="B23" s="5" t="str">
        <f>VLOOKUP(Tabela1[[#This Row],[Rep]],[1]REPRESENTANTES!$A$3:$D$57,4,0)</f>
        <v>Neiron</v>
      </c>
      <c r="C23" s="5">
        <v>9902</v>
      </c>
      <c r="D23" s="5">
        <v>159</v>
      </c>
      <c r="E23" s="5">
        <v>4</v>
      </c>
      <c r="F23" s="5">
        <v>2</v>
      </c>
      <c r="G23" s="8">
        <v>1</v>
      </c>
      <c r="H23" s="5">
        <f>D23-E23+Tabela1[[#This Row],[Abertos 2025 2º SEM]]</f>
        <v>157</v>
      </c>
      <c r="I23" s="5">
        <v>60</v>
      </c>
      <c r="J23" s="5">
        <v>99</v>
      </c>
      <c r="K23" s="5">
        <v>63</v>
      </c>
    </row>
    <row r="24" spans="1:12" ht="15" customHeight="1" x14ac:dyDescent="0.25">
      <c r="A24" s="5">
        <v>74</v>
      </c>
      <c r="B24" s="5" t="str">
        <f>VLOOKUP(Tabela1[[#This Row],[Rep]],[1]REPRESENTANTES!$A$3:$D$57,4,0)</f>
        <v>Max</v>
      </c>
      <c r="C24" s="5">
        <v>9907</v>
      </c>
      <c r="D24" s="5">
        <f>240-82</f>
        <v>158</v>
      </c>
      <c r="E24" s="5">
        <v>9</v>
      </c>
      <c r="F24" s="5"/>
      <c r="G24" s="8">
        <v>1</v>
      </c>
      <c r="H24" s="5">
        <f>D24-E24+Tabela1[[#This Row],[Abertos 2025 2º SEM]]</f>
        <v>149</v>
      </c>
      <c r="I24" s="5">
        <v>91</v>
      </c>
      <c r="J24" s="5">
        <v>271</v>
      </c>
      <c r="K24" s="5">
        <v>155</v>
      </c>
    </row>
    <row r="25" spans="1:12" ht="15" customHeight="1" x14ac:dyDescent="0.25">
      <c r="A25" s="5">
        <v>93</v>
      </c>
      <c r="B25" s="5" t="str">
        <f>VLOOKUP(Tabela1[[#This Row],[Rep]],[1]REPRESENTANTES!$A$3:$D$57,4,0)</f>
        <v>Anderson</v>
      </c>
      <c r="C25" s="5">
        <v>9907</v>
      </c>
      <c r="D25" s="5">
        <v>229</v>
      </c>
      <c r="E25" s="5">
        <v>0</v>
      </c>
      <c r="F25" s="5">
        <v>5</v>
      </c>
      <c r="G25" s="8">
        <v>3</v>
      </c>
      <c r="H25" s="5">
        <f>D25-E25+Tabela1[[#This Row],[Abertos 2025 2º SEM]]</f>
        <v>234</v>
      </c>
      <c r="I25" s="5">
        <v>99</v>
      </c>
      <c r="J25" s="5">
        <v>154</v>
      </c>
      <c r="K25" s="5">
        <v>109</v>
      </c>
    </row>
    <row r="26" spans="1:12" x14ac:dyDescent="0.25">
      <c r="A26" s="5">
        <v>143</v>
      </c>
      <c r="B26" s="5" t="str">
        <f>VLOOKUP(Tabela1[[#This Row],[Rep]],[1]REPRESENTANTES!$A$3:$D$57,4,0)</f>
        <v>Marcelo</v>
      </c>
      <c r="C26" s="5">
        <v>9917</v>
      </c>
      <c r="D26" s="5">
        <v>106</v>
      </c>
      <c r="E26" s="5">
        <v>2</v>
      </c>
      <c r="F26" s="5"/>
      <c r="G26" s="8">
        <v>0</v>
      </c>
      <c r="H26" s="5">
        <f>D26-E26+Tabela1[[#This Row],[Abertos 2025 2º SEM]]</f>
        <v>104</v>
      </c>
      <c r="I26" s="5">
        <v>51</v>
      </c>
      <c r="J26" s="5">
        <v>54</v>
      </c>
      <c r="K26" s="5">
        <v>54</v>
      </c>
    </row>
    <row r="27" spans="1:12" ht="15" customHeight="1" x14ac:dyDescent="0.25">
      <c r="A27" s="5">
        <v>167</v>
      </c>
      <c r="B27" s="5" t="str">
        <f>VLOOKUP(Tabela1[[#This Row],[Rep]],[1]REPRESENTANTES!$A$3:$D$57,4,0)</f>
        <v>Cassiano</v>
      </c>
      <c r="C27" s="5">
        <v>9915</v>
      </c>
      <c r="D27" s="5">
        <v>99</v>
      </c>
      <c r="E27" s="5">
        <v>1</v>
      </c>
      <c r="F27" s="5"/>
      <c r="G27" s="8">
        <v>1</v>
      </c>
      <c r="H27" s="5">
        <f>D27-E27+Tabela1[[#This Row],[Abertos 2025 2º SEM]]</f>
        <v>98</v>
      </c>
      <c r="I27" s="5">
        <v>43</v>
      </c>
      <c r="J27" s="5">
        <v>277</v>
      </c>
      <c r="K27" s="5">
        <v>78</v>
      </c>
    </row>
    <row r="28" spans="1:12" ht="15" customHeight="1" x14ac:dyDescent="0.25">
      <c r="A28" s="5">
        <v>261</v>
      </c>
      <c r="B28" s="5" t="s">
        <v>24</v>
      </c>
      <c r="C28" s="5">
        <v>9915</v>
      </c>
      <c r="D28" s="5">
        <v>168</v>
      </c>
      <c r="E28" s="5">
        <v>0</v>
      </c>
      <c r="F28" s="5"/>
      <c r="G28" s="8">
        <v>0</v>
      </c>
      <c r="H28" s="5">
        <f>D28-E28+Tabela1[[#This Row],[Abertos 2025 2º SEM]]</f>
        <v>168</v>
      </c>
      <c r="I28" s="5">
        <v>83</v>
      </c>
      <c r="J28" s="5">
        <v>119</v>
      </c>
      <c r="K28" s="5">
        <v>79</v>
      </c>
    </row>
    <row r="29" spans="1:12" ht="15" customHeight="1" x14ac:dyDescent="0.25">
      <c r="A29" s="5">
        <v>178</v>
      </c>
      <c r="B29" s="5" t="s">
        <v>28</v>
      </c>
      <c r="C29" s="5">
        <v>9907</v>
      </c>
      <c r="D29" s="5">
        <v>178</v>
      </c>
      <c r="E29" s="5">
        <v>6</v>
      </c>
      <c r="F29" s="5"/>
      <c r="G29" s="8">
        <v>2</v>
      </c>
      <c r="H29" s="5">
        <f>D29-E29+Tabela1[[#This Row],[Abertos 2025 2º SEM]]</f>
        <v>172</v>
      </c>
      <c r="I29" s="5">
        <v>70</v>
      </c>
      <c r="J29" s="5">
        <v>235</v>
      </c>
      <c r="K29" s="5">
        <v>144</v>
      </c>
    </row>
    <row r="30" spans="1:12" ht="15" customHeight="1" x14ac:dyDescent="0.25">
      <c r="A30" s="5">
        <v>187</v>
      </c>
      <c r="B30" s="5" t="s">
        <v>23</v>
      </c>
      <c r="C30" s="5">
        <v>9907</v>
      </c>
      <c r="D30" s="5">
        <f>158-31</f>
        <v>127</v>
      </c>
      <c r="E30" s="5">
        <v>2</v>
      </c>
      <c r="F30" s="5"/>
      <c r="G30" s="8">
        <v>0</v>
      </c>
      <c r="H30" s="5">
        <f>D30-E30+Tabela1[[#This Row],[Abertos 2025 2º SEM]]</f>
        <v>125</v>
      </c>
      <c r="I30" s="5">
        <v>40</v>
      </c>
      <c r="J30" s="5">
        <v>60</v>
      </c>
      <c r="K30" s="5">
        <v>35</v>
      </c>
    </row>
    <row r="31" spans="1:12" ht="15" customHeight="1" x14ac:dyDescent="0.25">
      <c r="A31" s="5">
        <v>194</v>
      </c>
      <c r="B31" s="5" t="str">
        <f>VLOOKUP(Tabela1[[#This Row],[Rep]],[1]REPRESENTANTES!$A$3:$D$57,4,0)</f>
        <v>Wallace</v>
      </c>
      <c r="C31" s="5">
        <v>9914</v>
      </c>
      <c r="D31" s="5">
        <v>257</v>
      </c>
      <c r="E31" s="5">
        <v>3</v>
      </c>
      <c r="F31" s="5">
        <v>4</v>
      </c>
      <c r="G31" s="8">
        <v>0</v>
      </c>
      <c r="H31" s="5">
        <f>D31-E31+Tabela1[[#This Row],[Abertos 2025 2º SEM]]</f>
        <v>258</v>
      </c>
      <c r="I31" s="5">
        <v>99</v>
      </c>
      <c r="J31" s="5">
        <v>249</v>
      </c>
      <c r="K31" s="5">
        <v>205</v>
      </c>
      <c r="L31" t="s">
        <v>44</v>
      </c>
    </row>
    <row r="32" spans="1:12" x14ac:dyDescent="0.25">
      <c r="A32" s="5">
        <v>197</v>
      </c>
      <c r="B32" s="5" t="str">
        <f>VLOOKUP(Tabela1[[#This Row],[Rep]],[1]REPRESENTANTES!$A$3:$D$57,4,0)</f>
        <v>Fabricio</v>
      </c>
      <c r="C32" s="5">
        <v>9917</v>
      </c>
      <c r="D32" s="5">
        <v>140</v>
      </c>
      <c r="E32" s="5">
        <v>1</v>
      </c>
      <c r="F32" s="5"/>
      <c r="G32" s="8">
        <v>0</v>
      </c>
      <c r="H32" s="5">
        <f>D32-E32+Tabela1[[#This Row],[Abertos 2025 2º SEM]]</f>
        <v>139</v>
      </c>
      <c r="I32" s="5">
        <v>63</v>
      </c>
      <c r="J32" s="5">
        <v>91</v>
      </c>
      <c r="K32" s="5">
        <v>89</v>
      </c>
    </row>
    <row r="33" spans="1:12" ht="15" customHeight="1" x14ac:dyDescent="0.25">
      <c r="A33" s="5">
        <v>208</v>
      </c>
      <c r="B33" s="5" t="str">
        <f>VLOOKUP(Tabela1[[#This Row],[Rep]],[1]REPRESENTANTES!$A$3:$D$57,4,0)</f>
        <v>Renato</v>
      </c>
      <c r="C33" s="5">
        <v>9914</v>
      </c>
      <c r="D33" s="5">
        <v>117</v>
      </c>
      <c r="E33" s="5">
        <v>1</v>
      </c>
      <c r="F33" s="5"/>
      <c r="G33" s="8">
        <v>0</v>
      </c>
      <c r="H33" s="5">
        <f>D33-E33+Tabela1[[#This Row],[Abertos 2025 2º SEM]]</f>
        <v>116</v>
      </c>
      <c r="I33" s="5">
        <v>40</v>
      </c>
      <c r="J33" s="5">
        <v>106</v>
      </c>
      <c r="K33" s="5">
        <v>74</v>
      </c>
      <c r="L33" t="s">
        <v>45</v>
      </c>
    </row>
    <row r="34" spans="1:12" ht="15" customHeight="1" x14ac:dyDescent="0.25">
      <c r="A34" s="5">
        <v>217</v>
      </c>
      <c r="B34" s="5" t="str">
        <f>VLOOKUP(Tabela1[[#This Row],[Rep]],[1]REPRESENTANTES!$A$3:$D$57,4,0)</f>
        <v>Pedro</v>
      </c>
      <c r="C34" s="5">
        <v>9914</v>
      </c>
      <c r="D34" s="5">
        <v>260</v>
      </c>
      <c r="E34" s="5">
        <v>1</v>
      </c>
      <c r="F34" s="5"/>
      <c r="G34" s="8">
        <v>1</v>
      </c>
      <c r="H34" s="5">
        <f>D34-E34+Tabela1[[#This Row],[Abertos 2025 2º SEM]]</f>
        <v>259</v>
      </c>
      <c r="I34" s="5">
        <v>105</v>
      </c>
      <c r="J34" s="5">
        <v>234</v>
      </c>
      <c r="K34" s="5">
        <v>166</v>
      </c>
      <c r="L34" t="s">
        <v>46</v>
      </c>
    </row>
    <row r="35" spans="1:12" ht="15" customHeight="1" x14ac:dyDescent="0.25">
      <c r="A35" s="5">
        <v>218</v>
      </c>
      <c r="B35" s="5" t="str">
        <f>VLOOKUP(Tabela1[[#This Row],[Rep]],[1]REPRESENTANTES!$A$3:$D$57,4,0)</f>
        <v>Fabiano Ledur</v>
      </c>
      <c r="C35" s="5">
        <v>9914</v>
      </c>
      <c r="D35" s="5">
        <v>177</v>
      </c>
      <c r="E35" s="5">
        <v>2</v>
      </c>
      <c r="F35" s="5">
        <v>3</v>
      </c>
      <c r="G35" s="8">
        <v>2</v>
      </c>
      <c r="H35" s="5">
        <f>D35-E35+Tabela1[[#This Row],[Abertos 2025 2º SEM]]</f>
        <v>178</v>
      </c>
      <c r="I35" s="5">
        <v>79</v>
      </c>
      <c r="J35" s="5">
        <v>98</v>
      </c>
      <c r="K35" s="5">
        <v>184</v>
      </c>
      <c r="L35" t="s">
        <v>47</v>
      </c>
    </row>
    <row r="36" spans="1:12" ht="15" customHeight="1" x14ac:dyDescent="0.25">
      <c r="A36" s="5">
        <v>231</v>
      </c>
      <c r="B36" s="5" t="str">
        <f>VLOOKUP(Tabela1[[#This Row],[Rep]],[1]REPRESENTANTES!$A$3:$D$57,4,0)</f>
        <v>Thiago</v>
      </c>
      <c r="C36" s="5">
        <v>9907</v>
      </c>
      <c r="D36" s="5">
        <v>122</v>
      </c>
      <c r="E36" s="5">
        <v>6</v>
      </c>
      <c r="F36" s="5"/>
      <c r="G36" s="8">
        <v>2</v>
      </c>
      <c r="H36" s="5">
        <f>D36-E36+Tabela1[[#This Row],[Abertos 2025 2º SEM]]</f>
        <v>116</v>
      </c>
      <c r="I36" s="5">
        <v>81</v>
      </c>
      <c r="J36" s="5">
        <v>67</v>
      </c>
      <c r="K36" s="5">
        <v>53</v>
      </c>
    </row>
    <row r="37" spans="1:12" ht="15" customHeight="1" x14ac:dyDescent="0.25">
      <c r="A37" s="5">
        <v>232</v>
      </c>
      <c r="B37" s="5" t="str">
        <f>VLOOKUP(Tabela1[[#This Row],[Rep]],[1]REPRESENTANTES!$A$3:$D$57,4,0)</f>
        <v>Laerth</v>
      </c>
      <c r="C37" s="5">
        <v>9914</v>
      </c>
      <c r="D37" s="5">
        <v>272</v>
      </c>
      <c r="E37" s="5">
        <v>6</v>
      </c>
      <c r="F37" s="5">
        <v>1</v>
      </c>
      <c r="G37" s="8">
        <v>1</v>
      </c>
      <c r="H37" s="5">
        <f>D37-E37+Tabela1[[#This Row],[Abertos 2025 2º SEM]]</f>
        <v>267</v>
      </c>
      <c r="I37" s="5">
        <v>86</v>
      </c>
      <c r="J37" s="5">
        <v>129</v>
      </c>
      <c r="K37" s="5">
        <v>217</v>
      </c>
      <c r="L37" t="s">
        <v>48</v>
      </c>
    </row>
    <row r="38" spans="1:12" ht="15" customHeight="1" x14ac:dyDescent="0.25">
      <c r="A38" s="5">
        <v>240</v>
      </c>
      <c r="B38" s="5" t="str">
        <f>VLOOKUP(Tabela1[[#This Row],[Rep]],[1]REPRESENTANTES!$A$3:$D$57,4,0)</f>
        <v>Ramon</v>
      </c>
      <c r="C38" s="5">
        <v>9914</v>
      </c>
      <c r="D38" s="5">
        <v>173</v>
      </c>
      <c r="E38" s="5">
        <v>0</v>
      </c>
      <c r="F38" s="5">
        <v>1</v>
      </c>
      <c r="G38" s="8">
        <v>2</v>
      </c>
      <c r="H38" s="5">
        <f>D38-E38+Tabela1[[#This Row],[Abertos 2025 2º SEM]]</f>
        <v>174</v>
      </c>
      <c r="I38" s="5">
        <v>91</v>
      </c>
      <c r="J38" s="5">
        <v>0</v>
      </c>
      <c r="K38" s="5">
        <v>390</v>
      </c>
      <c r="L38" t="s">
        <v>49</v>
      </c>
    </row>
    <row r="39" spans="1:12" ht="15" customHeight="1" x14ac:dyDescent="0.25">
      <c r="A39" s="5">
        <v>248</v>
      </c>
      <c r="B39" s="5" t="s">
        <v>25</v>
      </c>
      <c r="C39" s="5">
        <v>9907</v>
      </c>
      <c r="D39" s="5">
        <v>134</v>
      </c>
      <c r="E39" s="5">
        <v>0</v>
      </c>
      <c r="F39" s="5"/>
      <c r="G39" s="8">
        <v>0</v>
      </c>
      <c r="H39" s="5">
        <f>D39-E39+Tabela1[[#This Row],[Abertos 2025 2º SEM]]</f>
        <v>134</v>
      </c>
      <c r="I39" s="5">
        <v>39</v>
      </c>
      <c r="J39" s="5">
        <v>0</v>
      </c>
      <c r="K39" s="5">
        <v>15</v>
      </c>
    </row>
    <row r="40" spans="1:12" ht="15" customHeight="1" x14ac:dyDescent="0.25">
      <c r="A40" s="5">
        <v>261</v>
      </c>
      <c r="B40" s="5" t="str">
        <f>VLOOKUP(Tabela1[[#This Row],[Rep]],[1]REPRESENTANTES!$A$3:$D$57,4,0)</f>
        <v>Pedro Henrique</v>
      </c>
      <c r="C40" s="5">
        <v>9902</v>
      </c>
      <c r="D40" s="5">
        <v>168</v>
      </c>
      <c r="E40" s="5">
        <v>2</v>
      </c>
      <c r="F40" s="5"/>
      <c r="G40" s="8">
        <v>3</v>
      </c>
      <c r="H40" s="5">
        <f>D40-E40+Tabela1[[#This Row],[Abertos 2025 2º SEM]]</f>
        <v>166</v>
      </c>
      <c r="I40" s="5">
        <v>88</v>
      </c>
      <c r="J40" s="5">
        <v>119</v>
      </c>
      <c r="K40" s="5">
        <v>79</v>
      </c>
    </row>
    <row r="41" spans="1:12" ht="15" customHeight="1" x14ac:dyDescent="0.25">
      <c r="A41" s="5">
        <v>266</v>
      </c>
      <c r="B41" s="5" t="str">
        <f>VLOOKUP(Tabela1[[#This Row],[Rep]],[1]REPRESENTANTES!$A$3:$D$57,4,0)</f>
        <v>Loran</v>
      </c>
      <c r="C41" s="5">
        <v>9902</v>
      </c>
      <c r="D41" s="5">
        <v>317</v>
      </c>
      <c r="E41" s="5">
        <v>6</v>
      </c>
      <c r="F41" s="5"/>
      <c r="G41" s="8">
        <v>0</v>
      </c>
      <c r="H41" s="5">
        <f>D41-E41+Tabela1[[#This Row],[Abertos 2025 2º SEM]]</f>
        <v>311</v>
      </c>
      <c r="I41" s="5">
        <v>61</v>
      </c>
      <c r="J41" s="5">
        <v>188</v>
      </c>
      <c r="K41" s="5">
        <v>141</v>
      </c>
    </row>
    <row r="42" spans="1:12" ht="15" customHeight="1" x14ac:dyDescent="0.25">
      <c r="A42" s="5">
        <v>267</v>
      </c>
      <c r="B42" s="5" t="str">
        <f>VLOOKUP(Tabela1[[#This Row],[Rep]],[1]REPRESENTANTES!$A$3:$D$57,4,0)</f>
        <v>Chagas</v>
      </c>
      <c r="C42" s="5">
        <v>9914</v>
      </c>
      <c r="D42" s="5">
        <v>130</v>
      </c>
      <c r="E42" s="5">
        <v>1</v>
      </c>
      <c r="F42" s="5"/>
      <c r="G42" s="8">
        <v>0</v>
      </c>
      <c r="H42" s="5">
        <f>D42-E42+Tabela1[[#This Row],[Abertos 2025 2º SEM]]</f>
        <v>129</v>
      </c>
      <c r="I42" s="5">
        <v>55</v>
      </c>
      <c r="J42" s="5">
        <v>70</v>
      </c>
      <c r="K42" s="5">
        <v>224</v>
      </c>
      <c r="L42" t="s">
        <v>50</v>
      </c>
    </row>
    <row r="43" spans="1:12" ht="15" customHeight="1" x14ac:dyDescent="0.25">
      <c r="A43" s="5">
        <v>270</v>
      </c>
      <c r="B43" s="5" t="str">
        <f>VLOOKUP(Tabela1[[#This Row],[Rep]],[1]REPRESENTANTES!$A$3:$D$57,4,0)</f>
        <v>Jack</v>
      </c>
      <c r="C43" s="5">
        <v>9915</v>
      </c>
      <c r="D43" s="5">
        <v>96</v>
      </c>
      <c r="E43" s="5">
        <v>3</v>
      </c>
      <c r="F43" s="5">
        <v>1</v>
      </c>
      <c r="G43" s="8">
        <v>4</v>
      </c>
      <c r="H43" s="5">
        <f>D43-E43+Tabela1[[#This Row],[Abertos 2025 2º SEM]]</f>
        <v>94</v>
      </c>
      <c r="I43" s="5">
        <v>36</v>
      </c>
      <c r="J43" s="5">
        <v>0</v>
      </c>
      <c r="K43" s="5">
        <v>121</v>
      </c>
    </row>
    <row r="44" spans="1:12" ht="15" customHeight="1" x14ac:dyDescent="0.25">
      <c r="A44" s="5">
        <v>273</v>
      </c>
      <c r="B44" s="5" t="s">
        <v>29</v>
      </c>
      <c r="C44" s="5">
        <v>9914</v>
      </c>
      <c r="D44" s="5">
        <v>206</v>
      </c>
      <c r="E44" s="5">
        <v>11</v>
      </c>
      <c r="F44" s="5"/>
      <c r="G44" s="8">
        <v>1</v>
      </c>
      <c r="H44" s="5">
        <f>D44-E44+Tabela1[[#This Row],[Abertos 2025 2º SEM]]</f>
        <v>195</v>
      </c>
      <c r="I44" s="5">
        <v>57</v>
      </c>
      <c r="J44" s="5">
        <v>0</v>
      </c>
      <c r="K44" s="5">
        <v>0</v>
      </c>
      <c r="L44" t="s">
        <v>51</v>
      </c>
    </row>
    <row r="45" spans="1:12" ht="15" customHeight="1" x14ac:dyDescent="0.25">
      <c r="A45" s="5">
        <v>282</v>
      </c>
      <c r="B45" s="5" t="str">
        <f>VLOOKUP(Tabela1[[#This Row],[Rep]],[1]REPRESENTANTES!$A$3:$D$57,4,0)</f>
        <v>Nelson</v>
      </c>
      <c r="C45" s="5">
        <v>9916</v>
      </c>
      <c r="D45" s="5">
        <v>213</v>
      </c>
      <c r="E45" s="5">
        <v>4</v>
      </c>
      <c r="F45" s="5">
        <v>3</v>
      </c>
      <c r="G45" s="8">
        <v>0</v>
      </c>
      <c r="H45" s="5">
        <f>D45-E45+Tabela1[[#This Row],[Abertos 2025 2º SEM]]</f>
        <v>212</v>
      </c>
      <c r="I45" s="5">
        <v>69</v>
      </c>
      <c r="J45" s="5">
        <v>101</v>
      </c>
      <c r="K45" s="5">
        <v>15</v>
      </c>
    </row>
    <row r="46" spans="1:12" ht="15" customHeight="1" x14ac:dyDescent="0.25">
      <c r="A46" s="5">
        <v>322</v>
      </c>
      <c r="B46" s="5" t="s">
        <v>35</v>
      </c>
      <c r="C46" s="5">
        <v>9907</v>
      </c>
      <c r="D46" s="5">
        <f>80-3+58</f>
        <v>135</v>
      </c>
      <c r="E46" s="5">
        <v>0</v>
      </c>
      <c r="F46" s="5"/>
      <c r="G46" s="8">
        <v>0</v>
      </c>
      <c r="H46" s="5">
        <f>D46-E46+Tabela1[[#This Row],[Abertos 2025 2º SEM]]</f>
        <v>135</v>
      </c>
      <c r="I46" s="5">
        <v>42</v>
      </c>
      <c r="J46" s="5">
        <v>0</v>
      </c>
      <c r="K46" s="5">
        <v>0</v>
      </c>
    </row>
    <row r="47" spans="1:12" ht="15" customHeight="1" x14ac:dyDescent="0.25">
      <c r="A47" s="5">
        <v>292</v>
      </c>
      <c r="B47" s="5" t="str">
        <f>VLOOKUP(Tabela1[[#This Row],[Rep]],[1]REPRESENTANTES!$A$3:$D$57,4,0)</f>
        <v>Victor</v>
      </c>
      <c r="C47" s="5">
        <v>9915</v>
      </c>
      <c r="D47" s="5">
        <v>103</v>
      </c>
      <c r="E47" s="5">
        <v>2</v>
      </c>
      <c r="F47" s="5"/>
      <c r="G47" s="8">
        <v>0</v>
      </c>
      <c r="H47" s="5">
        <f>D47-E47+Tabela1[[#This Row],[Abertos 2025 2º SEM]]</f>
        <v>101</v>
      </c>
      <c r="I47" s="5">
        <v>28</v>
      </c>
      <c r="J47" s="5">
        <v>0</v>
      </c>
      <c r="K47" s="5">
        <v>48</v>
      </c>
    </row>
    <row r="48" spans="1:12" x14ac:dyDescent="0.25">
      <c r="A48" s="5">
        <v>321</v>
      </c>
      <c r="B48" s="5" t="s">
        <v>26</v>
      </c>
      <c r="C48" s="5">
        <v>9917</v>
      </c>
      <c r="D48" s="5">
        <v>162</v>
      </c>
      <c r="E48" s="5">
        <v>10</v>
      </c>
      <c r="F48" s="5"/>
      <c r="G48" s="8">
        <v>0</v>
      </c>
      <c r="H48" s="5">
        <f>D48-E48+Tabela1[[#This Row],[Abertos 2025 2º SEM]]</f>
        <v>152</v>
      </c>
      <c r="I48" s="5">
        <v>43</v>
      </c>
      <c r="J48" s="5">
        <v>0</v>
      </c>
      <c r="K48" s="5">
        <v>0</v>
      </c>
    </row>
    <row r="49" spans="1:12" ht="15" customHeight="1" x14ac:dyDescent="0.25">
      <c r="A49" s="5">
        <v>296</v>
      </c>
      <c r="B49" s="5" t="s">
        <v>27</v>
      </c>
      <c r="C49" s="5">
        <v>9902</v>
      </c>
      <c r="D49" s="5">
        <v>147</v>
      </c>
      <c r="E49" s="5">
        <v>9</v>
      </c>
      <c r="F49" s="5">
        <v>2</v>
      </c>
      <c r="G49" s="8">
        <v>0</v>
      </c>
      <c r="H49" s="5">
        <f>D49-E49+Tabela1[[#This Row],[Abertos 2025 2º SEM]]</f>
        <v>140</v>
      </c>
      <c r="I49" s="5">
        <v>53</v>
      </c>
      <c r="J49" s="5">
        <v>0</v>
      </c>
      <c r="K49" s="5">
        <v>0</v>
      </c>
    </row>
    <row r="50" spans="1:12" x14ac:dyDescent="0.25">
      <c r="A50" s="5">
        <v>297</v>
      </c>
      <c r="B50" s="5" t="str">
        <f>VLOOKUP(Tabela1[[#This Row],[Rep]],[1]REPRESENTANTES!$A$3:$D$57,4,0)</f>
        <v>Jonatas</v>
      </c>
      <c r="C50" s="5">
        <v>9917</v>
      </c>
      <c r="D50" s="5">
        <v>117</v>
      </c>
      <c r="E50" s="5">
        <v>4</v>
      </c>
      <c r="F50" s="5"/>
      <c r="G50" s="8">
        <v>1</v>
      </c>
      <c r="H50" s="5">
        <f>D50-E50+Tabela1[[#This Row],[Abertos 2025 2º SEM]]</f>
        <v>113</v>
      </c>
      <c r="I50" s="5">
        <v>49</v>
      </c>
      <c r="J50" s="5">
        <v>130</v>
      </c>
      <c r="K50" s="5">
        <v>128</v>
      </c>
    </row>
    <row r="51" spans="1:12" ht="15" customHeight="1" x14ac:dyDescent="0.25">
      <c r="A51" s="5">
        <v>299</v>
      </c>
      <c r="B51" s="5" t="str">
        <f>VLOOKUP(Tabela1[[#This Row],[Rep]],[1]REPRESENTANTES!$A$3:$D$57,4,0)</f>
        <v>Jamir</v>
      </c>
      <c r="C51" s="5">
        <v>9915</v>
      </c>
      <c r="D51" s="5">
        <v>136</v>
      </c>
      <c r="E51" s="5">
        <v>3</v>
      </c>
      <c r="F51" s="5"/>
      <c r="G51" s="8">
        <v>2</v>
      </c>
      <c r="H51" s="5">
        <f>D51-E51+Tabela1[[#This Row],[Abertos 2025 2º SEM]]</f>
        <v>133</v>
      </c>
      <c r="I51" s="5">
        <v>59</v>
      </c>
      <c r="J51" s="5">
        <v>0</v>
      </c>
      <c r="K51" s="5">
        <v>49</v>
      </c>
    </row>
    <row r="52" spans="1:12" ht="15" customHeight="1" x14ac:dyDescent="0.25">
      <c r="A52" s="5">
        <v>301</v>
      </c>
      <c r="B52" s="5" t="str">
        <f>VLOOKUP(Tabela1[[#This Row],[Rep]],[1]REPRESENTANTES!$A$3:$D$57,4,0)</f>
        <v>Julio Veloso</v>
      </c>
      <c r="C52" s="5">
        <v>9914</v>
      </c>
      <c r="D52" s="5">
        <f>54+40</f>
        <v>94</v>
      </c>
      <c r="E52" s="5">
        <v>1</v>
      </c>
      <c r="F52" s="5">
        <v>1</v>
      </c>
      <c r="G52" s="8">
        <v>0</v>
      </c>
      <c r="H52" s="5">
        <f>D52-E52+Tabela1[[#This Row],[Abertos 2025 2º SEM]]</f>
        <v>94</v>
      </c>
      <c r="I52" s="5">
        <v>30</v>
      </c>
      <c r="J52" s="5">
        <v>0</v>
      </c>
      <c r="K52" s="5">
        <v>88</v>
      </c>
      <c r="L52" t="s">
        <v>44</v>
      </c>
    </row>
    <row r="53" spans="1:12" ht="15" customHeight="1" x14ac:dyDescent="0.25">
      <c r="A53" s="5">
        <v>302</v>
      </c>
      <c r="B53" s="5" t="str">
        <f>VLOOKUP(Tabela1[[#This Row],[Rep]],[1]REPRESENTANTES!$A$3:$D$57,4,0)</f>
        <v>Frank</v>
      </c>
      <c r="C53" s="5">
        <v>9915</v>
      </c>
      <c r="D53" s="5">
        <v>83</v>
      </c>
      <c r="E53" s="5">
        <v>1</v>
      </c>
      <c r="F53" s="5">
        <v>1</v>
      </c>
      <c r="G53" s="8">
        <v>0</v>
      </c>
      <c r="H53" s="5">
        <f>D53-E53+Tabela1[[#This Row],[Abertos 2025 2º SEM]]</f>
        <v>83</v>
      </c>
      <c r="I53" s="5">
        <v>40</v>
      </c>
      <c r="J53" s="5">
        <v>0</v>
      </c>
      <c r="K53" s="5">
        <v>64</v>
      </c>
    </row>
    <row r="54" spans="1:12" ht="15" customHeight="1" x14ac:dyDescent="0.25">
      <c r="A54" s="5">
        <v>308</v>
      </c>
      <c r="B54" s="5" t="s">
        <v>36</v>
      </c>
      <c r="C54" s="5">
        <v>9914</v>
      </c>
      <c r="D54" s="5">
        <v>135</v>
      </c>
      <c r="E54" s="5">
        <v>1</v>
      </c>
      <c r="F54" s="5">
        <v>1</v>
      </c>
      <c r="G54" s="8">
        <v>0</v>
      </c>
      <c r="H54" s="5">
        <f>D54-E54+Tabela1[[#This Row],[Abertos 2025 2º SEM]]</f>
        <v>135</v>
      </c>
      <c r="I54" s="5">
        <v>34</v>
      </c>
      <c r="J54" s="5">
        <v>53</v>
      </c>
      <c r="K54" s="5">
        <v>49</v>
      </c>
      <c r="L54" t="s">
        <v>52</v>
      </c>
    </row>
    <row r="55" spans="1:12" x14ac:dyDescent="0.25">
      <c r="A55" s="5">
        <v>311</v>
      </c>
      <c r="B55" s="5" t="s">
        <v>30</v>
      </c>
      <c r="C55" s="5">
        <v>9917</v>
      </c>
      <c r="D55" s="5">
        <v>101</v>
      </c>
      <c r="E55" s="5">
        <v>2</v>
      </c>
      <c r="F55" s="5"/>
      <c r="G55" s="8">
        <v>1</v>
      </c>
      <c r="H55" s="5">
        <f>D55-E55+Tabela1[[#This Row],[Abertos 2025 2º SEM]]</f>
        <v>99</v>
      </c>
      <c r="I55" s="5">
        <v>34</v>
      </c>
      <c r="J55" s="5">
        <v>59</v>
      </c>
      <c r="K55" s="5">
        <v>58</v>
      </c>
    </row>
    <row r="56" spans="1:12" ht="15" customHeight="1" x14ac:dyDescent="0.25">
      <c r="A56" s="5">
        <v>315</v>
      </c>
      <c r="B56" s="5" t="s">
        <v>31</v>
      </c>
      <c r="C56" s="5">
        <v>9907</v>
      </c>
      <c r="D56" s="5">
        <f>158-36</f>
        <v>122</v>
      </c>
      <c r="E56" s="5">
        <v>5</v>
      </c>
      <c r="F56" s="5"/>
      <c r="G56" s="8">
        <v>0</v>
      </c>
      <c r="H56" s="5">
        <f>D56-E56+Tabela1[[#This Row],[Abertos 2025 2º SEM]]</f>
        <v>117</v>
      </c>
      <c r="I56" s="5">
        <v>85</v>
      </c>
      <c r="J56" s="5">
        <v>157</v>
      </c>
      <c r="K56" s="5">
        <v>35</v>
      </c>
    </row>
    <row r="57" spans="1:12" ht="15" customHeight="1" x14ac:dyDescent="0.25">
      <c r="A57" s="5">
        <v>316</v>
      </c>
      <c r="B57" s="5" t="s">
        <v>32</v>
      </c>
      <c r="C57" s="5">
        <v>9902</v>
      </c>
      <c r="D57" s="5">
        <v>85</v>
      </c>
      <c r="E57" s="5">
        <v>4</v>
      </c>
      <c r="F57" s="5">
        <v>3</v>
      </c>
      <c r="G57" s="8">
        <v>28</v>
      </c>
      <c r="H57" s="5">
        <f>D57-E57+Tabela1[[#This Row],[Abertos 2025 2º SEM]]</f>
        <v>84</v>
      </c>
      <c r="I57" s="5">
        <v>48</v>
      </c>
      <c r="J57" s="5">
        <v>31</v>
      </c>
      <c r="K57" s="5">
        <v>9</v>
      </c>
    </row>
    <row r="58" spans="1:12" ht="15" customHeight="1" x14ac:dyDescent="0.25">
      <c r="A58" s="11">
        <v>317</v>
      </c>
      <c r="B58" s="5" t="s">
        <v>33</v>
      </c>
      <c r="C58" s="5">
        <v>9902</v>
      </c>
      <c r="D58" s="5">
        <v>265</v>
      </c>
      <c r="E58" s="5">
        <v>0</v>
      </c>
      <c r="F58" s="5"/>
      <c r="G58" s="8">
        <v>18</v>
      </c>
      <c r="H58" s="5">
        <f>D58-E58+Tabela1[[#This Row],[Abertos 2025 2º SEM]]</f>
        <v>265</v>
      </c>
      <c r="I58" s="5">
        <v>74</v>
      </c>
      <c r="J58" s="5">
        <v>26</v>
      </c>
      <c r="K58" s="5">
        <v>15</v>
      </c>
    </row>
    <row r="59" spans="1:12" ht="15" customHeight="1" x14ac:dyDescent="0.25">
      <c r="A59" s="5">
        <v>320</v>
      </c>
      <c r="B59" s="5" t="s">
        <v>34</v>
      </c>
      <c r="C59" s="5">
        <v>9915</v>
      </c>
      <c r="D59" s="5">
        <v>137</v>
      </c>
      <c r="E59" s="5">
        <v>0</v>
      </c>
      <c r="F59" s="5">
        <v>1</v>
      </c>
      <c r="G59" s="8">
        <v>19</v>
      </c>
      <c r="H59" s="5">
        <f>D59-E59+Tabela1[[#This Row],[Abertos 2025 2º SEM]]</f>
        <v>138</v>
      </c>
      <c r="I59" s="5">
        <v>22</v>
      </c>
      <c r="J59" s="5">
        <v>0</v>
      </c>
      <c r="K59" s="5">
        <v>0</v>
      </c>
    </row>
    <row r="60" spans="1:12" ht="15" customHeight="1" x14ac:dyDescent="0.25">
      <c r="G60"/>
    </row>
    <row r="61" spans="1:12" ht="15" customHeight="1" x14ac:dyDescent="0.25"/>
    <row r="62" spans="1:12" ht="15" customHeight="1" x14ac:dyDescent="0.25"/>
  </sheetData>
  <mergeCells count="1">
    <mergeCell ref="A7:C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topLeftCell="A10" zoomScale="220" zoomScaleNormal="220" workbookViewId="0">
      <selection activeCell="A21" sqref="A21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12" t="s">
        <v>8</v>
      </c>
      <c r="B1" s="12" t="s">
        <v>9</v>
      </c>
      <c r="D1" s="13">
        <v>1</v>
      </c>
    </row>
    <row r="2" spans="1:8" x14ac:dyDescent="0.25">
      <c r="A2" s="14">
        <v>45597</v>
      </c>
      <c r="B2" s="15">
        <v>21</v>
      </c>
      <c r="D2">
        <f>SUM(B2:B8)</f>
        <v>138</v>
      </c>
    </row>
    <row r="3" spans="1:8" x14ac:dyDescent="0.25">
      <c r="A3" s="14">
        <v>45627</v>
      </c>
      <c r="B3" s="15">
        <v>16</v>
      </c>
      <c r="D3" s="16">
        <f>D1/D2</f>
        <v>7.246376811594203E-3</v>
      </c>
    </row>
    <row r="4" spans="1:8" x14ac:dyDescent="0.25">
      <c r="A4" s="15" t="s">
        <v>10</v>
      </c>
      <c r="B4" s="15">
        <v>20</v>
      </c>
      <c r="H4">
        <v>0</v>
      </c>
    </row>
    <row r="5" spans="1:8" x14ac:dyDescent="0.25">
      <c r="A5" s="15" t="s">
        <v>11</v>
      </c>
      <c r="B5" s="15">
        <v>20</v>
      </c>
    </row>
    <row r="6" spans="1:8" x14ac:dyDescent="0.25">
      <c r="A6" s="15" t="s">
        <v>12</v>
      </c>
      <c r="B6" s="15">
        <v>21</v>
      </c>
      <c r="D6">
        <v>16</v>
      </c>
    </row>
    <row r="7" spans="1:8" x14ac:dyDescent="0.25">
      <c r="A7" s="15" t="s">
        <v>13</v>
      </c>
      <c r="B7" s="15">
        <v>19</v>
      </c>
      <c r="D7">
        <f>SUM(D5:D6)</f>
        <v>16</v>
      </c>
    </row>
    <row r="8" spans="1:8" x14ac:dyDescent="0.25">
      <c r="A8" s="15" t="s">
        <v>14</v>
      </c>
      <c r="B8" s="15">
        <v>21</v>
      </c>
    </row>
    <row r="9" spans="1:8" x14ac:dyDescent="0.25">
      <c r="A9" s="15" t="s">
        <v>15</v>
      </c>
      <c r="B9" s="15">
        <v>21</v>
      </c>
      <c r="D9" s="16">
        <f>D7*D3</f>
        <v>0.11594202898550725</v>
      </c>
    </row>
    <row r="10" spans="1:8" x14ac:dyDescent="0.25">
      <c r="A10" s="15" t="s">
        <v>16</v>
      </c>
      <c r="B10" s="15">
        <v>23</v>
      </c>
    </row>
    <row r="11" spans="1:8" x14ac:dyDescent="0.25">
      <c r="A11" s="15" t="s">
        <v>17</v>
      </c>
      <c r="B11" s="15">
        <v>21</v>
      </c>
    </row>
    <row r="12" spans="1:8" x14ac:dyDescent="0.25">
      <c r="A12" s="15" t="s">
        <v>18</v>
      </c>
      <c r="B12" s="15">
        <v>22</v>
      </c>
    </row>
    <row r="13" spans="1:8" x14ac:dyDescent="0.25">
      <c r="A13" s="15" t="s">
        <v>19</v>
      </c>
      <c r="B13" s="15">
        <v>23</v>
      </c>
    </row>
    <row r="14" spans="1:8" x14ac:dyDescent="0.25">
      <c r="A14" s="15" t="s">
        <v>20</v>
      </c>
      <c r="B14" s="15">
        <v>20</v>
      </c>
    </row>
    <row r="15" spans="1:8" x14ac:dyDescent="0.25">
      <c r="A15" s="15" t="s">
        <v>21</v>
      </c>
      <c r="B15" s="15">
        <v>0</v>
      </c>
    </row>
    <row r="17" spans="1:1" x14ac:dyDescent="0.25">
      <c r="A17" t="e">
        <f>[2]Ausentes!D23*'% cOB. caRT'!D9</f>
        <v>#N/A</v>
      </c>
    </row>
    <row r="18" spans="1:1" x14ac:dyDescent="0.25">
      <c r="A18" s="17" t="e">
        <f>A17-[2]Ausentes!E23</f>
        <v>#N/A</v>
      </c>
    </row>
    <row r="20" spans="1:1" x14ac:dyDescent="0.25">
      <c r="A20" s="18">
        <f ca="1">TODAY()-2</f>
        <v>45802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2025-05-27T18:02:56Z</dcterms:modified>
</cp:coreProperties>
</file>