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3C2AF09A-885D-4CE8-9A72-75C9B81DE3BF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2" i="5"/>
  <c r="H54" i="1" l="1"/>
  <c r="D7" i="5"/>
  <c r="D3" i="5" s="1"/>
  <c r="D52" i="1"/>
  <c r="D42" i="1"/>
  <c r="D27" i="1"/>
  <c r="D26" i="1"/>
  <c r="D14" i="1"/>
  <c r="D57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G6" i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<sst xmlns="http://schemas.openxmlformats.org/spreadsheetml/2006/main" count="43" uniqueCount="42">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</sst>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02/07/2025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33,59%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7091</v>
          </cell>
          <cell r="E23">
            <v>1264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4" tableBorderDxfId="23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Normal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/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45840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4.1944444444444444E-2</v>
      </c>
      <c r="F5" s="16">
        <f>F6/D6</f>
        <v>2.6944444444444444E-2</v>
      </c>
      <c r="G5" s="16">
        <f>G6/D6</f>
        <v>2.4722222222222222E-2</v>
      </c>
      <c r="J5" s="26">
        <f>J6-'% cOB. caRT'!D9</f>
        <v>-0.15764887218368831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7200</v>
      </c>
      <c r="E6" s="2">
        <f>SUBTOTAL(9,Tabela1[Bloqueados])</f>
        <v>302</v>
      </c>
      <c r="F6" s="2">
        <f>SUBTOTAL(9,Tabela1[Abertos 2025 2º SEM])</f>
        <v>194</v>
      </c>
      <c r="G6" s="2">
        <f>SUBTOTAL(9,Tabela1[Sem Limite])</f>
        <v>178</v>
      </c>
      <c r="H6" s="2">
        <f>SUBTOTAL(9,Tabela1[Saldo de Carteira])</f>
        <v>7092</v>
      </c>
      <c r="I6" s="2">
        <f>SUBTOTAL(9,Tabela1[cobertura])</f>
        <v>1264</v>
      </c>
      <c r="J6" s="26">
        <f>I6/H6</f>
        <v>0.17822899041173154</v>
      </c>
      <c r="K6" s="3">
        <f>SUBTOTAL(101,Tabela1[mix])</f>
        <v>8.1488000000000014</v>
      </c>
      <c r="L6" s="3"/>
      <c r="M6" s="2"/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27" t="s">
        <v>41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2</v>
      </c>
      <c r="G9" s="14">
        <v>8</v>
      </c>
      <c r="H9" s="8">
        <f>D9-E9+Tabela1[[#This Row],[Abertos 2025 2º SEM]]</f>
        <v>139</v>
      </c>
      <c r="I9" s="8">
        <v>13</v>
      </c>
      <c r="J9" s="12">
        <f t="shared" ref="J9:J59" si="0">I9/H9</f>
        <v>9.3525179856115109E-2</v>
      </c>
      <c r="K9" s="10">
        <v>14.92</v>
      </c>
      <c r="L9" s="10"/>
      <c r="M9" s="27">
        <f>Tabela1[[#This Row],[Saldo de Carteira]]*80%</f>
        <v>111.2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16</v>
      </c>
      <c r="F10" s="8">
        <v>5</v>
      </c>
      <c r="G10" s="14">
        <v>6</v>
      </c>
      <c r="H10" s="8">
        <f>D10-E10+Tabela1[[#This Row],[Abertos 2025 2º SEM]]</f>
        <v>164</v>
      </c>
      <c r="I10" s="8">
        <v>52</v>
      </c>
      <c r="J10" s="12">
        <f t="shared" si="0"/>
        <v>0.31707317073170732</v>
      </c>
      <c r="K10" s="10">
        <v>12.53</v>
      </c>
      <c r="L10" s="10"/>
      <c r="M10" s="27">
        <f>Tabela1[[#This Row],[Saldo de Carteira]]*80%</f>
        <v>131.20000000000002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5</v>
      </c>
      <c r="F11" s="8">
        <v>1</v>
      </c>
      <c r="G11" s="14">
        <v>0</v>
      </c>
      <c r="H11" s="8">
        <f>D11-E11+Tabela1[[#This Row],[Abertos 2025 2º SEM]]</f>
        <v>107</v>
      </c>
      <c r="I11" s="8">
        <v>26</v>
      </c>
      <c r="J11" s="12">
        <f t="shared" si="0"/>
        <v>0.24299065420560748</v>
      </c>
      <c r="K11" s="10">
        <v>12.53</v>
      </c>
      <c r="L11" s="10"/>
      <c r="M11" s="27">
        <f>Tabela1[[#This Row],[Saldo de Carteira]]*80%</f>
        <v>85.600000000000009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11</v>
      </c>
      <c r="G12" s="14">
        <v>2</v>
      </c>
      <c r="H12" s="8">
        <f>D12-E12+Tabela1[[#This Row],[Abertos 2025 2º SEM]]</f>
        <v>186</v>
      </c>
      <c r="I12" s="8">
        <v>63</v>
      </c>
      <c r="J12" s="12">
        <f t="shared" si="0"/>
        <v>0.33870967741935482</v>
      </c>
      <c r="K12" s="10">
        <v>7.87</v>
      </c>
      <c r="L12" s="10"/>
      <c r="M12" s="27">
        <f>Tabela1[[#This Row],[Saldo de Carteira]]*80%</f>
        <v>148.80000000000001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5</v>
      </c>
      <c r="F13" s="8">
        <v>3</v>
      </c>
      <c r="G13" s="14">
        <v>4</v>
      </c>
      <c r="H13" s="8">
        <f>D13-E13+Tabela1[[#This Row],[Abertos 2025 2º SEM]]</f>
        <v>143</v>
      </c>
      <c r="I13" s="8">
        <v>16</v>
      </c>
      <c r="J13" s="12">
        <f t="shared" si="0"/>
        <v>0.11188811188811189</v>
      </c>
      <c r="K13" s="10">
        <v>8.75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34</v>
      </c>
      <c r="J14" s="12">
        <f t="shared" si="0"/>
        <v>0.27642276422764228</v>
      </c>
      <c r="K14" s="10">
        <v>12.4</v>
      </c>
      <c r="L14" s="10"/>
      <c r="M14" s="27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1</v>
      </c>
      <c r="F15" s="8">
        <v>3</v>
      </c>
      <c r="G15" s="14">
        <v>6</v>
      </c>
      <c r="H15" s="8">
        <f>D15-E15+Tabela1[[#This Row],[Abertos 2025 2º SEM]]</f>
        <v>146</v>
      </c>
      <c r="I15" s="8">
        <v>24</v>
      </c>
      <c r="J15" s="12">
        <f t="shared" si="0"/>
        <v>0.16438356164383561</v>
      </c>
      <c r="K15" s="10">
        <v>11.9</v>
      </c>
      <c r="L15" s="10"/>
      <c r="M15" s="27">
        <f>Tabela1[[#This Row],[Saldo de Carteira]]*80%</f>
        <v>116.80000000000001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10</v>
      </c>
      <c r="F16" s="8">
        <v>9</v>
      </c>
      <c r="G16" s="14">
        <v>2</v>
      </c>
      <c r="H16" s="8">
        <f>D16-E16+Tabela1[[#This Row],[Abertos 2025 2º SEM]]</f>
        <v>105</v>
      </c>
      <c r="I16" s="8">
        <v>31</v>
      </c>
      <c r="J16" s="12">
        <f t="shared" si="0"/>
        <v>0.29523809523809524</v>
      </c>
      <c r="K16" s="10">
        <v>4.76</v>
      </c>
      <c r="L16" s="10"/>
      <c r="M16" s="27">
        <f>Tabela1[[#This Row],[Saldo de Carteira]]*80%</f>
        <v>84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3</v>
      </c>
      <c r="G17" s="14">
        <v>3</v>
      </c>
      <c r="H17" s="8">
        <f>D17-E17+Tabela1[[#This Row],[Abertos 2025 2º SEM]]</f>
        <v>65</v>
      </c>
      <c r="I17" s="8">
        <v>16</v>
      </c>
      <c r="J17" s="12">
        <f t="shared" si="0"/>
        <v>0.24615384615384617</v>
      </c>
      <c r="K17" s="10">
        <v>6.17</v>
      </c>
      <c r="L17" s="10"/>
      <c r="M17" s="27">
        <f>Tabela1[[#This Row],[Saldo de Carteira]]*80%</f>
        <v>52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65</v>
      </c>
      <c r="J18" s="12">
        <f t="shared" si="0"/>
        <v>0.29017857142857145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3</v>
      </c>
      <c r="F19" s="8">
        <v>4</v>
      </c>
      <c r="G19" s="14">
        <v>0</v>
      </c>
      <c r="H19" s="8">
        <f>D19-E19+Tabela1[[#This Row],[Abertos 2025 2º SEM]]</f>
        <v>94</v>
      </c>
      <c r="I19" s="8">
        <v>31</v>
      </c>
      <c r="J19" s="12">
        <f t="shared" si="0"/>
        <v>0.32978723404255317</v>
      </c>
      <c r="K19" s="10">
        <v>4.4800000000000004</v>
      </c>
      <c r="L19" s="10"/>
      <c r="M19" s="27">
        <f>Tabela1[[#This Row],[Saldo de Carteira]]*80%</f>
        <v>75.2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2</v>
      </c>
      <c r="G20" s="14">
        <v>9</v>
      </c>
      <c r="H20" s="8">
        <f>D20-E20+Tabela1[[#This Row],[Abertos 2025 2º SEM]]</f>
        <v>85</v>
      </c>
      <c r="I20" s="8">
        <v>14</v>
      </c>
      <c r="J20" s="12">
        <f t="shared" si="0"/>
        <v>0.16470588235294117</v>
      </c>
      <c r="K20" s="10">
        <v>10</v>
      </c>
      <c r="L20" s="10"/>
      <c r="M20" s="27">
        <f>Tabela1[[#This Row],[Saldo de Carteira]]*80%</f>
        <v>68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26</v>
      </c>
      <c r="J21" s="12">
        <f t="shared" si="0"/>
        <v>0.27083333333333331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4</v>
      </c>
      <c r="G22" s="14">
        <v>4</v>
      </c>
      <c r="H22" s="8">
        <f>D22-E22+Tabela1[[#This Row],[Abertos 2025 2º SEM]]</f>
        <v>157</v>
      </c>
      <c r="I22" s="8">
        <v>16</v>
      </c>
      <c r="J22" s="12">
        <f t="shared" si="0"/>
        <v>0.10191082802547771</v>
      </c>
      <c r="K22" s="10">
        <v>4.82</v>
      </c>
      <c r="L22" s="10"/>
      <c r="M22" s="27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8</v>
      </c>
      <c r="F23" s="8">
        <v>8</v>
      </c>
      <c r="G23" s="14">
        <v>6</v>
      </c>
      <c r="H23" s="8">
        <f>D23-E23+Tabela1[[#This Row],[Abertos 2025 2º SEM]]</f>
        <v>158</v>
      </c>
      <c r="I23" s="8">
        <v>29</v>
      </c>
      <c r="J23" s="12">
        <f t="shared" si="0"/>
        <v>0.18354430379746836</v>
      </c>
      <c r="K23" s="10">
        <v>7.5</v>
      </c>
      <c r="L23" s="10"/>
      <c r="M23" s="27">
        <f>Tabela1[[#This Row],[Saldo de Carteira]]*80%</f>
        <v>126.4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11</v>
      </c>
      <c r="G24" s="14">
        <v>9</v>
      </c>
      <c r="H24" s="8">
        <f>D24-E24+Tabela1[[#This Row],[Abertos 2025 2º SEM]]</f>
        <v>225</v>
      </c>
      <c r="I24" s="8">
        <v>50</v>
      </c>
      <c r="J24" s="12">
        <f t="shared" si="0"/>
        <v>0.22222222222222221</v>
      </c>
      <c r="K24" s="10">
        <v>9.52</v>
      </c>
      <c r="L24" s="10"/>
      <c r="M24" s="27">
        <f>Tabela1[[#This Row],[Saldo de Carteira]]*80%</f>
        <v>180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5</v>
      </c>
      <c r="F25" s="8">
        <v>0</v>
      </c>
      <c r="G25" s="14">
        <v>1</v>
      </c>
      <c r="H25" s="8">
        <f>D25-E25+Tabela1[[#This Row],[Abertos 2025 2º SEM]]</f>
        <v>101</v>
      </c>
      <c r="I25" s="8">
        <v>29</v>
      </c>
      <c r="J25" s="12">
        <f t="shared" si="0"/>
        <v>0.28712871287128711</v>
      </c>
      <c r="K25" s="10">
        <v>7.29</v>
      </c>
      <c r="L25" s="10"/>
      <c r="M25" s="27">
        <f>Tabela1[[#This Row],[Saldo de Carteira]]*80%</f>
        <v>80.800000000000011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0</v>
      </c>
      <c r="G26" s="14">
        <v>2</v>
      </c>
      <c r="H26" s="8">
        <f>D26-E26+Tabela1[[#This Row],[Abertos 2025 2º SEM]]</f>
        <v>89</v>
      </c>
      <c r="I26" s="8">
        <v>14</v>
      </c>
      <c r="J26" s="12">
        <f t="shared" si="0"/>
        <v>0.15730337078651685</v>
      </c>
      <c r="K26" s="10">
        <v>7.29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0</v>
      </c>
      <c r="H27" s="8">
        <f>D27-E27+Tabela1[[#This Row],[Abertos 2025 2º SEM]]</f>
        <v>122</v>
      </c>
      <c r="I27" s="8">
        <v>27</v>
      </c>
      <c r="J27" s="12">
        <f t="shared" si="0"/>
        <v>0.22131147540983606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6</v>
      </c>
      <c r="F28" s="8">
        <v>5</v>
      </c>
      <c r="G28" s="14">
        <v>5</v>
      </c>
      <c r="H28" s="8">
        <f>D28-E28+Tabela1[[#This Row],[Abertos 2025 2º SEM]]</f>
        <v>177</v>
      </c>
      <c r="I28" s="8">
        <v>53</v>
      </c>
      <c r="J28" s="12">
        <f t="shared" si="0"/>
        <v>0.29943502824858759</v>
      </c>
      <c r="K28" s="10">
        <v>7.33</v>
      </c>
      <c r="L28" s="10"/>
      <c r="M28" s="27">
        <f>Tabela1[[#This Row],[Saldo de Carteira]]*80%</f>
        <v>141.6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3</v>
      </c>
      <c r="F29" s="8">
        <v>2</v>
      </c>
      <c r="G29" s="14">
        <v>0</v>
      </c>
      <c r="H29" s="8">
        <f>D29-E29+Tabela1[[#This Row],[Abertos 2025 2º SEM]]</f>
        <v>126</v>
      </c>
      <c r="I29" s="8">
        <v>14</v>
      </c>
      <c r="J29" s="12">
        <f t="shared" si="0"/>
        <v>0.1111111111111111</v>
      </c>
      <c r="K29" s="10">
        <v>11</v>
      </c>
      <c r="L29" s="10"/>
      <c r="M29" s="27">
        <f>Tabela1[[#This Row],[Saldo de Carteira]]*80%</f>
        <v>100.80000000000001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6</v>
      </c>
      <c r="G30" s="14">
        <v>1</v>
      </c>
      <c r="H30" s="8">
        <f>D30-E30+Tabela1[[#This Row],[Abertos 2025 2º SEM]]</f>
        <v>257</v>
      </c>
      <c r="I30" s="8">
        <v>11</v>
      </c>
      <c r="J30" s="12">
        <f t="shared" si="0"/>
        <v>4.2801556420233464E-2</v>
      </c>
      <c r="K30" s="10">
        <v>7.5</v>
      </c>
      <c r="L30" s="10"/>
      <c r="M30" s="27">
        <f>Tabela1[[#This Row],[Saldo de Carteira]]*80%</f>
        <v>205.60000000000002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5</v>
      </c>
      <c r="F31" s="8">
        <v>0</v>
      </c>
      <c r="G31" s="14">
        <v>2</v>
      </c>
      <c r="H31" s="8">
        <f>D31-E31+Tabela1[[#This Row],[Abertos 2025 2º SEM]]</f>
        <v>135</v>
      </c>
      <c r="I31" s="8">
        <v>39</v>
      </c>
      <c r="J31" s="12">
        <f t="shared" si="0"/>
        <v>0.28888888888888886</v>
      </c>
      <c r="K31" s="10">
        <v>6.54</v>
      </c>
      <c r="L31" s="10"/>
      <c r="M31" s="27">
        <f>Tabela1[[#This Row],[Saldo de Carteira]]*80%</f>
        <v>108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8</v>
      </c>
      <c r="F32" s="8">
        <v>0</v>
      </c>
      <c r="G32" s="14">
        <v>0</v>
      </c>
      <c r="H32" s="8">
        <f>D32-E32+Tabela1[[#This Row],[Abertos 2025 2º SEM]]</f>
        <v>109</v>
      </c>
      <c r="I32" s="8">
        <v>10</v>
      </c>
      <c r="J32" s="12">
        <f t="shared" si="0"/>
        <v>9.1743119266055051E-2</v>
      </c>
      <c r="K32" s="10">
        <v>16.13</v>
      </c>
      <c r="L32" s="10"/>
      <c r="M32" s="27">
        <f>Tabela1[[#This Row],[Saldo de Carteira]]*80%</f>
        <v>87.2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0</v>
      </c>
      <c r="G33" s="14">
        <v>2</v>
      </c>
      <c r="H33" s="8">
        <f>D33-E33+Tabela1[[#This Row],[Abertos 2025 2º SEM]]</f>
        <v>255</v>
      </c>
      <c r="I33" s="8">
        <v>11</v>
      </c>
      <c r="J33" s="12">
        <f t="shared" si="0"/>
        <v>4.3137254901960784E-2</v>
      </c>
      <c r="K33" s="10">
        <v>5.88</v>
      </c>
      <c r="L33" s="10"/>
      <c r="M33" s="27">
        <f>Tabela1[[#This Row],[Saldo de Carteira]]*80%</f>
        <v>204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5</v>
      </c>
      <c r="G34" s="14">
        <v>4</v>
      </c>
      <c r="H34" s="8">
        <f>D34-E34+Tabela1[[#This Row],[Abertos 2025 2º SEM]]</f>
        <v>178</v>
      </c>
      <c r="I34" s="8">
        <v>41</v>
      </c>
      <c r="J34" s="12">
        <f t="shared" si="0"/>
        <v>0.2303370786516854</v>
      </c>
      <c r="K34" s="10">
        <v>6.59</v>
      </c>
      <c r="L34" s="10"/>
      <c r="M34" s="27">
        <f>Tabela1[[#This Row],[Saldo de Carteira]]*80%</f>
        <v>142.4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7</v>
      </c>
      <c r="F35" s="8">
        <v>1</v>
      </c>
      <c r="G35" s="14">
        <v>2</v>
      </c>
      <c r="H35" s="8">
        <f>D35-E35+Tabela1[[#This Row],[Abertos 2025 2º SEM]]</f>
        <v>116</v>
      </c>
      <c r="I35" s="8">
        <v>41</v>
      </c>
      <c r="J35" s="12">
        <f t="shared" si="0"/>
        <v>0.35344827586206895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4</v>
      </c>
      <c r="G36" s="14">
        <v>4</v>
      </c>
      <c r="H36" s="8">
        <f>D36-E36+Tabela1[[#This Row],[Abertos 2025 2º SEM]]</f>
        <v>266</v>
      </c>
      <c r="I36" s="8">
        <v>41</v>
      </c>
      <c r="J36" s="12">
        <f t="shared" si="0"/>
        <v>0.15413533834586465</v>
      </c>
      <c r="K36" s="10">
        <v>10.37</v>
      </c>
      <c r="L36" s="10"/>
      <c r="M36" s="27">
        <f>Tabela1[[#This Row],[Saldo de Carteira]]*80%</f>
        <v>212.8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3</v>
      </c>
      <c r="G37" s="14">
        <v>5</v>
      </c>
      <c r="H37" s="8">
        <f>D37-E37+Tabela1[[#This Row],[Abertos 2025 2º SEM]]</f>
        <v>172</v>
      </c>
      <c r="I37" s="8">
        <v>17</v>
      </c>
      <c r="J37" s="12">
        <f t="shared" si="0"/>
        <v>9.8837209302325577E-2</v>
      </c>
      <c r="K37" s="10">
        <v>4.93</v>
      </c>
      <c r="L37" s="10"/>
      <c r="M37" s="27">
        <f>Tabela1[[#This Row],[Saldo de Carteira]]*80%</f>
        <v>137.6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134</v>
      </c>
      <c r="E38" s="8">
        <v>14</v>
      </c>
      <c r="F38" s="8">
        <v>0</v>
      </c>
      <c r="G38" s="14">
        <v>3</v>
      </c>
      <c r="H38" s="8">
        <f>D38-E38+Tabela1[[#This Row],[Abertos 2025 2º SEM]]</f>
        <v>120</v>
      </c>
      <c r="I38" s="8">
        <v>10</v>
      </c>
      <c r="J38" s="12">
        <f t="shared" si="0"/>
        <v>8.3333333333333329E-2</v>
      </c>
      <c r="K38" s="10">
        <v>6</v>
      </c>
      <c r="L38" s="10"/>
      <c r="M38" s="27">
        <f>Tabela1[[#This Row],[Saldo de Carteira]]*80%</f>
        <v>96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6</v>
      </c>
      <c r="F39" s="8">
        <v>1</v>
      </c>
      <c r="G39" s="14">
        <v>5</v>
      </c>
      <c r="H39" s="8">
        <f>D39-E39+Tabela1[[#This Row],[Abertos 2025 2º SEM]]</f>
        <v>163</v>
      </c>
      <c r="I39" s="8">
        <v>35</v>
      </c>
      <c r="J39" s="12">
        <f t="shared" si="0"/>
        <v>0.21472392638036811</v>
      </c>
      <c r="K39" s="10">
        <v>6.23</v>
      </c>
      <c r="L39" s="10"/>
      <c r="M39" s="27">
        <f>Tabela1[[#This Row],[Saldo de Carteira]]*80%</f>
        <v>130.4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317</v>
      </c>
      <c r="E40" s="8">
        <v>13</v>
      </c>
      <c r="F40" s="8">
        <v>2</v>
      </c>
      <c r="G40" s="14">
        <v>5</v>
      </c>
      <c r="H40" s="8">
        <f>D40-E40+Tabela1[[#This Row],[Abertos 2025 2º SEM]]</f>
        <v>306</v>
      </c>
      <c r="I40" s="8">
        <v>20</v>
      </c>
      <c r="J40" s="12">
        <f t="shared" si="0"/>
        <v>6.535947712418301E-2</v>
      </c>
      <c r="K40" s="10">
        <v>7.69</v>
      </c>
      <c r="L40" s="10"/>
      <c r="M40" s="27">
        <f>Tabela1[[#This Row],[Saldo de Carteira]]*80%</f>
        <v>244.8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5</v>
      </c>
      <c r="F41" s="8">
        <v>3</v>
      </c>
      <c r="G41" s="14">
        <v>0</v>
      </c>
      <c r="H41" s="8">
        <f>D41-E41+Tabela1[[#This Row],[Abertos 2025 2º SEM]]</f>
        <v>128</v>
      </c>
      <c r="I41" s="8">
        <v>26</v>
      </c>
      <c r="J41" s="12">
        <f t="shared" si="0"/>
        <v>0.203125</v>
      </c>
      <c r="K41" s="10">
        <v>8.8699999999999992</v>
      </c>
      <c r="L41" s="10"/>
      <c r="M41" s="27">
        <f>Tabela1[[#This Row],[Saldo de Carteira]]*80%</f>
        <v>102.4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3</v>
      </c>
      <c r="F42" s="8">
        <v>2</v>
      </c>
      <c r="G42" s="14">
        <v>6</v>
      </c>
      <c r="H42" s="8">
        <f>D42-E42+Tabela1[[#This Row],[Abertos 2025 2º SEM]]</f>
        <v>78</v>
      </c>
      <c r="I42" s="8">
        <v>6</v>
      </c>
      <c r="J42" s="12">
        <f t="shared" si="0"/>
        <v>7.6923076923076927E-2</v>
      </c>
      <c r="K42" s="10">
        <v>8.17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38</v>
      </c>
      <c r="F43" s="8">
        <v>0</v>
      </c>
      <c r="G43" s="14">
        <v>3</v>
      </c>
      <c r="H43" s="8">
        <f>D43-E43+Tabela1[[#This Row],[Abertos 2025 2º SEM]]</f>
        <v>168</v>
      </c>
      <c r="I43" s="8">
        <v>20</v>
      </c>
      <c r="J43" s="12">
        <f t="shared" si="0"/>
        <v>0.11904761904761904</v>
      </c>
      <c r="K43" s="10">
        <v>6.65</v>
      </c>
      <c r="L43" s="10"/>
      <c r="M43" s="27">
        <f>Tabela1[[#This Row],[Saldo de Carteira]]*80%</f>
        <v>134.4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12</v>
      </c>
      <c r="F44" s="8">
        <v>8</v>
      </c>
      <c r="G44" s="14">
        <v>1</v>
      </c>
      <c r="H44" s="8">
        <f>D44-E44+Tabela1[[#This Row],[Abertos 2025 2º SEM]]</f>
        <v>209</v>
      </c>
      <c r="I44" s="8">
        <v>44</v>
      </c>
      <c r="J44" s="12">
        <f t="shared" si="0"/>
        <v>0.21052631578947367</v>
      </c>
      <c r="K44" s="10">
        <v>4.62</v>
      </c>
      <c r="L44" s="10"/>
      <c r="M44" s="27">
        <f>Tabela1[[#This Row],[Saldo de Carteira]]*80%</f>
        <v>167.20000000000002</v>
      </c>
    </row>
    <row r="45" spans="1:13" ht="15" customHeight="1" x14ac:dyDescent="0.25">
      <c r="A45" s="8">
        <v>322</v>
      </c>
      <c r="B45" s="8" t="s">
        <v>37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7">
        <f>Tabela1[[#This Row],[Saldo de Carteira]]*80%</f>
        <v>112.80000000000001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1</v>
      </c>
      <c r="F46" s="8">
        <v>0</v>
      </c>
      <c r="G46" s="14">
        <v>3</v>
      </c>
      <c r="H46" s="8">
        <f>D46-E46+Tabela1[[#This Row],[Abertos 2025 2º SEM]]</f>
        <v>102</v>
      </c>
      <c r="I46" s="8">
        <v>17</v>
      </c>
      <c r="J46" s="12">
        <f t="shared" si="0"/>
        <v>0.16666666666666666</v>
      </c>
      <c r="K46" s="10">
        <v>5.92</v>
      </c>
      <c r="L46" s="10"/>
      <c r="M46" s="27">
        <f>Tabela1[[#This Row],[Saldo de Carteira]]*80%</f>
        <v>81.600000000000009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12</v>
      </c>
      <c r="J47" s="12">
        <f t="shared" si="0"/>
        <v>7.3619631901840496E-2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29</v>
      </c>
      <c r="F48" s="8">
        <v>3</v>
      </c>
      <c r="G48" s="14">
        <v>1</v>
      </c>
      <c r="H48" s="8">
        <f>D48-E48+Tabela1[[#This Row],[Abertos 2025 2º SEM]]</f>
        <v>121</v>
      </c>
      <c r="I48" s="8">
        <v>13</v>
      </c>
      <c r="J48" s="12">
        <f t="shared" si="0"/>
        <v>0.10743801652892562</v>
      </c>
      <c r="K48" s="10">
        <v>7.3</v>
      </c>
      <c r="L48" s="10"/>
      <c r="M48" s="27">
        <f>Tabela1[[#This Row],[Saldo de Carteira]]*80%</f>
        <v>96.800000000000011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0</v>
      </c>
      <c r="F49" s="8">
        <v>2</v>
      </c>
      <c r="G49" s="14">
        <v>2</v>
      </c>
      <c r="H49" s="8">
        <f>D49-E49+Tabela1[[#This Row],[Abertos 2025 2º SEM]]</f>
        <v>119</v>
      </c>
      <c r="I49" s="8">
        <v>32</v>
      </c>
      <c r="J49" s="12">
        <f t="shared" si="0"/>
        <v>0.26890756302521007</v>
      </c>
      <c r="K49" s="10">
        <v>5.19</v>
      </c>
      <c r="L49" s="10"/>
      <c r="M49" s="27">
        <f>Tabela1[[#This Row],[Saldo de Carteira]]*80%</f>
        <v>95.2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0</v>
      </c>
      <c r="F50" s="8">
        <v>3</v>
      </c>
      <c r="G50" s="14">
        <v>2</v>
      </c>
      <c r="H50" s="8">
        <f>D50-E50+Tabela1[[#This Row],[Abertos 2025 2º SEM]]</f>
        <v>139</v>
      </c>
      <c r="I50" s="8">
        <v>19</v>
      </c>
      <c r="J50" s="12">
        <f t="shared" si="0"/>
        <v>0.1366906474820144</v>
      </c>
      <c r="K50" s="10">
        <v>7.4</v>
      </c>
      <c r="L50" s="10"/>
      <c r="M50" s="27">
        <f>Tabela1[[#This Row],[Saldo de Carteira]]*80%</f>
        <v>111.2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17</v>
      </c>
      <c r="G51" s="14">
        <v>1</v>
      </c>
      <c r="H51" s="8">
        <f>D51-E51+Tabela1[[#This Row],[Abertos 2025 2º SEM]]</f>
        <v>110</v>
      </c>
      <c r="I51" s="8">
        <v>5</v>
      </c>
      <c r="J51" s="12">
        <f t="shared" si="0"/>
        <v>4.5454545454545456E-2</v>
      </c>
      <c r="K51" s="10">
        <v>15</v>
      </c>
      <c r="L51" s="10"/>
      <c r="M51" s="27">
        <f>Tabela1[[#This Row],[Saldo de Carteira]]*80%</f>
        <v>88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17</v>
      </c>
      <c r="J52" s="12">
        <f t="shared" si="0"/>
        <v>0.21794871794871795</v>
      </c>
      <c r="K52" s="10">
        <v>6.5</v>
      </c>
      <c r="L52" s="10"/>
      <c r="M52" s="27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38</v>
      </c>
      <c r="C53" s="8">
        <v>9914</v>
      </c>
      <c r="D53" s="8">
        <v>135</v>
      </c>
      <c r="E53" s="8">
        <v>4</v>
      </c>
      <c r="F53" s="8">
        <v>2</v>
      </c>
      <c r="G53" s="14">
        <v>1</v>
      </c>
      <c r="H53" s="8">
        <f>D53-E53+Tabela1[[#This Row],[Abertos 2025 2º SEM]]</f>
        <v>133</v>
      </c>
      <c r="I53" s="8">
        <v>24</v>
      </c>
      <c r="J53" s="12">
        <f t="shared" si="0"/>
        <v>0.18045112781954886</v>
      </c>
      <c r="K53" s="10">
        <v>7.91</v>
      </c>
      <c r="L53" s="10"/>
      <c r="M53" s="27">
        <f>Tabela1[[#This Row],[Saldo de Carteira]]*80%</f>
        <v>106.4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/>
      <c r="E54" s="8">
        <v>0</v>
      </c>
      <c r="F54" s="8">
        <v>1</v>
      </c>
      <c r="G54" s="14">
        <v>0</v>
      </c>
      <c r="H54" s="8">
        <f>D54-E54+Tabela1[[#This Row],[Abertos 2025 2º SEM]]</f>
        <v>1</v>
      </c>
      <c r="I54" s="8">
        <v>7</v>
      </c>
      <c r="J54" s="12">
        <f>I54/H54</f>
        <v>7</v>
      </c>
      <c r="K54" s="10">
        <v>6.67</v>
      </c>
      <c r="L54" s="10"/>
      <c r="M54" s="27">
        <f>Tabela1[[#This Row],[Saldo de Carteira]]*80%</f>
        <v>0.8</v>
      </c>
    </row>
    <row r="55" spans="1:13" x14ac:dyDescent="0.25">
      <c r="A55" s="8">
        <v>311</v>
      </c>
      <c r="B55" s="8" t="s">
        <v>32</v>
      </c>
      <c r="C55" s="8">
        <v>9917</v>
      </c>
      <c r="D55" s="8">
        <v>101</v>
      </c>
      <c r="E55" s="8">
        <v>2</v>
      </c>
      <c r="F55" s="8">
        <v>0</v>
      </c>
      <c r="G55" s="14">
        <v>4</v>
      </c>
      <c r="H55" s="8">
        <f>D55-E55+Tabela1[[#This Row],[Abertos 2025 2º SEM]]</f>
        <v>99</v>
      </c>
      <c r="I55" s="8">
        <v>0</v>
      </c>
      <c r="J55" s="12">
        <f t="shared" si="0"/>
        <v>0</v>
      </c>
      <c r="K55" s="10"/>
      <c r="L55" s="10"/>
      <c r="M55" s="27">
        <f>Tabela1[[#This Row],[Saldo de Carteira]]*80%</f>
        <v>79.2</v>
      </c>
    </row>
    <row r="56" spans="1:13" ht="15" customHeight="1" x14ac:dyDescent="0.25">
      <c r="A56" s="8">
        <v>315</v>
      </c>
      <c r="B56" s="8" t="s">
        <v>33</v>
      </c>
      <c r="C56" s="8">
        <v>9907</v>
      </c>
      <c r="D56" s="8">
        <f>158-36</f>
        <v>122</v>
      </c>
      <c r="E56" s="8">
        <v>2</v>
      </c>
      <c r="F56" s="8">
        <v>2</v>
      </c>
      <c r="G56" s="14">
        <v>0</v>
      </c>
      <c r="H56" s="8">
        <f>D56-E56+Tabela1[[#This Row],[Abertos 2025 2º SEM]]</f>
        <v>122</v>
      </c>
      <c r="I56" s="8">
        <v>43</v>
      </c>
      <c r="J56" s="12">
        <f t="shared" si="0"/>
        <v>0.35245901639344263</v>
      </c>
      <c r="K56" s="10">
        <v>4.58</v>
      </c>
      <c r="L56" s="10"/>
      <c r="M56" s="27">
        <f>Tabela1[[#This Row],[Saldo de Carteira]]*80%</f>
        <v>97.600000000000009</v>
      </c>
    </row>
    <row r="57" spans="1:13" ht="15" customHeight="1" x14ac:dyDescent="0.25">
      <c r="A57" s="8">
        <v>316</v>
      </c>
      <c r="B57" s="8" t="s">
        <v>34</v>
      </c>
      <c r="C57" s="8">
        <v>9902</v>
      </c>
      <c r="D57" s="8">
        <f>85-49</f>
        <v>36</v>
      </c>
      <c r="E57" s="8">
        <v>3</v>
      </c>
      <c r="F57" s="8">
        <v>20</v>
      </c>
      <c r="G57" s="14">
        <v>17</v>
      </c>
      <c r="H57" s="8">
        <f>D57-E57+Tabela1[[#This Row],[Abertos 2025 2º SEM]]</f>
        <v>53</v>
      </c>
      <c r="I57" s="8">
        <v>17</v>
      </c>
      <c r="J57" s="12">
        <f t="shared" si="0"/>
        <v>0.32075471698113206</v>
      </c>
      <c r="K57" s="10">
        <v>6.36</v>
      </c>
      <c r="L57" s="10"/>
      <c r="M57" s="27">
        <f>Tabela1[[#This Row],[Saldo de Carteira]]*80%</f>
        <v>42.400000000000006</v>
      </c>
    </row>
    <row r="58" spans="1:13" ht="15" customHeight="1" x14ac:dyDescent="0.25">
      <c r="A58" s="8">
        <v>317</v>
      </c>
      <c r="B58" s="8" t="s">
        <v>35</v>
      </c>
      <c r="C58" s="8">
        <v>9902</v>
      </c>
      <c r="D58" s="8">
        <v>73</v>
      </c>
      <c r="E58" s="8">
        <v>0</v>
      </c>
      <c r="F58" s="8">
        <v>5</v>
      </c>
      <c r="G58" s="14">
        <v>11</v>
      </c>
      <c r="H58" s="8">
        <f>D58-E58+Tabela1[[#This Row],[Abertos 2025 2º SEM]]</f>
        <v>78</v>
      </c>
      <c r="I58" s="8">
        <v>11</v>
      </c>
      <c r="J58" s="12">
        <f t="shared" si="0"/>
        <v>0.14102564102564102</v>
      </c>
      <c r="K58" s="10">
        <v>9.56</v>
      </c>
      <c r="L58" s="10"/>
      <c r="M58" s="27">
        <f>Tabela1[[#This Row],[Saldo de Carteira]]*80%</f>
        <v>62.400000000000006</v>
      </c>
    </row>
    <row r="59" spans="1:13" ht="15" customHeight="1" x14ac:dyDescent="0.25">
      <c r="A59" s="8">
        <v>320</v>
      </c>
      <c r="B59" s="8" t="s">
        <v>36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0.3359</formula>
    </cfRule>
  </conditionalFormatting>
  <conditionalFormatting sqref="J5:J60">
    <cfRule type="cellIs" dxfId="22" priority="2" operator="lessThan">
      <formula>0.1699</formula>
    </cfRule>
    <cfRule type="cellIs" dxfId="20" priority="3" operator="between">
      <formula>0.17</formula>
      <formula>0.3358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0.33587786259541985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2</v>
      </c>
    </row>
    <row r="7" spans="1:8" x14ac:dyDescent="0.25">
      <c r="A7" s="22" t="s">
        <v>15</v>
      </c>
      <c r="B7" s="22">
        <v>19</v>
      </c>
      <c r="D7">
        <f>D5+D6</f>
        <v>44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0.33587786259541985</v>
      </c>
      <c r="E9" s="31">
        <f>D9</f>
        <v>0.33587786259541985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2381.709923664122</v>
      </c>
    </row>
    <row r="18" spans="1:1" x14ac:dyDescent="0.25">
      <c r="A18" s="24">
        <f>A17-[2]Ausentes!E23</f>
        <v>1117.709923664122</v>
      </c>
    </row>
    <row r="20" spans="1:1" x14ac:dyDescent="0.25">
      <c r="A20" s="25">
        <f ca="1">TODAY()-2</f>
        <v>45839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2025-07-03T10:02:46Z</dcterms:modified>
</cp:coreProperties>
</file>