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BE19E5FB-97F0-40FD-A2EF-C5A6FDFDF390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K6" i="1"/>
  <c r="D42" i="1"/>
  <c r="D5" i="5"/>
  <c r="D2" i="5"/>
  <c r="H54" i="1" l="1"/>
  <c r="D7" i="5"/>
  <c r="D3" i="5" s="1"/>
  <c r="D52" i="1"/>
  <c r="D27" i="1"/>
  <c r="D26" i="1"/>
  <c r="D14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<sst xmlns="http://schemas.openxmlformats.org/spreadsheetml/2006/main" count="43" uniqueCount="42">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</sst>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09/07/2025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36,64%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7022</v>
          </cell>
          <cell r="E23">
            <v>1427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18" tableBorderDxfId="17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6" dataCellStyle="Normal">
      <calculatedColumnFormula>I9/H9</calculatedColumnFormula>
    </tableColumn>
    <tableColumn id="7" xr3:uid="{DB269E38-4E7F-4032-855F-5F7E2DDD3628}" name="mix" dataDxfId="5" totalsRowDxfId="4"/>
    <tableColumn id="12" xr3:uid="{5E7F18D1-3A42-4F78-BD2B-40CF376728D7}" name="Meta Cob. Dia Crianças" dataDxfId="3" totalsRowDxfId="2"/>
    <tableColumn id="13" xr3:uid="{0BC7EA2F-5567-46FC-9D2B-47B38F66221B}" name="Meta Cob. Coleção" dataDxfId="1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topLeftCell="A35" zoomScale="85" zoomScaleNormal="85" workbookViewId="0">
      <selection activeCell="H15" sqref="H15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45847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4.252381609830181E-2</v>
      </c>
      <c r="F5" s="16">
        <f>F6/D6</f>
        <v>3.1340604721800357E-2</v>
      </c>
      <c r="G5" s="16">
        <f>G6/D6</f>
        <v>2.4161259146762391E-2</v>
      </c>
      <c r="I5" s="29"/>
      <c r="J5" s="26">
        <f>J6-'% cOB. caRT'!D9</f>
        <v>-0.16716619307583919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308</v>
      </c>
      <c r="F6" s="2">
        <f>SUBTOTAL(9,Tabela1[Abertos 2025 2º SEM])</f>
        <v>227</v>
      </c>
      <c r="G6" s="2">
        <f>SUBTOTAL(9,Tabela1[Sem Limite])</f>
        <v>175</v>
      </c>
      <c r="H6" s="2">
        <f>SUBTOTAL(9,Tabela1[Saldo de Carteira])</f>
        <v>7162</v>
      </c>
      <c r="I6" s="2">
        <f>SUBTOTAL(9,Tabela1[cobertura])</f>
        <v>1427</v>
      </c>
      <c r="J6" s="26">
        <f>I6/H6</f>
        <v>0.19924602066461883</v>
      </c>
      <c r="K6" s="3">
        <f>SUBTOTAL(101,Tabela1[mix])</f>
        <v>8.1488000000000014</v>
      </c>
      <c r="L6" s="3"/>
      <c r="M6" s="2">
        <f>SUBTOTAL(9,Tabela1[Meta Cob. Coleção])</f>
        <v>5729.5999999999995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2</v>
      </c>
      <c r="G9" s="14">
        <v>8</v>
      </c>
      <c r="H9" s="8">
        <f>D9-E9+Tabela1[[#This Row],[Abertos 2025 2º SEM]]</f>
        <v>139</v>
      </c>
      <c r="I9" s="8">
        <v>13</v>
      </c>
      <c r="J9" s="12">
        <f t="shared" ref="J9:J59" si="0">I9/H9</f>
        <v>9.3525179856115109E-2</v>
      </c>
      <c r="K9" s="10">
        <v>14.92</v>
      </c>
      <c r="L9" s="10"/>
      <c r="M9" s="27">
        <f>Tabela1[[#This Row],[Saldo de Carteira]]*80%</f>
        <v>111.2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20</v>
      </c>
      <c r="F10" s="8">
        <v>7</v>
      </c>
      <c r="G10" s="14">
        <v>6</v>
      </c>
      <c r="H10" s="8">
        <f>D10-E10+Tabela1[[#This Row],[Abertos 2025 2º SEM]]</f>
        <v>162</v>
      </c>
      <c r="I10" s="8">
        <v>54</v>
      </c>
      <c r="J10" s="12">
        <f t="shared" si="0"/>
        <v>0.33333333333333331</v>
      </c>
      <c r="K10" s="10">
        <v>12.53</v>
      </c>
      <c r="L10" s="10"/>
      <c r="M10" s="27">
        <f>Tabela1[[#This Row],[Saldo de Carteira]]*80%</f>
        <v>129.6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4</v>
      </c>
      <c r="F11" s="8">
        <v>2</v>
      </c>
      <c r="G11" s="14">
        <v>0</v>
      </c>
      <c r="H11" s="8">
        <f>D11-E11+Tabela1[[#This Row],[Abertos 2025 2º SEM]]</f>
        <v>109</v>
      </c>
      <c r="I11" s="8">
        <v>29</v>
      </c>
      <c r="J11" s="12">
        <f t="shared" si="0"/>
        <v>0.26605504587155965</v>
      </c>
      <c r="K11" s="10">
        <v>12.53</v>
      </c>
      <c r="L11" s="10"/>
      <c r="M11" s="27">
        <f>Tabela1[[#This Row],[Saldo de Carteira]]*80%</f>
        <v>87.2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8</v>
      </c>
      <c r="F12" s="8">
        <v>11</v>
      </c>
      <c r="G12" s="14">
        <v>2</v>
      </c>
      <c r="H12" s="8">
        <f>D12-E12+Tabela1[[#This Row],[Abertos 2025 2º SEM]]</f>
        <v>187</v>
      </c>
      <c r="I12" s="8">
        <v>67</v>
      </c>
      <c r="J12" s="12">
        <f t="shared" si="0"/>
        <v>0.35828877005347592</v>
      </c>
      <c r="K12" s="10">
        <v>7.87</v>
      </c>
      <c r="L12" s="10"/>
      <c r="M12" s="27">
        <f>Tabela1[[#This Row],[Saldo de Carteira]]*80%</f>
        <v>149.6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6</v>
      </c>
      <c r="F13" s="8">
        <v>4</v>
      </c>
      <c r="G13" s="14">
        <v>4</v>
      </c>
      <c r="H13" s="8">
        <f>D13-E13+Tabela1[[#This Row],[Abertos 2025 2º SEM]]</f>
        <v>143</v>
      </c>
      <c r="I13" s="8">
        <v>22</v>
      </c>
      <c r="J13" s="12">
        <f t="shared" si="0"/>
        <v>0.15384615384615385</v>
      </c>
      <c r="K13" s="10">
        <v>8.75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1</v>
      </c>
      <c r="F14" s="8">
        <v>0</v>
      </c>
      <c r="G14" s="14">
        <v>3</v>
      </c>
      <c r="H14" s="8">
        <f>D14-E14+Tabela1[[#This Row],[Abertos 2025 2º SEM]]</f>
        <v>125</v>
      </c>
      <c r="I14" s="8">
        <v>38</v>
      </c>
      <c r="J14" s="12">
        <f t="shared" si="0"/>
        <v>0.30399999999999999</v>
      </c>
      <c r="K14" s="10">
        <v>12.4</v>
      </c>
      <c r="L14" s="10"/>
      <c r="M14" s="27">
        <f>Tabela1[[#This Row],[Saldo de Carteira]]*80%</f>
        <v>100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1</v>
      </c>
      <c r="F15" s="8">
        <v>4</v>
      </c>
      <c r="G15" s="14">
        <v>7</v>
      </c>
      <c r="H15" s="8">
        <f>D15-E15+Tabela1[[#This Row],[Abertos 2025 2º SEM]]</f>
        <v>147</v>
      </c>
      <c r="I15" s="8">
        <v>29</v>
      </c>
      <c r="J15" s="12">
        <f t="shared" si="0"/>
        <v>0.19727891156462585</v>
      </c>
      <c r="K15" s="10">
        <v>11.9</v>
      </c>
      <c r="L15" s="10"/>
      <c r="M15" s="27">
        <f>Tabela1[[#This Row],[Saldo de Carteira]]*80%</f>
        <v>117.60000000000001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10</v>
      </c>
      <c r="F16" s="8">
        <v>14</v>
      </c>
      <c r="G16" s="14">
        <v>2</v>
      </c>
      <c r="H16" s="8">
        <f>D16-E16+Tabela1[[#This Row],[Abertos 2025 2º SEM]]</f>
        <v>110</v>
      </c>
      <c r="I16" s="8">
        <v>33</v>
      </c>
      <c r="J16" s="12">
        <f t="shared" si="0"/>
        <v>0.3</v>
      </c>
      <c r="K16" s="10">
        <v>4.76</v>
      </c>
      <c r="L16" s="10"/>
      <c r="M16" s="27">
        <f>Tabela1[[#This Row],[Saldo de Carteira]]*80%</f>
        <v>88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4</v>
      </c>
      <c r="G17" s="14">
        <v>3</v>
      </c>
      <c r="H17" s="8">
        <f>D17-E17+Tabela1[[#This Row],[Abertos 2025 2º SEM]]</f>
        <v>66</v>
      </c>
      <c r="I17" s="8">
        <v>17</v>
      </c>
      <c r="J17" s="12">
        <f t="shared" si="0"/>
        <v>0.25757575757575757</v>
      </c>
      <c r="K17" s="10">
        <v>6.17</v>
      </c>
      <c r="L17" s="10"/>
      <c r="M17" s="27">
        <f>Tabela1[[#This Row],[Saldo de Carteira]]*80%</f>
        <v>52.800000000000004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73</v>
      </c>
      <c r="J18" s="12">
        <f t="shared" si="0"/>
        <v>0.32589285714285715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3</v>
      </c>
      <c r="F19" s="8">
        <v>5</v>
      </c>
      <c r="G19" s="14">
        <v>0</v>
      </c>
      <c r="H19" s="8">
        <f>D19-E19+Tabela1[[#This Row],[Abertos 2025 2º SEM]]</f>
        <v>95</v>
      </c>
      <c r="I19" s="8">
        <v>35</v>
      </c>
      <c r="J19" s="12">
        <f t="shared" si="0"/>
        <v>0.36842105263157893</v>
      </c>
      <c r="K19" s="10">
        <v>4.4800000000000004</v>
      </c>
      <c r="L19" s="10"/>
      <c r="M19" s="27">
        <f>Tabela1[[#This Row],[Saldo de Carteira]]*80%</f>
        <v>76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4</v>
      </c>
      <c r="G20" s="14">
        <v>9</v>
      </c>
      <c r="H20" s="8">
        <f>D20-E20+Tabela1[[#This Row],[Abertos 2025 2º SEM]]</f>
        <v>87</v>
      </c>
      <c r="I20" s="8">
        <v>14</v>
      </c>
      <c r="J20" s="12">
        <f t="shared" si="0"/>
        <v>0.16091954022988506</v>
      </c>
      <c r="K20" s="10">
        <v>10</v>
      </c>
      <c r="L20" s="10"/>
      <c r="M20" s="27">
        <f>Tabela1[[#This Row],[Saldo de Carteira]]*80%</f>
        <v>69.600000000000009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28</v>
      </c>
      <c r="J21" s="12">
        <f t="shared" si="0"/>
        <v>0.29166666666666669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4</v>
      </c>
      <c r="G22" s="14">
        <v>4</v>
      </c>
      <c r="H22" s="8">
        <f>D22-E22+Tabela1[[#This Row],[Abertos 2025 2º SEM]]</f>
        <v>157</v>
      </c>
      <c r="I22" s="8">
        <v>18</v>
      </c>
      <c r="J22" s="12">
        <f t="shared" si="0"/>
        <v>0.11464968152866242</v>
      </c>
      <c r="K22" s="10">
        <v>4.82</v>
      </c>
      <c r="L22" s="10"/>
      <c r="M22" s="27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9</v>
      </c>
      <c r="F23" s="8">
        <v>8</v>
      </c>
      <c r="G23" s="14">
        <v>5</v>
      </c>
      <c r="H23" s="8">
        <f>D23-E23+Tabela1[[#This Row],[Abertos 2025 2º SEM]]</f>
        <v>157</v>
      </c>
      <c r="I23" s="8">
        <v>39</v>
      </c>
      <c r="J23" s="12">
        <f t="shared" si="0"/>
        <v>0.24840764331210191</v>
      </c>
      <c r="K23" s="10">
        <v>7.5</v>
      </c>
      <c r="L23" s="10"/>
      <c r="M23" s="27">
        <f>Tabela1[[#This Row],[Saldo de Carteira]]*80%</f>
        <v>125.60000000000001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14</v>
      </c>
      <c r="F24" s="8">
        <v>11</v>
      </c>
      <c r="G24" s="14">
        <v>8</v>
      </c>
      <c r="H24" s="8">
        <f>D24-E24+Tabela1[[#This Row],[Abertos 2025 2º SEM]]</f>
        <v>226</v>
      </c>
      <c r="I24" s="8">
        <v>58</v>
      </c>
      <c r="J24" s="12">
        <f t="shared" si="0"/>
        <v>0.25663716814159293</v>
      </c>
      <c r="K24" s="10">
        <v>9.52</v>
      </c>
      <c r="L24" s="10"/>
      <c r="M24" s="27">
        <f>Tabela1[[#This Row],[Saldo de Carteira]]*80%</f>
        <v>180.8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4</v>
      </c>
      <c r="F25" s="8">
        <v>0</v>
      </c>
      <c r="G25" s="14">
        <v>1</v>
      </c>
      <c r="H25" s="8">
        <f>D25-E25+Tabela1[[#This Row],[Abertos 2025 2º SEM]]</f>
        <v>102</v>
      </c>
      <c r="I25" s="8">
        <v>29</v>
      </c>
      <c r="J25" s="12">
        <f t="shared" si="0"/>
        <v>0.28431372549019607</v>
      </c>
      <c r="K25" s="10">
        <v>7.29</v>
      </c>
      <c r="L25" s="10"/>
      <c r="M25" s="27">
        <f>Tabela1[[#This Row],[Saldo de Carteira]]*80%</f>
        <v>81.600000000000009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0</v>
      </c>
      <c r="G26" s="14">
        <v>2</v>
      </c>
      <c r="H26" s="8">
        <f>D26-E26+Tabela1[[#This Row],[Abertos 2025 2º SEM]]</f>
        <v>89</v>
      </c>
      <c r="I26" s="8">
        <v>16</v>
      </c>
      <c r="J26" s="12">
        <f t="shared" si="0"/>
        <v>0.1797752808988764</v>
      </c>
      <c r="K26" s="10">
        <v>7.29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1</v>
      </c>
      <c r="H27" s="8">
        <f>D27-E27+Tabela1[[#This Row],[Abertos 2025 2º SEM]]</f>
        <v>122</v>
      </c>
      <c r="I27" s="8">
        <v>29</v>
      </c>
      <c r="J27" s="12">
        <f t="shared" si="0"/>
        <v>0.23770491803278687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9</v>
      </c>
      <c r="F28" s="8">
        <v>5</v>
      </c>
      <c r="G28" s="14">
        <v>5</v>
      </c>
      <c r="H28" s="8">
        <f>D28-E28+Tabela1[[#This Row],[Abertos 2025 2º SEM]]</f>
        <v>174</v>
      </c>
      <c r="I28" s="8">
        <v>54</v>
      </c>
      <c r="J28" s="12">
        <f t="shared" si="0"/>
        <v>0.31034482758620691</v>
      </c>
      <c r="K28" s="10">
        <v>7.33</v>
      </c>
      <c r="L28" s="10"/>
      <c r="M28" s="27">
        <f>Tabela1[[#This Row],[Saldo de Carteira]]*80%</f>
        <v>139.20000000000002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4</v>
      </c>
      <c r="F29" s="8">
        <v>2</v>
      </c>
      <c r="G29" s="14">
        <v>0</v>
      </c>
      <c r="H29" s="8">
        <f>D29-E29+Tabela1[[#This Row],[Abertos 2025 2º SEM]]</f>
        <v>125</v>
      </c>
      <c r="I29" s="8">
        <v>16</v>
      </c>
      <c r="J29" s="12">
        <f t="shared" si="0"/>
        <v>0.128</v>
      </c>
      <c r="K29" s="10">
        <v>11</v>
      </c>
      <c r="L29" s="10"/>
      <c r="M29" s="27">
        <f>Tabela1[[#This Row],[Saldo de Carteira]]*80%</f>
        <v>100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9</v>
      </c>
      <c r="G30" s="14">
        <v>1</v>
      </c>
      <c r="H30" s="8">
        <f>D30-E30+Tabela1[[#This Row],[Abertos 2025 2º SEM]]</f>
        <v>260</v>
      </c>
      <c r="I30" s="8">
        <v>20</v>
      </c>
      <c r="J30" s="12">
        <f t="shared" si="0"/>
        <v>7.6923076923076927E-2</v>
      </c>
      <c r="K30" s="10">
        <v>7.5</v>
      </c>
      <c r="L30" s="10"/>
      <c r="M30" s="27">
        <f>Tabela1[[#This Row],[Saldo de Carteira]]*80%</f>
        <v>208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42</v>
      </c>
      <c r="J31" s="12">
        <f t="shared" si="0"/>
        <v>0.30656934306569344</v>
      </c>
      <c r="K31" s="10">
        <v>6.54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6</v>
      </c>
      <c r="F32" s="8">
        <v>1</v>
      </c>
      <c r="G32" s="14">
        <v>0</v>
      </c>
      <c r="H32" s="8">
        <f>D32-E32+Tabela1[[#This Row],[Abertos 2025 2º SEM]]</f>
        <v>112</v>
      </c>
      <c r="I32" s="8">
        <v>11</v>
      </c>
      <c r="J32" s="12">
        <f t="shared" si="0"/>
        <v>9.8214285714285712E-2</v>
      </c>
      <c r="K32" s="10">
        <v>16.13</v>
      </c>
      <c r="L32" s="10"/>
      <c r="M32" s="27">
        <f>Tabela1[[#This Row],[Saldo de Carteira]]*80%</f>
        <v>89.600000000000009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3</v>
      </c>
      <c r="F33" s="8">
        <v>1</v>
      </c>
      <c r="G33" s="14">
        <v>2</v>
      </c>
      <c r="H33" s="8">
        <f>D33-E33+Tabela1[[#This Row],[Abertos 2025 2º SEM]]</f>
        <v>258</v>
      </c>
      <c r="I33" s="8">
        <v>14</v>
      </c>
      <c r="J33" s="12">
        <f t="shared" si="0"/>
        <v>5.4263565891472867E-2</v>
      </c>
      <c r="K33" s="10">
        <v>5.88</v>
      </c>
      <c r="L33" s="10"/>
      <c r="M33" s="27">
        <f>Tabela1[[#This Row],[Saldo de Carteira]]*80%</f>
        <v>206.4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5</v>
      </c>
      <c r="F34" s="8">
        <v>5</v>
      </c>
      <c r="G34" s="14">
        <v>4</v>
      </c>
      <c r="H34" s="8">
        <f>D34-E34+Tabela1[[#This Row],[Abertos 2025 2º SEM]]</f>
        <v>177</v>
      </c>
      <c r="I34" s="8">
        <v>44</v>
      </c>
      <c r="J34" s="12">
        <f t="shared" si="0"/>
        <v>0.24858757062146894</v>
      </c>
      <c r="K34" s="10">
        <v>6.59</v>
      </c>
      <c r="L34" s="10"/>
      <c r="M34" s="27">
        <f>Tabela1[[#This Row],[Saldo de Carteira]]*80%</f>
        <v>141.6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8</v>
      </c>
      <c r="F35" s="8">
        <v>2</v>
      </c>
      <c r="G35" s="14">
        <v>2</v>
      </c>
      <c r="H35" s="8">
        <f>D35-E35+Tabela1[[#This Row],[Abertos 2025 2º SEM]]</f>
        <v>116</v>
      </c>
      <c r="I35" s="8">
        <v>48</v>
      </c>
      <c r="J35" s="12">
        <f t="shared" si="0"/>
        <v>0.41379310344827586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11</v>
      </c>
      <c r="F36" s="8">
        <v>5</v>
      </c>
      <c r="G36" s="14">
        <v>4</v>
      </c>
      <c r="H36" s="8">
        <f>D36-E36+Tabela1[[#This Row],[Abertos 2025 2º SEM]]</f>
        <v>266</v>
      </c>
      <c r="I36" s="8">
        <v>47</v>
      </c>
      <c r="J36" s="12">
        <f t="shared" si="0"/>
        <v>0.17669172932330826</v>
      </c>
      <c r="K36" s="10">
        <v>10.37</v>
      </c>
      <c r="L36" s="10"/>
      <c r="M36" s="27">
        <f>Tabela1[[#This Row],[Saldo de Carteira]]*80%</f>
        <v>212.8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4</v>
      </c>
      <c r="G37" s="14">
        <v>5</v>
      </c>
      <c r="H37" s="8">
        <f>D37-E37+Tabela1[[#This Row],[Abertos 2025 2º SEM]]</f>
        <v>173</v>
      </c>
      <c r="I37" s="8">
        <v>25</v>
      </c>
      <c r="J37" s="12">
        <f t="shared" si="0"/>
        <v>0.14450867052023122</v>
      </c>
      <c r="K37" s="10">
        <v>4.93</v>
      </c>
      <c r="L37" s="10"/>
      <c r="M37" s="27">
        <f>Tabela1[[#This Row],[Saldo de Carteira]]*80%</f>
        <v>138.4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14</v>
      </c>
      <c r="F38" s="8">
        <v>0</v>
      </c>
      <c r="G38" s="14">
        <v>4</v>
      </c>
      <c r="H38" s="8">
        <f>D38-E38+Tabela1[[#This Row],[Abertos 2025 2º SEM]]</f>
        <v>79</v>
      </c>
      <c r="I38" s="8">
        <v>11</v>
      </c>
      <c r="J38" s="12">
        <f t="shared" si="0"/>
        <v>0.13924050632911392</v>
      </c>
      <c r="K38" s="10">
        <v>6</v>
      </c>
      <c r="L38" s="10"/>
      <c r="M38" s="27">
        <f>Tabela1[[#This Row],[Saldo de Carteira]]*80%</f>
        <v>63.2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8</v>
      </c>
      <c r="F39" s="8">
        <v>1</v>
      </c>
      <c r="G39" s="14">
        <v>5</v>
      </c>
      <c r="H39" s="8">
        <f>D39-E39+Tabela1[[#This Row],[Abertos 2025 2º SEM]]</f>
        <v>161</v>
      </c>
      <c r="I39" s="8">
        <v>41</v>
      </c>
      <c r="J39" s="12">
        <f t="shared" si="0"/>
        <v>0.25465838509316768</v>
      </c>
      <c r="K39" s="10">
        <v>6.23</v>
      </c>
      <c r="L39" s="10"/>
      <c r="M39" s="27">
        <f>Tabela1[[#This Row],[Saldo de Carteira]]*80%</f>
        <v>128.80000000000001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15</v>
      </c>
      <c r="F40" s="8">
        <v>2</v>
      </c>
      <c r="G40" s="14">
        <v>5</v>
      </c>
      <c r="H40" s="8">
        <f>D40-E40+Tabela1[[#This Row],[Abertos 2025 2º SEM]]</f>
        <v>201</v>
      </c>
      <c r="I40" s="8">
        <v>20</v>
      </c>
      <c r="J40" s="12">
        <f t="shared" si="0"/>
        <v>9.950248756218906E-2</v>
      </c>
      <c r="K40" s="10">
        <v>7.69</v>
      </c>
      <c r="L40" s="10"/>
      <c r="M40" s="27">
        <f>Tabela1[[#This Row],[Saldo de Carteira]]*80%</f>
        <v>160.80000000000001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30</v>
      </c>
      <c r="J41" s="12">
        <f t="shared" si="0"/>
        <v>0.23622047244094488</v>
      </c>
      <c r="K41" s="10">
        <v>8.8699999999999992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3</v>
      </c>
      <c r="F42" s="8">
        <v>3</v>
      </c>
      <c r="G42" s="14">
        <v>6</v>
      </c>
      <c r="H42" s="8">
        <f>D42-E42+Tabela1[[#This Row],[Abertos 2025 2º SEM]]</f>
        <v>79</v>
      </c>
      <c r="I42" s="8">
        <v>9</v>
      </c>
      <c r="J42" s="12">
        <f t="shared" si="0"/>
        <v>0.11392405063291139</v>
      </c>
      <c r="K42" s="10">
        <v>8.17</v>
      </c>
      <c r="L42" s="10"/>
      <c r="M42" s="27">
        <f>Tabela1[[#This Row],[Saldo de Carteira]]*80%</f>
        <v>63.2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38</v>
      </c>
      <c r="F43" s="8">
        <v>1</v>
      </c>
      <c r="G43" s="14">
        <v>2</v>
      </c>
      <c r="H43" s="8">
        <f>D43-E43+Tabela1[[#This Row],[Abertos 2025 2º SEM]]</f>
        <v>169</v>
      </c>
      <c r="I43" s="8">
        <v>20</v>
      </c>
      <c r="J43" s="12">
        <f t="shared" si="0"/>
        <v>0.11834319526627218</v>
      </c>
      <c r="K43" s="10">
        <v>6.65</v>
      </c>
      <c r="L43" s="10"/>
      <c r="M43" s="27">
        <f>Tabela1[[#This Row],[Saldo de Carteira]]*80%</f>
        <v>135.20000000000002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13</v>
      </c>
      <c r="F44" s="8">
        <v>9</v>
      </c>
      <c r="G44" s="14">
        <v>1</v>
      </c>
      <c r="H44" s="8">
        <f>D44-E44+Tabela1[[#This Row],[Abertos 2025 2º SEM]]</f>
        <v>209</v>
      </c>
      <c r="I44" s="8">
        <v>48</v>
      </c>
      <c r="J44" s="12">
        <f t="shared" si="0"/>
        <v>0.22966507177033493</v>
      </c>
      <c r="K44" s="10">
        <v>4.62</v>
      </c>
      <c r="L44" s="10"/>
      <c r="M44" s="27">
        <f>Tabela1[[#This Row],[Saldo de Carteira]]*80%</f>
        <v>167.20000000000002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7">
        <f>Tabela1[[#This Row],[Saldo de Carteira]]*80%</f>
        <v>112.80000000000001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1</v>
      </c>
      <c r="F46" s="8">
        <v>0</v>
      </c>
      <c r="G46" s="14">
        <v>3</v>
      </c>
      <c r="H46" s="8">
        <f>D46-E46+Tabela1[[#This Row],[Abertos 2025 2º SEM]]</f>
        <v>102</v>
      </c>
      <c r="I46" s="8">
        <v>19</v>
      </c>
      <c r="J46" s="12">
        <f t="shared" si="0"/>
        <v>0.18627450980392157</v>
      </c>
      <c r="K46" s="10">
        <v>5.92</v>
      </c>
      <c r="L46" s="10"/>
      <c r="M46" s="27">
        <f>Tabela1[[#This Row],[Saldo de Carteira]]*80%</f>
        <v>81.600000000000009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13</v>
      </c>
      <c r="J47" s="12">
        <f t="shared" si="0"/>
        <v>7.9754601226993863E-2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28</v>
      </c>
      <c r="F48" s="8">
        <v>3</v>
      </c>
      <c r="G48" s="14">
        <v>1</v>
      </c>
      <c r="H48" s="8">
        <f>D48-E48+Tabela1[[#This Row],[Abertos 2025 2º SEM]]</f>
        <v>122</v>
      </c>
      <c r="I48" s="8">
        <v>15</v>
      </c>
      <c r="J48" s="12">
        <f t="shared" si="0"/>
        <v>0.12295081967213115</v>
      </c>
      <c r="K48" s="10">
        <v>7.3</v>
      </c>
      <c r="L48" s="10"/>
      <c r="M48" s="27">
        <f>Tabela1[[#This Row],[Saldo de Carteira]]*80%</f>
        <v>97.600000000000009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4</v>
      </c>
      <c r="G49" s="14">
        <v>2</v>
      </c>
      <c r="H49" s="8">
        <f>D49-E49+Tabela1[[#This Row],[Abertos 2025 2º SEM]]</f>
        <v>120</v>
      </c>
      <c r="I49" s="8">
        <v>34</v>
      </c>
      <c r="J49" s="12">
        <f t="shared" si="0"/>
        <v>0.28333333333333333</v>
      </c>
      <c r="K49" s="10">
        <v>5.19</v>
      </c>
      <c r="L49" s="10"/>
      <c r="M49" s="27">
        <f>Tabela1[[#This Row],[Saldo de Carteira]]*80%</f>
        <v>96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0</v>
      </c>
      <c r="F50" s="8">
        <v>5</v>
      </c>
      <c r="G50" s="14">
        <v>2</v>
      </c>
      <c r="H50" s="8">
        <f>D50-E50+Tabela1[[#This Row],[Abertos 2025 2º SEM]]</f>
        <v>141</v>
      </c>
      <c r="I50" s="8">
        <v>29</v>
      </c>
      <c r="J50" s="12">
        <f t="shared" si="0"/>
        <v>0.20567375886524822</v>
      </c>
      <c r="K50" s="10">
        <v>7.4</v>
      </c>
      <c r="L50" s="10"/>
      <c r="M50" s="27">
        <f>Tabela1[[#This Row],[Saldo de Carteira]]*80%</f>
        <v>112.80000000000001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18</v>
      </c>
      <c r="G51" s="14">
        <v>1</v>
      </c>
      <c r="H51" s="8">
        <f>D51-E51+Tabela1[[#This Row],[Abertos 2025 2º SEM]]</f>
        <v>111</v>
      </c>
      <c r="I51" s="8">
        <v>12</v>
      </c>
      <c r="J51" s="12">
        <f t="shared" si="0"/>
        <v>0.10810810810810811</v>
      </c>
      <c r="K51" s="10">
        <v>15</v>
      </c>
      <c r="L51" s="10"/>
      <c r="M51" s="27">
        <f>Tabela1[[#This Row],[Saldo de Carteira]]*80%</f>
        <v>88.800000000000011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19</v>
      </c>
      <c r="J52" s="12">
        <f t="shared" si="0"/>
        <v>0.24358974358974358</v>
      </c>
      <c r="K52" s="10">
        <v>6.5</v>
      </c>
      <c r="L52" s="10"/>
      <c r="M52" s="27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4</v>
      </c>
      <c r="F53" s="8">
        <v>2</v>
      </c>
      <c r="G53" s="14">
        <v>1</v>
      </c>
      <c r="H53" s="8">
        <f>D53-E53+Tabela1[[#This Row],[Abertos 2025 2º SEM]]</f>
        <v>133</v>
      </c>
      <c r="I53" s="8">
        <v>24</v>
      </c>
      <c r="J53" s="12">
        <f t="shared" si="0"/>
        <v>0.18045112781954886</v>
      </c>
      <c r="K53" s="10">
        <v>7.91</v>
      </c>
      <c r="L53" s="10"/>
      <c r="M53" s="27">
        <f>Tabela1[[#This Row],[Saldo de Carteira]]*80%</f>
        <v>106.4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0</v>
      </c>
      <c r="F54" s="8">
        <v>1</v>
      </c>
      <c r="G54" s="14">
        <v>0</v>
      </c>
      <c r="H54" s="8">
        <f>D54-E54+Tabela1[[#This Row],[Abertos 2025 2º SEM]]</f>
        <v>140</v>
      </c>
      <c r="I54" s="8">
        <v>8</v>
      </c>
      <c r="J54" s="12">
        <f>I54/H54</f>
        <v>5.7142857142857141E-2</v>
      </c>
      <c r="K54" s="10">
        <v>6.67</v>
      </c>
      <c r="L54" s="10"/>
      <c r="M54" s="27">
        <f>Tabela1[[#This Row],[Saldo de Carteira]]*80%</f>
        <v>112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3</v>
      </c>
      <c r="G55" s="14">
        <v>0</v>
      </c>
      <c r="H55" s="8">
        <f>D55-E55+Tabela1[[#This Row],[Abertos 2025 2º SEM]]</f>
        <v>104</v>
      </c>
      <c r="I55" s="8">
        <v>3</v>
      </c>
      <c r="J55" s="12">
        <f t="shared" si="0"/>
        <v>2.8846153846153848E-2</v>
      </c>
      <c r="K55" s="10"/>
      <c r="L55" s="10"/>
      <c r="M55" s="27">
        <f>Tabela1[[#This Row],[Saldo de Carteira]]*80%</f>
        <v>83.2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3</v>
      </c>
      <c r="F56" s="8">
        <v>2</v>
      </c>
      <c r="G56" s="14">
        <v>0</v>
      </c>
      <c r="H56" s="8">
        <f>D56-E56+Tabela1[[#This Row],[Abertos 2025 2º SEM]]</f>
        <v>121</v>
      </c>
      <c r="I56" s="8">
        <v>47</v>
      </c>
      <c r="J56" s="12">
        <f t="shared" si="0"/>
        <v>0.38842975206611569</v>
      </c>
      <c r="K56" s="10">
        <v>4.58</v>
      </c>
      <c r="L56" s="10"/>
      <c r="M56" s="27">
        <f>Tabela1[[#This Row],[Saldo de Carteira]]*80%</f>
        <v>96.800000000000011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3</v>
      </c>
      <c r="F57" s="8">
        <v>20</v>
      </c>
      <c r="G57" s="14">
        <v>18</v>
      </c>
      <c r="H57" s="8">
        <f>D57-E57+Tabela1[[#This Row],[Abertos 2025 2º SEM]]</f>
        <v>101</v>
      </c>
      <c r="I57" s="8">
        <v>19</v>
      </c>
      <c r="J57" s="12">
        <f t="shared" si="0"/>
        <v>0.18811881188118812</v>
      </c>
      <c r="K57" s="10">
        <v>6.36</v>
      </c>
      <c r="L57" s="10"/>
      <c r="M57" s="27">
        <f>Tabela1[[#This Row],[Saldo de Carteira]]*80%</f>
        <v>80.800000000000011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0</v>
      </c>
      <c r="F58" s="8">
        <v>5</v>
      </c>
      <c r="G58" s="14">
        <v>11</v>
      </c>
      <c r="H58" s="8">
        <f>D58-E58+Tabela1[[#This Row],[Abertos 2025 2º SEM]]</f>
        <v>78</v>
      </c>
      <c r="I58" s="8">
        <v>12</v>
      </c>
      <c r="J58" s="12">
        <f t="shared" si="0"/>
        <v>0.15384615384615385</v>
      </c>
      <c r="K58" s="10">
        <v>9.56</v>
      </c>
      <c r="L58" s="10"/>
      <c r="M58" s="27">
        <f>Tabela1[[#This Row],[Saldo de Carteira]]*80%</f>
        <v>62.400000000000006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0.3588</formula>
    </cfRule>
  </conditionalFormatting>
  <conditionalFormatting sqref="J5:J60">
    <cfRule type="cellIs" dxfId="20" priority="2" operator="lessThan">
      <formula>0.2</formula>
    </cfRule>
    <cfRule type="cellIs" dxfId="19" priority="3" operator="between">
      <formula>0.1999</formula>
      <formula>0.3584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0.36641221374045801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6</v>
      </c>
    </row>
    <row r="7" spans="1:8" x14ac:dyDescent="0.25">
      <c r="A7" s="22" t="s">
        <v>15</v>
      </c>
      <c r="B7" s="22">
        <v>19</v>
      </c>
      <c r="D7">
        <f>D5+D6</f>
        <v>48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0.36641221374045801</v>
      </c>
      <c r="E9" s="31">
        <f>D9</f>
        <v>0.36641221374045801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2572.9465648854962</v>
      </c>
    </row>
    <row r="18" spans="1:1" x14ac:dyDescent="0.25">
      <c r="A18" s="24">
        <f>A17-[2]Ausentes!E23</f>
        <v>1145.9465648854962</v>
      </c>
    </row>
    <row r="20" spans="1:1" x14ac:dyDescent="0.25">
      <c r="A20" s="25">
        <f ca="1">TODAY()-2</f>
        <v>45846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2025-07-10T12:49:00Z</dcterms:modified>
</cp:coreProperties>
</file>