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"/>
    </mc:Choice>
  </mc:AlternateContent>
  <xr:revisionPtr revIDLastSave="0" documentId="13_ncr:1_{D97F5712-06B5-47B4-A672-1E80AE99F225}" xr6:coauthVersionLast="47" xr6:coauthVersionMax="47" xr10:uidLastSave="{00000000-0000-0000-0000-000000000000}"/>
  <bookViews>
    <workbookView xWindow="20370" yWindow="-120" windowWidth="20730" windowHeight="11040" xr2:uid="{2BD4FA7B-4EC3-4FF7-B70D-ACBAF1B8A7C0}"/>
  </bookViews>
  <sheets>
    <sheet name="cobertura" sheetId="1" r:id="rId1"/>
    <sheet name="Planilha4" sheetId="4" r:id="rId2"/>
    <sheet name="% cOB. caRT" sheetId="5" r:id="rId3"/>
  </sheets>
  <externalReferences>
    <externalReference r:id="rId4"/>
    <externalReference r:id="rId5"/>
  </externalReferences>
  <definedNames>
    <definedName name="_xlnm._FilterDatabase" localSheetId="0" hidden="1">cobertura!$A$8:$K$8</definedName>
    <definedName name="SegmentaçãodeDados_Supervis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D42" i="1"/>
  <c r="D5" i="5"/>
  <c r="D2" i="5"/>
  <c r="H54" i="1" l="1"/>
  <c r="D7" i="5"/>
  <c r="D3" i="5" s="1"/>
  <c r="D52" i="1"/>
  <c r="D27" i="1"/>
  <c r="D26" i="1"/>
  <c r="D14" i="1"/>
  <c r="A20" i="5"/>
  <c r="D23" i="1"/>
  <c r="J54" i="1" l="1"/>
  <c r="M5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2" i="1"/>
  <c r="H53" i="1"/>
  <c r="H55" i="1"/>
  <c r="H57" i="1"/>
  <c r="H58" i="1"/>
  <c r="H59" i="1"/>
  <c r="J58" i="1" l="1"/>
  <c r="M58" i="1"/>
  <c r="J50" i="1"/>
  <c r="M50" i="1"/>
  <c r="J41" i="1"/>
  <c r="M41" i="1"/>
  <c r="J37" i="1"/>
  <c r="M37" i="1"/>
  <c r="J28" i="1"/>
  <c r="M28" i="1"/>
  <c r="J20" i="1"/>
  <c r="M20" i="1"/>
  <c r="J55" i="1"/>
  <c r="M55" i="1"/>
  <c r="J49" i="1"/>
  <c r="M49" i="1"/>
  <c r="J44" i="1"/>
  <c r="M44" i="1"/>
  <c r="J40" i="1"/>
  <c r="M40" i="1"/>
  <c r="J36" i="1"/>
  <c r="M36" i="1"/>
  <c r="J32" i="1"/>
  <c r="M32" i="1"/>
  <c r="J27" i="1"/>
  <c r="M27" i="1"/>
  <c r="J23" i="1"/>
  <c r="M23" i="1"/>
  <c r="J19" i="1"/>
  <c r="M19" i="1"/>
  <c r="J15" i="1"/>
  <c r="M15" i="1"/>
  <c r="J11" i="1"/>
  <c r="M11" i="1"/>
  <c r="J59" i="1"/>
  <c r="M59" i="1"/>
  <c r="J53" i="1"/>
  <c r="M53" i="1"/>
  <c r="J48" i="1"/>
  <c r="M48" i="1"/>
  <c r="J43" i="1"/>
  <c r="M43" i="1"/>
  <c r="J39" i="1"/>
  <c r="M39" i="1"/>
  <c r="J35" i="1"/>
  <c r="M35" i="1"/>
  <c r="J31" i="1"/>
  <c r="M31" i="1"/>
  <c r="J26" i="1"/>
  <c r="M26" i="1"/>
  <c r="J22" i="1"/>
  <c r="M22" i="1"/>
  <c r="J18" i="1"/>
  <c r="M18" i="1"/>
  <c r="J14" i="1"/>
  <c r="M14" i="1"/>
  <c r="J10" i="1"/>
  <c r="M10" i="1"/>
  <c r="J52" i="1"/>
  <c r="M52" i="1"/>
  <c r="J47" i="1"/>
  <c r="M47" i="1"/>
  <c r="J42" i="1"/>
  <c r="M42" i="1"/>
  <c r="J38" i="1"/>
  <c r="M38" i="1"/>
  <c r="J34" i="1"/>
  <c r="M34" i="1"/>
  <c r="J30" i="1"/>
  <c r="M30" i="1"/>
  <c r="J25" i="1"/>
  <c r="M25" i="1"/>
  <c r="J21" i="1"/>
  <c r="M21" i="1"/>
  <c r="J17" i="1"/>
  <c r="M17" i="1"/>
  <c r="J13" i="1"/>
  <c r="M13" i="1"/>
  <c r="J57" i="1"/>
  <c r="M57" i="1"/>
  <c r="J46" i="1"/>
  <c r="M46" i="1"/>
  <c r="J33" i="1"/>
  <c r="M33" i="1"/>
  <c r="J24" i="1"/>
  <c r="M24" i="1"/>
  <c r="J16" i="1"/>
  <c r="M16" i="1"/>
  <c r="J12" i="1"/>
  <c r="M12" i="1"/>
  <c r="H9" i="1"/>
  <c r="J9" i="1" l="1"/>
  <c r="M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0" i="1"/>
  <c r="B31" i="1"/>
  <c r="B32" i="1"/>
  <c r="B33" i="1"/>
  <c r="B34" i="1"/>
  <c r="B35" i="1"/>
  <c r="B36" i="1"/>
  <c r="B37" i="1"/>
  <c r="B39" i="1"/>
  <c r="B40" i="1"/>
  <c r="B41" i="1"/>
  <c r="B42" i="1"/>
  <c r="B44" i="1"/>
  <c r="B46" i="1"/>
  <c r="B49" i="1"/>
  <c r="B50" i="1"/>
  <c r="B51" i="1"/>
  <c r="B52" i="1"/>
  <c r="D56" i="1"/>
  <c r="H56" i="1" s="1"/>
  <c r="D45" i="1"/>
  <c r="H45" i="1" s="1"/>
  <c r="D29" i="1"/>
  <c r="H29" i="1" s="1"/>
  <c r="J56" i="1" l="1"/>
  <c r="M56" i="1"/>
  <c r="J45" i="1"/>
  <c r="M45" i="1"/>
  <c r="J29" i="1"/>
  <c r="M29" i="1"/>
  <c r="I6" i="1"/>
  <c r="E2" i="5"/>
  <c r="D9" i="5" s="1"/>
  <c r="E9" i="5" s="1"/>
  <c r="D51" i="1" l="1"/>
  <c r="H51" i="1" s="1"/>
  <c r="J51" i="1" l="1"/>
  <c r="M51" i="1"/>
  <c r="M6" i="1" s="1"/>
  <c r="G6" i="1"/>
  <c r="P2" i="1" l="1"/>
  <c r="F6" i="1"/>
  <c r="E6" i="1"/>
  <c r="D6" i="1"/>
  <c r="G5" i="1" s="1"/>
  <c r="F5" i="1" l="1"/>
  <c r="E5" i="1"/>
  <c r="H6" i="1"/>
  <c r="J6" i="1" s="1"/>
  <c r="J5" i="1" s="1"/>
  <c r="A17" i="5" l="1"/>
  <c r="A18" i="5" s="1"/>
</calcChain>
</file>

<file path=xl/sharedStrings.xml><?xml version="1.0" encoding="utf-8"?>
<sst xmlns="http://schemas.openxmlformats.org/spreadsheetml/2006/main" count="43" uniqueCount="42">
  <si>
    <t>Rep</t>
  </si>
  <si>
    <t>Carteira</t>
  </si>
  <si>
    <t>Bloqueados</t>
  </si>
  <si>
    <t>Saldo de Carteira</t>
  </si>
  <si>
    <t>cobertura</t>
  </si>
  <si>
    <t>% Cobertura</t>
  </si>
  <si>
    <t>mix</t>
  </si>
  <si>
    <t>Supervisor</t>
  </si>
  <si>
    <t>TOTAL</t>
  </si>
  <si>
    <t>Sem Limite</t>
  </si>
  <si>
    <t>Meses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</si>
  <si>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</si>
  <si>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</si>
  <si>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</si>
  <si>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</si>
  <si>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</si>
  <si>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</si>
  <si>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</si>
  <si>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</si>
  <si>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</si>
  <si>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</si>
  <si>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</si>
  <si>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</si>
  <si>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</si>
  <si>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Rep.</t>
  </si>
  <si>
    <t>Scheila</t>
  </si>
  <si>
    <t>Tiago</t>
  </si>
  <si>
    <t>Eduarda</t>
  </si>
  <si>
    <t>Erivaldo</t>
  </si>
  <si>
    <t>Paula</t>
  </si>
  <si>
    <t>Emerson</t>
  </si>
  <si>
    <t>Glauciane</t>
  </si>
  <si>
    <t>Alexandre</t>
  </si>
  <si>
    <t>Lilian</t>
  </si>
  <si>
    <t>Junior</t>
  </si>
  <si>
    <t>Leandro</t>
  </si>
  <si>
    <t>Fernando</t>
  </si>
  <si>
    <t>Cicero</t>
  </si>
  <si>
    <t>Abertos 2025 2º SEM</t>
  </si>
  <si>
    <t>Meta Cob. Dia Crianças</t>
  </si>
  <si>
    <t>Meta Cob. Coleção</t>
  </si>
  <si>
    <t>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</si>
</sst>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4"/>
      <name val="Calibri"/>
      <family val="2"/>
    </font>
    <font>
      <b/>
      <sz val="11"/>
      <color theme="4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1" applyFont="1"/>
    <xf numFmtId="164" fontId="2" fillId="2" borderId="1" xfId="1" applyNumberFormat="1" applyFont="1" applyFill="1" applyBorder="1"/>
    <xf numFmtId="43" fontId="2" fillId="2" borderId="1" xfId="1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10" fontId="2" fillId="3" borderId="0" xfId="2" applyNumberFormat="1" applyFont="1" applyFill="1" applyBorder="1"/>
    <xf numFmtId="43" fontId="2" fillId="3" borderId="0" xfId="1" applyFont="1" applyFill="1" applyBorder="1"/>
    <xf numFmtId="0" fontId="0" fillId="0" borderId="2" xfId="0" applyBorder="1"/>
    <xf numFmtId="0" fontId="1" fillId="0" borderId="2" xfId="0" applyFont="1" applyBorder="1"/>
    <xf numFmtId="43" fontId="0" fillId="0" borderId="2" xfId="1" applyFont="1" applyBorder="1"/>
    <xf numFmtId="0" fontId="0" fillId="0" borderId="2" xfId="0" quotePrefix="1" applyBorder="1"/>
    <xf numFmtId="10" fontId="0" fillId="0" borderId="2" xfId="2" applyNumberFormat="1" applyFont="1" applyBorder="1"/>
    <xf numFmtId="14" fontId="3" fillId="0" borderId="0" xfId="0" applyNumberFormat="1" applyFont="1"/>
    <xf numFmtId="0" fontId="0" fillId="0" borderId="3" xfId="0" applyBorder="1"/>
    <xf numFmtId="0" fontId="0" fillId="0" borderId="4" xfId="0" applyBorder="1"/>
    <xf numFmtId="10" fontId="4" fillId="4" borderId="1" xfId="2" applyNumberFormat="1" applyFont="1" applyFill="1" applyBorder="1"/>
    <xf numFmtId="10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4" fontId="0" fillId="0" borderId="0" xfId="1" applyNumberFormat="1" applyFont="1"/>
    <xf numFmtId="14" fontId="0" fillId="0" borderId="0" xfId="0" applyNumberFormat="1"/>
    <xf numFmtId="10" fontId="5" fillId="5" borderId="2" xfId="2" applyNumberFormat="1" applyFont="1" applyFill="1" applyBorder="1"/>
    <xf numFmtId="164" fontId="0" fillId="0" borderId="2" xfId="1" applyNumberFormat="1" applyFont="1" applyBorder="1"/>
    <xf numFmtId="164" fontId="1" fillId="0" borderId="0" xfId="0" applyNumberFormat="1" applyFont="1"/>
    <xf numFmtId="164" fontId="0" fillId="0" borderId="0" xfId="0" applyNumberFormat="1"/>
    <xf numFmtId="0" fontId="5" fillId="0" borderId="2" xfId="0" applyFont="1" applyBorder="1"/>
    <xf numFmtId="10" fontId="0" fillId="0" borderId="0" xfId="0" applyNumberFormat="1"/>
    <xf numFmtId="164" fontId="2" fillId="2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* #,##0_-;\-* #,##0_-;_-* &quot;-&quot;??_-;_-@_-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1</xdr:row>
      <xdr:rowOff>100123</xdr:rowOff>
    </xdr:from>
    <xdr:to>
      <xdr:col>12</xdr:col>
      <xdr:colOff>87087</xdr:colOff>
      <xdr:row>3</xdr:row>
      <xdr:rowOff>75213</xdr:rowOff>
    </xdr:to>
    <xdr:sp macro="" textlink="P2">
      <xdr:nvSpPr>
        <xdr:cNvPr id="6" name="Retângulo 5">
          <a:extLst>
            <a:ext uri="{FF2B5EF4-FFF2-40B4-BE49-F238E27FC236}">
              <a16:creationId xmlns:a16="http://schemas.microsoft.com/office/drawing/2014/main" id="{2A13E194-BABA-4DC9-82AB-2845B8E76FFC}"/>
            </a:ext>
          </a:extLst>
        </xdr:cNvPr>
        <xdr:cNvSpPr/>
      </xdr:nvSpPr>
      <xdr:spPr>
        <a:xfrm>
          <a:off x="9900558" y="290623"/>
          <a:ext cx="1736272" cy="35609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8F993287-390C-4E82-B012-4F6FA43DBDC1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14/07/2025</a:t>
          </a:fld>
          <a:endParaRPr lang="pt-BR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1</xdr:colOff>
      <xdr:row>0</xdr:row>
      <xdr:rowOff>0</xdr:rowOff>
    </xdr:from>
    <xdr:ext cx="6294782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1C5B19-D3D5-4453-BA7A-9DB888ECD9E7}"/>
            </a:ext>
          </a:extLst>
        </xdr:cNvPr>
        <xdr:cNvSpPr/>
      </xdr:nvSpPr>
      <xdr:spPr>
        <a:xfrm>
          <a:off x="1" y="0"/>
          <a:ext cx="6294782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COBERTURA DE CARTEIRA</a:t>
          </a:r>
        </a:p>
      </xdr:txBody>
    </xdr:sp>
    <xdr:clientData/>
  </xdr:oneCellAnchor>
  <xdr:twoCellAnchor editAs="absolute">
    <xdr:from>
      <xdr:col>13</xdr:col>
      <xdr:colOff>116879</xdr:colOff>
      <xdr:row>4</xdr:row>
      <xdr:rowOff>63608</xdr:rowOff>
    </xdr:from>
    <xdr:to>
      <xdr:col>15</xdr:col>
      <xdr:colOff>778879</xdr:colOff>
      <xdr:row>15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upervisor">
              <a:extLst>
                <a:ext uri="{FF2B5EF4-FFF2-40B4-BE49-F238E27FC236}">
                  <a16:creationId xmlns:a16="http://schemas.microsoft.com/office/drawing/2014/main" id="{5590A17A-0A90-4F93-AE0B-1A88A4F3C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49212" y="825608"/>
              <a:ext cx="1881201" cy="2090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0</xdr:row>
      <xdr:rowOff>135294</xdr:rowOff>
    </xdr:from>
    <xdr:to>
      <xdr:col>12</xdr:col>
      <xdr:colOff>89160</xdr:colOff>
      <xdr:row>2</xdr:row>
      <xdr:rowOff>7806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1695EBD1-49FE-467A-9E86-D43AF5E36C82}"/>
            </a:ext>
          </a:extLst>
        </xdr:cNvPr>
        <xdr:cNvSpPr/>
      </xdr:nvSpPr>
      <xdr:spPr>
        <a:xfrm>
          <a:off x="9900557" y="135294"/>
          <a:ext cx="1738346" cy="253512"/>
        </a:xfrm>
        <a:prstGeom prst="round2Same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ATUALIZADO</a:t>
          </a:r>
          <a:r>
            <a:rPr lang="pt-BR" sz="1100"/>
            <a:t> </a:t>
          </a:r>
          <a:r>
            <a:rPr lang="pt-BR" sz="1100" b="1"/>
            <a:t>ATÉ</a:t>
          </a:r>
        </a:p>
      </xdr:txBody>
    </xdr:sp>
    <xdr:clientData/>
  </xdr:twoCellAnchor>
  <xdr:twoCellAnchor>
    <xdr:from>
      <xdr:col>16</xdr:col>
      <xdr:colOff>82826</xdr:colOff>
      <xdr:row>4</xdr:row>
      <xdr:rowOff>16563</xdr:rowOff>
    </xdr:from>
    <xdr:to>
      <xdr:col>18</xdr:col>
      <xdr:colOff>546653</xdr:colOff>
      <xdr:row>70</xdr:row>
      <xdr:rowOff>26275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F25DE44-FA70-47D8-83F0-903F98E0E3F5}"/>
            </a:ext>
          </a:extLst>
        </xdr:cNvPr>
        <xdr:cNvSpPr txBox="1"/>
      </xdr:nvSpPr>
      <xdr:spPr>
        <a:xfrm>
          <a:off x="15224292" y="778563"/>
          <a:ext cx="1685654" cy="424669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AJUSTE DE CARTEIRA SUBTRAIR/ADICIONAR</a:t>
          </a:r>
        </a:p>
        <a:p>
          <a:endParaRPr lang="pt-BR" sz="1100"/>
        </a:p>
        <a:p>
          <a:r>
            <a:rPr lang="pt-BR" sz="1100"/>
            <a:t>MAX - (82) </a:t>
          </a:r>
        </a:p>
        <a:p>
          <a:r>
            <a:rPr lang="pt-BR" sz="1100"/>
            <a:t>ALEXANDRE - (36)</a:t>
          </a:r>
          <a:br>
            <a:rPr lang="pt-BR" sz="1100"/>
          </a:br>
          <a:r>
            <a:rPr lang="pt-BR" sz="1100"/>
            <a:t>RICARDO VICELLI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(3) + 58</a:t>
          </a:r>
          <a:b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/>
            <a:t>SCHEILA - (31)</a:t>
          </a:r>
        </a:p>
        <a:p>
          <a:r>
            <a:rPr lang="pt-BR" sz="1100"/>
            <a:t>WALLACE</a:t>
          </a:r>
          <a:r>
            <a:rPr lang="pt-BR" sz="1100" baseline="0"/>
            <a:t> (60) +</a:t>
          </a:r>
        </a:p>
        <a:p>
          <a:r>
            <a:rPr lang="pt-BR" sz="1100" baseline="0"/>
            <a:t>JULIO VELOSO (30) +</a:t>
          </a:r>
        </a:p>
        <a:p>
          <a:r>
            <a:rPr lang="pt-BR" sz="1100" baseline="0"/>
            <a:t>FRABICIO - (3)</a:t>
          </a:r>
        </a:p>
        <a:p>
          <a:r>
            <a:rPr lang="pt-BR" sz="1100" baseline="0"/>
            <a:t>EDIMAR -(14)</a:t>
          </a:r>
        </a:p>
        <a:p>
          <a:r>
            <a:rPr lang="pt-BR" sz="1100" baseline="0"/>
            <a:t>CASSIANO - (8)</a:t>
          </a:r>
        </a:p>
        <a:p>
          <a:r>
            <a:rPr lang="pt-BR" sz="1100" baseline="0"/>
            <a:t>JACK - (17)</a:t>
          </a:r>
        </a:p>
        <a:p>
          <a:r>
            <a:rPr lang="pt-BR" sz="1100" baseline="0"/>
            <a:t>FRANK - (5)</a:t>
          </a:r>
        </a:p>
        <a:p>
          <a:r>
            <a:rPr lang="pt-BR" sz="1100" baseline="0"/>
            <a:t>LILIAN - (2)</a:t>
          </a:r>
        </a:p>
        <a:p>
          <a:r>
            <a:rPr lang="pt-BR" sz="1100" baseline="0"/>
            <a:t>GEORGE - (274)</a:t>
          </a:r>
        </a:p>
        <a:p>
          <a:r>
            <a:rPr lang="pt-BR" sz="1100" baseline="0"/>
            <a:t>TIAGO RJ - (49)</a:t>
          </a:r>
          <a:endParaRPr lang="pt-BR" sz="1100"/>
        </a:p>
      </xdr:txBody>
    </xdr:sp>
    <xdr:clientData/>
  </xdr:twoCellAnchor>
  <xdr:twoCellAnchor>
    <xdr:from>
      <xdr:col>9</xdr:col>
      <xdr:colOff>545049</xdr:colOff>
      <xdr:row>1</xdr:row>
      <xdr:rowOff>100123</xdr:rowOff>
    </xdr:from>
    <xdr:to>
      <xdr:col>11</xdr:col>
      <xdr:colOff>0</xdr:colOff>
      <xdr:row>3</xdr:row>
      <xdr:rowOff>75213</xdr:rowOff>
    </xdr:to>
    <xdr:sp macro="" textlink="'% cOB. caRT'!D9">
      <xdr:nvSpPr>
        <xdr:cNvPr id="7" name="Retângulo 6">
          <a:extLst>
            <a:ext uri="{FF2B5EF4-FFF2-40B4-BE49-F238E27FC236}">
              <a16:creationId xmlns:a16="http://schemas.microsoft.com/office/drawing/2014/main" id="{B0ECCDCC-994E-DA15-66E6-895578FD306F}"/>
            </a:ext>
          </a:extLst>
        </xdr:cNvPr>
        <xdr:cNvSpPr/>
      </xdr:nvSpPr>
      <xdr:spPr>
        <a:xfrm>
          <a:off x="7461664" y="290623"/>
          <a:ext cx="1610815" cy="35609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6A0CCB9-5E96-40BA-9C74-C6E85F9FF50F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38,17%</a:t>
          </a:fld>
          <a:endParaRPr lang="pt-BR" sz="1100" b="1" i="0" u="none" strike="noStrike">
            <a:solidFill>
              <a:srgbClr val="FFFF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543585</xdr:colOff>
      <xdr:row>0</xdr:row>
      <xdr:rowOff>135294</xdr:rowOff>
    </xdr:from>
    <xdr:to>
      <xdr:col>11</xdr:col>
      <xdr:colOff>0</xdr:colOff>
      <xdr:row>2</xdr:row>
      <xdr:rowOff>7806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276C58A2-3A8C-5960-C929-D101076650B3}"/>
            </a:ext>
          </a:extLst>
        </xdr:cNvPr>
        <xdr:cNvSpPr/>
      </xdr:nvSpPr>
      <xdr:spPr>
        <a:xfrm>
          <a:off x="7460200" y="135294"/>
          <a:ext cx="1615210" cy="253512"/>
        </a:xfrm>
        <a:prstGeom prst="round2Same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DEVERÍAMOS</a:t>
          </a:r>
          <a:r>
            <a:rPr lang="pt-BR" sz="800" b="1" baseline="0"/>
            <a:t> ESTAR</a:t>
          </a:r>
          <a:endParaRPr lang="pt-BR" sz="8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ANALISE%20QUEDA%20DE%20PONTOS%20ED%20VENDAS/REP%20MONTAR%20ANALIS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Mapeamento%20de%20Pontos%20de%20Vendas/Mapeamento%20de%20Pontos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 1"/>
      <sheetName val="REPRESENTANTES"/>
      <sheetName val="LISTA DE TABELAS MAPEAMENTOS"/>
    </sheetNames>
    <sheetDataSet>
      <sheetData sheetId="0"/>
      <sheetData sheetId="1">
        <row r="3">
          <cell r="A3">
            <v>11</v>
          </cell>
          <cell r="B3" t="str">
            <v>11 - GEORGE BORGES REPRESENTACOES EIRELI - ME</v>
          </cell>
          <cell r="C3" t="str">
            <v>CENTRO-NORTE</v>
          </cell>
          <cell r="D3" t="str">
            <v>George</v>
          </cell>
        </row>
        <row r="4">
          <cell r="A4">
            <v>143</v>
          </cell>
          <cell r="B4" t="str">
            <v>143 - MARCELO SOROCABA REPRESENTAÇÕES COMERCIAL LTDA</v>
          </cell>
          <cell r="C4" t="str">
            <v>SP</v>
          </cell>
          <cell r="D4" t="str">
            <v>Marcelo</v>
          </cell>
        </row>
        <row r="5">
          <cell r="A5">
            <v>15</v>
          </cell>
          <cell r="B5" t="str">
            <v>15 - J. JIREH REP. - AM/RR</v>
          </cell>
          <cell r="C5" t="str">
            <v>CENTRO-NORTE</v>
          </cell>
          <cell r="D5" t="str">
            <v>Paulo Bier</v>
          </cell>
        </row>
        <row r="6">
          <cell r="A6">
            <v>167</v>
          </cell>
          <cell r="B6" t="str">
            <v>167 - C ANDRADE REP. - ES</v>
          </cell>
          <cell r="C6" t="str">
            <v>REM</v>
          </cell>
          <cell r="D6" t="str">
            <v>Cassiano</v>
          </cell>
        </row>
        <row r="7">
          <cell r="A7">
            <v>171</v>
          </cell>
          <cell r="B7" t="str">
            <v>171 - M T  INTERMEDIACAO EM NEGOCIOS LTDA ME</v>
          </cell>
          <cell r="C7" t="str">
            <v>REM</v>
          </cell>
          <cell r="D7" t="str">
            <v>Adriano</v>
          </cell>
        </row>
        <row r="8">
          <cell r="A8">
            <v>178</v>
          </cell>
          <cell r="B8" t="str">
            <v>178 - EMERSON SGOBBI-NORTE/PR</v>
          </cell>
          <cell r="C8" t="str">
            <v>SUL</v>
          </cell>
          <cell r="D8">
            <v>0</v>
          </cell>
        </row>
        <row r="9">
          <cell r="A9">
            <v>19</v>
          </cell>
          <cell r="B9" t="str">
            <v>19 - HAMILTON BIRIGUI REPRES. LTDA</v>
          </cell>
          <cell r="C9" t="str">
            <v>SP</v>
          </cell>
          <cell r="D9" t="str">
            <v>Hamilton</v>
          </cell>
        </row>
        <row r="10">
          <cell r="A10">
            <v>301</v>
          </cell>
          <cell r="B10" t="str">
            <v>192 - J VELOSO</v>
          </cell>
          <cell r="C10" t="str">
            <v>NORDESTE</v>
          </cell>
          <cell r="D10" t="str">
            <v>Julio Veloso</v>
          </cell>
        </row>
        <row r="11">
          <cell r="A11">
            <v>194</v>
          </cell>
          <cell r="B11" t="str">
            <v>194 - WALLACE SHOES REPRESENTAÇÇOES</v>
          </cell>
          <cell r="C11" t="str">
            <v>NORDESTE</v>
          </cell>
          <cell r="D11" t="str">
            <v>Wallace</v>
          </cell>
        </row>
        <row r="12">
          <cell r="A12">
            <v>197</v>
          </cell>
          <cell r="B12" t="str">
            <v>197 - FABRICIO RIZZATO RODRIGUES</v>
          </cell>
          <cell r="C12" t="str">
            <v>SP</v>
          </cell>
          <cell r="D12" t="str">
            <v>Fabricio</v>
          </cell>
        </row>
        <row r="13">
          <cell r="A13">
            <v>297</v>
          </cell>
          <cell r="B13" t="str">
            <v>297 - REPRESENTAÇÃO JONATAS LTDA</v>
          </cell>
          <cell r="C13" t="str">
            <v>SP</v>
          </cell>
          <cell r="D13" t="str">
            <v>Jonatas</v>
          </cell>
        </row>
        <row r="14">
          <cell r="A14">
            <v>208</v>
          </cell>
          <cell r="B14" t="str">
            <v>208 - R A MIRANDA REPRESENTAÇÇÕES ME</v>
          </cell>
          <cell r="C14" t="str">
            <v>CENTRO-NORTE</v>
          </cell>
          <cell r="D14" t="str">
            <v>Renato</v>
          </cell>
        </row>
        <row r="15">
          <cell r="A15">
            <v>211</v>
          </cell>
          <cell r="B15" t="str">
            <v>211 - JP REPRESENTACOES</v>
          </cell>
          <cell r="C15" t="str">
            <v>CENTRO-NORTE</v>
          </cell>
          <cell r="D15" t="str">
            <v>Wesley</v>
          </cell>
        </row>
        <row r="16">
          <cell r="A16">
            <v>217</v>
          </cell>
          <cell r="B16" t="str">
            <v>217 - PHC REPRESENTACAO</v>
          </cell>
          <cell r="C16" t="str">
            <v>NORDESTE</v>
          </cell>
          <cell r="D16" t="str">
            <v>Pedro</v>
          </cell>
        </row>
        <row r="17">
          <cell r="A17">
            <v>218</v>
          </cell>
          <cell r="B17" t="str">
            <v>218 - FABIANO LEDUR REPRESENTACOES</v>
          </cell>
          <cell r="C17" t="str">
            <v>NORDESTE</v>
          </cell>
          <cell r="D17" t="str">
            <v>Fabiano Ledur</v>
          </cell>
        </row>
        <row r="18">
          <cell r="A18">
            <v>226</v>
          </cell>
          <cell r="B18" t="str">
            <v>JEOSADAQUE LIMA DE JESUS</v>
          </cell>
          <cell r="C18" t="str">
            <v>NORDESTE</v>
          </cell>
          <cell r="D18" t="str">
            <v>Dark</v>
          </cell>
        </row>
        <row r="19">
          <cell r="A19">
            <v>23</v>
          </cell>
          <cell r="B19" t="str">
            <v>23 - OLIVEN REPRESENTAÇÃO-OESTE CATARINENSE</v>
          </cell>
          <cell r="C19" t="str">
            <v>SUL</v>
          </cell>
          <cell r="D19" t="str">
            <v xml:space="preserve">Marcos </v>
          </cell>
        </row>
        <row r="20">
          <cell r="A20">
            <v>231</v>
          </cell>
          <cell r="B20" t="str">
            <v>231 - T COLARES</v>
          </cell>
          <cell r="C20" t="str">
            <v>SUL</v>
          </cell>
          <cell r="D20" t="str">
            <v>Thiago</v>
          </cell>
        </row>
        <row r="21">
          <cell r="A21">
            <v>232</v>
          </cell>
          <cell r="B21" t="str">
            <v>232 - G L PEREIRA PINHEIRO</v>
          </cell>
          <cell r="C21" t="str">
            <v>NORDESTE</v>
          </cell>
          <cell r="D21" t="str">
            <v>Laerth</v>
          </cell>
        </row>
        <row r="22">
          <cell r="A22">
            <v>238</v>
          </cell>
          <cell r="B22" t="str">
            <v>238 - ARM REPRESENTAÇÕES</v>
          </cell>
          <cell r="C22" t="str">
            <v>SP</v>
          </cell>
          <cell r="D22" t="str">
            <v>Anderson</v>
          </cell>
        </row>
        <row r="23">
          <cell r="A23">
            <v>239</v>
          </cell>
          <cell r="B23" t="str">
            <v>EMANUEL SHARLES REGO DE CARVALHO</v>
          </cell>
          <cell r="C23" t="str">
            <v>NORDESTE</v>
          </cell>
          <cell r="D23" t="str">
            <v>Leo Shaeles</v>
          </cell>
        </row>
        <row r="24">
          <cell r="A24">
            <v>24</v>
          </cell>
          <cell r="B24" t="str">
            <v>24 THIAGO REPRESENTACOES-BRASILIA/DF</v>
          </cell>
          <cell r="C24" t="str">
            <v>CENTRO-NORTE</v>
          </cell>
          <cell r="D24" t="str">
            <v>Thiago</v>
          </cell>
        </row>
        <row r="25">
          <cell r="A25">
            <v>240</v>
          </cell>
          <cell r="B25" t="str">
            <v>240 - RAMON MAIA DE LIMA</v>
          </cell>
          <cell r="C25" t="str">
            <v>NORDESTE</v>
          </cell>
          <cell r="D25" t="str">
            <v>Ramon</v>
          </cell>
        </row>
        <row r="26">
          <cell r="A26">
            <v>308</v>
          </cell>
          <cell r="B26" t="str">
            <v>253 - CARVALHO BARATA</v>
          </cell>
          <cell r="C26" t="str">
            <v>CENTRO-NORTE</v>
          </cell>
          <cell r="D26" t="str">
            <v>EDUARDO</v>
          </cell>
        </row>
        <row r="27">
          <cell r="A27">
            <v>297</v>
          </cell>
          <cell r="B27" t="str">
            <v>297 - REPRESENTAÇÕES JONATAS LTDA</v>
          </cell>
          <cell r="C27" t="str">
            <v>SP</v>
          </cell>
          <cell r="D27" t="str">
            <v>Jonatas</v>
          </cell>
        </row>
        <row r="28">
          <cell r="A28">
            <v>261</v>
          </cell>
          <cell r="B28" t="str">
            <v>261 - J2 SILVEIRA COM DE REPRESENTAÇÃO ME</v>
          </cell>
          <cell r="C28" t="str">
            <v>CENTRO-NORTE</v>
          </cell>
          <cell r="D28" t="str">
            <v>Pedro Henrique</v>
          </cell>
        </row>
        <row r="29">
          <cell r="A29">
            <v>266</v>
          </cell>
          <cell r="B29" t="str">
            <v>266 - LORAN DA SILVA SANTOS REPRESENTAÇÕES EIRELI</v>
          </cell>
          <cell r="C29" t="str">
            <v>CENTRO-NORTE</v>
          </cell>
          <cell r="D29" t="str">
            <v>Loran</v>
          </cell>
        </row>
        <row r="30">
          <cell r="A30">
            <v>267</v>
          </cell>
          <cell r="B30" t="str">
            <v>267 - F N CAMPELO REPRESENTACOES LTDA ­ ME</v>
          </cell>
          <cell r="C30" t="str">
            <v>NORDESTE</v>
          </cell>
          <cell r="D30" t="str">
            <v>Chagas</v>
          </cell>
        </row>
        <row r="31">
          <cell r="A31">
            <v>270</v>
          </cell>
          <cell r="B31" t="str">
            <v>270 - JACK REPRESENTACOES LTDA</v>
          </cell>
          <cell r="C31" t="str">
            <v>REM</v>
          </cell>
          <cell r="D31" t="str">
            <v>Jack</v>
          </cell>
        </row>
        <row r="32">
          <cell r="A32">
            <v>276</v>
          </cell>
          <cell r="B32" t="str">
            <v>276 - RIO MINAS PROMOÇÃO DE VENDAS LTDA</v>
          </cell>
          <cell r="C32" t="str">
            <v>REM</v>
          </cell>
          <cell r="D32" t="str">
            <v>Leonardo</v>
          </cell>
        </row>
        <row r="33">
          <cell r="A33">
            <v>277</v>
          </cell>
          <cell r="B33" t="str">
            <v>277 - KERLY REPRESENTAÇÕES LTDA</v>
          </cell>
          <cell r="C33" t="str">
            <v>SUL</v>
          </cell>
          <cell r="D33" t="str">
            <v>Kerly</v>
          </cell>
        </row>
        <row r="34">
          <cell r="A34">
            <v>280</v>
          </cell>
          <cell r="B34" t="str">
            <v>280 - DANIELLA MONTEIRO REPRESENTAÇÕES LTDA</v>
          </cell>
          <cell r="C34" t="str">
            <v>SP</v>
          </cell>
          <cell r="D34" t="str">
            <v>Daniella</v>
          </cell>
        </row>
        <row r="35">
          <cell r="A35">
            <v>282</v>
          </cell>
          <cell r="B35" t="str">
            <v>NRIZZO REPRESENTAÇÕES</v>
          </cell>
          <cell r="C35" t="str">
            <v>SP</v>
          </cell>
          <cell r="D35" t="str">
            <v>Nelson</v>
          </cell>
        </row>
        <row r="36">
          <cell r="A36">
            <v>283</v>
          </cell>
          <cell r="B36" t="str">
            <v>283 - RAMILLYS CALCADOS</v>
          </cell>
          <cell r="C36" t="str">
            <v>SP</v>
          </cell>
          <cell r="D36" t="str">
            <v>Renato</v>
          </cell>
        </row>
        <row r="37">
          <cell r="A37">
            <v>291</v>
          </cell>
          <cell r="B37" t="str">
            <v>291 - RICARDO VIECILI &amp; CIA LTDA</v>
          </cell>
          <cell r="C37" t="str">
            <v>SUL</v>
          </cell>
          <cell r="D37" t="str">
            <v>Ricardo</v>
          </cell>
        </row>
        <row r="38">
          <cell r="A38">
            <v>292</v>
          </cell>
          <cell r="B38" t="str">
            <v>292 - VICTOR DIAS ALVES SERVIÇOS E REPRESENTAÇÕES ME</v>
          </cell>
          <cell r="C38" t="str">
            <v>REM</v>
          </cell>
          <cell r="D38" t="str">
            <v>Victor</v>
          </cell>
        </row>
        <row r="39">
          <cell r="A39">
            <v>294</v>
          </cell>
          <cell r="B39" t="str">
            <v>294 - JONAS SOLER CANTANTE</v>
          </cell>
          <cell r="C39" t="str">
            <v>SP</v>
          </cell>
          <cell r="D39" t="str">
            <v xml:space="preserve">Jonas </v>
          </cell>
        </row>
        <row r="40">
          <cell r="A40">
            <v>31</v>
          </cell>
          <cell r="B40" t="str">
            <v>31 - MARCOS VINICIO REPRES. LTDA</v>
          </cell>
          <cell r="C40" t="str">
            <v>NORDESTE</v>
          </cell>
          <cell r="D40" t="str">
            <v>Marcos Vinicio</v>
          </cell>
        </row>
        <row r="41">
          <cell r="A41">
            <v>34</v>
          </cell>
          <cell r="B41" t="str">
            <v>34 - FABRICIO FERNANDES GRAMA REPRESENTAÇÕES COMERCI</v>
          </cell>
          <cell r="C41" t="str">
            <v>REM</v>
          </cell>
          <cell r="D41" t="str">
            <v>Fabricio</v>
          </cell>
        </row>
        <row r="42">
          <cell r="A42">
            <v>37</v>
          </cell>
          <cell r="B42" t="str">
            <v>37 - JACSON CRISTIAN REPRESENTACOES</v>
          </cell>
          <cell r="C42" t="str">
            <v>REM</v>
          </cell>
          <cell r="D42" t="str">
            <v>Jacson</v>
          </cell>
        </row>
        <row r="43">
          <cell r="A43">
            <v>38</v>
          </cell>
          <cell r="B43" t="str">
            <v>38 - MCM CALCADOS VESTUARIO E TEXTIL LTDA ME</v>
          </cell>
          <cell r="C43" t="str">
            <v>REM</v>
          </cell>
          <cell r="D43" t="str">
            <v>Maul</v>
          </cell>
        </row>
        <row r="44">
          <cell r="A44">
            <v>39</v>
          </cell>
          <cell r="B44" t="str">
            <v>39 - C A VELOSO REPRESENTAÇÕES</v>
          </cell>
          <cell r="C44" t="str">
            <v>SP</v>
          </cell>
          <cell r="D44" t="str">
            <v>Carlos Veloso</v>
          </cell>
        </row>
        <row r="45">
          <cell r="A45">
            <v>41</v>
          </cell>
          <cell r="B45" t="str">
            <v>41 - R.C.ROTHEMBERGER REPRES. LTDA</v>
          </cell>
          <cell r="C45" t="str">
            <v>SP</v>
          </cell>
          <cell r="D45" t="str">
            <v>Reginaldo</v>
          </cell>
        </row>
        <row r="46">
          <cell r="A46">
            <v>45</v>
          </cell>
          <cell r="B46" t="str">
            <v>45 - AME REPRESENTAÇÃO COMERCIAL DE MERCADORIAS LT</v>
          </cell>
          <cell r="C46" t="str">
            <v>SUL</v>
          </cell>
          <cell r="D46" t="str">
            <v>Airto</v>
          </cell>
        </row>
        <row r="47">
          <cell r="A47">
            <v>46</v>
          </cell>
          <cell r="B47" t="str">
            <v>46 - NASCIMBEN REPRESENTACOES</v>
          </cell>
          <cell r="C47" t="str">
            <v>SUL</v>
          </cell>
          <cell r="D47" t="str">
            <v>Sergio</v>
          </cell>
        </row>
        <row r="48">
          <cell r="A48">
            <v>49</v>
          </cell>
          <cell r="B48" t="str">
            <v>49 - ELIAS CAMILO REPRESENTAÇÕES</v>
          </cell>
          <cell r="C48" t="str">
            <v>REM</v>
          </cell>
          <cell r="D48" t="str">
            <v>Elias</v>
          </cell>
        </row>
        <row r="49">
          <cell r="A49">
            <v>53</v>
          </cell>
          <cell r="B49" t="str">
            <v>53 - ODELON P. DA SILVA REPRESENTAÇOES LTDA ME</v>
          </cell>
          <cell r="C49" t="str">
            <v>CENTRO-NORTE</v>
          </cell>
          <cell r="D49" t="str">
            <v xml:space="preserve">Odelon </v>
          </cell>
        </row>
        <row r="50">
          <cell r="A50">
            <v>61</v>
          </cell>
          <cell r="B50" t="str">
            <v>61 - EDMAR FERREIRA LIMA E CIA LTDA ME</v>
          </cell>
          <cell r="C50" t="str">
            <v>REM</v>
          </cell>
          <cell r="D50" t="str">
            <v>Edmar</v>
          </cell>
        </row>
        <row r="51">
          <cell r="A51">
            <v>65</v>
          </cell>
          <cell r="B51" t="str">
            <v>65 - NEIRON LUZ REPRESENTAÇÃO EIRELI</v>
          </cell>
          <cell r="C51" t="str">
            <v>CENTRO-NORTE</v>
          </cell>
          <cell r="D51" t="str">
            <v>Neiron</v>
          </cell>
        </row>
        <row r="52">
          <cell r="A52">
            <v>74</v>
          </cell>
          <cell r="B52" t="str">
            <v>74 - IRMAOS PAGNONCELLI- NORTE/RS</v>
          </cell>
          <cell r="C52" t="str">
            <v>SUL</v>
          </cell>
          <cell r="D52" t="str">
            <v>Max</v>
          </cell>
        </row>
        <row r="53">
          <cell r="A53">
            <v>300</v>
          </cell>
          <cell r="B53" t="str">
            <v>300 - VINICIUS TADEU CLEMWNTINO VILELA</v>
          </cell>
          <cell r="C53" t="str">
            <v>REM</v>
          </cell>
          <cell r="D53" t="str">
            <v>Vinicius</v>
          </cell>
        </row>
        <row r="54">
          <cell r="A54">
            <v>299</v>
          </cell>
          <cell r="B54" t="str">
            <v>299 - REPRESENTAÇÃO JAMIR MACIEL ASSIS LTDA</v>
          </cell>
          <cell r="C54" t="str">
            <v>REM</v>
          </cell>
          <cell r="D54" t="str">
            <v>Jamir</v>
          </cell>
        </row>
        <row r="55">
          <cell r="A55">
            <v>298</v>
          </cell>
          <cell r="B55" t="str">
            <v>298 walter</v>
          </cell>
          <cell r="C55" t="str">
            <v>NORDESTE</v>
          </cell>
          <cell r="D55" t="str">
            <v>Walter</v>
          </cell>
        </row>
        <row r="56">
          <cell r="A56">
            <v>302</v>
          </cell>
          <cell r="B56" t="str">
            <v>302 - F&amp;R REPRESENTAÇÕES LTDA</v>
          </cell>
          <cell r="C56" t="str">
            <v>REM</v>
          </cell>
          <cell r="D56" t="str">
            <v>Frank</v>
          </cell>
        </row>
        <row r="57">
          <cell r="A57">
            <v>93</v>
          </cell>
          <cell r="B57" t="str">
            <v>93 - FIGUEIREDO &amp; LOPES LTDA ME</v>
          </cell>
          <cell r="C57" t="str">
            <v>SUL</v>
          </cell>
          <cell r="D57" t="str">
            <v>Anderson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 (2)"/>
      <sheetName val="NOVA CARTEIRA"/>
      <sheetName val="ATENDIDOS 2025"/>
      <sheetName val="Ausentes (3)"/>
      <sheetName val="Planilha7"/>
      <sheetName val="cobertura"/>
      <sheetName val="Ausentes"/>
      <sheetName val="Planilha6"/>
      <sheetName val="carteira atual1"/>
      <sheetName val="POSITIVAÇÃO 22 A 25"/>
      <sheetName val="Ausentes (2)"/>
      <sheetName val="NOVA CARTEIRA (2)"/>
      <sheetName val="ATENDIDOS 2024"/>
      <sheetName val="ANO2024 (2)"/>
      <sheetName val="ANO2024"/>
      <sheetName val="GRUPO"/>
      <sheetName val="Planilha4"/>
      <sheetName val="ANO2023"/>
      <sheetName val="Planilha1"/>
      <sheetName val="Planilha3"/>
      <sheetName val="Planilha2"/>
      <sheetName val="Folha 1"/>
      <sheetName val="vendas 2023"/>
      <sheetName val="ATENDIDOS 2023"/>
      <sheetName val="REL CONTROLADORIA"/>
      <sheetName val="Planilha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3">
          <cell r="D23">
            <v>6971</v>
          </cell>
          <cell r="E23">
            <v>1583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02C6759B-0245-4C8D-AF07-2775739E6D4A}" sourceName="Supervis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465C2E9D-4F4D-41BE-9E9D-56106071A220}" cache="SegmentaçãodeDados_Supervisor" caption="Supervis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99080-BB77-4B73-A408-C4AABE6B398B}" name="Tabela1" displayName="Tabela1" ref="A8:M60" totalsRowCount="1" headerRowDxfId="18" tableBorderDxfId="17">
  <autoFilter ref="A8:M59" xr:uid="{2C699080-BB77-4B73-A408-C4AABE6B398B}"/>
  <tableColumns count="13">
    <tableColumn id="1" xr3:uid="{2E103CB5-8552-4DFF-8DFF-D7107D28CA72}" name="Rep" dataDxfId="16"/>
    <tableColumn id="11" xr3:uid="{DC53BAE2-FEFB-4577-8C31-8C708160F4AE}" name="Nome Rep." dataDxfId="15"/>
    <tableColumn id="9" xr3:uid="{98443E25-9A69-4DD4-BEF1-083F32064E92}" name="Supervisor" dataDxfId="14"/>
    <tableColumn id="2" xr3:uid="{313671CC-B700-48CF-9572-F301644DDCBF}" name="Carteira" dataDxfId="13"/>
    <tableColumn id="3" xr3:uid="{99AB9EB0-9D28-4F16-99B2-865263D09091}" name="Bloqueados" dataDxfId="12"/>
    <tableColumn id="8" xr3:uid="{3F77B725-1A7B-4337-AFEC-F2B0738A84A9}" name="Abertos 2025 2º SEM" dataDxfId="11"/>
    <tableColumn id="10" xr3:uid="{B161C5DE-CB19-4197-B530-CF605C61AEE8}" name="Sem Limite" dataDxfId="10"/>
    <tableColumn id="4" xr3:uid="{7DF927DB-FC14-493C-8860-08E3337FCB7E}" name="Saldo de Carteira" dataDxfId="9">
      <calculatedColumnFormula>D9-E9+Tabela1[[#This Row],[Abertos 2025 2º SEM]]</calculatedColumnFormula>
    </tableColumn>
    <tableColumn id="5" xr3:uid="{39FC1898-2573-42E0-BC52-C9F93D1A1B69}" name="cobertura" dataDxfId="8"/>
    <tableColumn id="6" xr3:uid="{73729B4D-016C-45AC-84B0-5F4C6E582133}" name="% Cobertura" dataDxfId="7" totalsRowDxfId="3" dataCellStyle="Moeda [0]">
      <calculatedColumnFormula>I9/H9</calculatedColumnFormula>
    </tableColumn>
    <tableColumn id="7" xr3:uid="{DB269E38-4E7F-4032-855F-5F7E2DDD3628}" name="mix" dataDxfId="6" totalsRowDxfId="2"/>
    <tableColumn id="12" xr3:uid="{5E7F18D1-3A42-4F78-BD2B-40CF376728D7}" name="Meta Cob. Dia Crianças" dataDxfId="5" totalsRowDxfId="1"/>
    <tableColumn id="13" xr3:uid="{0BC7EA2F-5567-46FC-9D2B-47B38F66221B}" name="Meta Cob. Coleção" dataDxfId="4" totalsRowDxfId="0">
      <calculatedColumnFormula>Tabela1[[#This Row],[Saldo de Carteira]]*80%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14AE-141D-49D4-888B-8DC3E01A31DC}">
  <sheetPr codeName="Planilha1"/>
  <dimension ref="A1:P62"/>
  <sheetViews>
    <sheetView showGridLines="0" tabSelected="1" zoomScale="85" zoomScaleNormal="85" workbookViewId="0">
      <selection activeCell="F10" sqref="F10"/>
    </sheetView>
  </sheetViews>
  <sheetFormatPr defaultRowHeight="15" x14ac:dyDescent="0.25"/>
  <cols>
    <col min="2" max="2" width="13.140625" bestFit="1" customWidth="1"/>
    <col min="3" max="3" width="14" customWidth="1"/>
    <col min="4" max="4" width="14.140625" customWidth="1"/>
    <col min="5" max="5" width="12.28515625" customWidth="1"/>
    <col min="6" max="6" width="21.7109375" bestFit="1" customWidth="1"/>
    <col min="7" max="7" width="13.140625" style="1" bestFit="1" customWidth="1"/>
    <col min="8" max="8" width="16.28515625" customWidth="1"/>
    <col min="9" max="9" width="11.28515625" bestFit="1" customWidth="1"/>
    <col min="10" max="10" width="10.7109375" customWidth="1"/>
    <col min="11" max="11" width="14.140625" bestFit="1" customWidth="1"/>
    <col min="12" max="12" width="25.28515625" bestFit="1" customWidth="1"/>
    <col min="13" max="13" width="21.5703125" style="29" bestFit="1" customWidth="1"/>
    <col min="16" max="16" width="14" customWidth="1"/>
    <col min="19" max="19" width="11.28515625" bestFit="1" customWidth="1"/>
  </cols>
  <sheetData>
    <row r="1" spans="1:16" x14ac:dyDescent="0.25">
      <c r="G1"/>
      <c r="K1" s="1"/>
      <c r="L1" s="1"/>
      <c r="M1" s="24"/>
    </row>
    <row r="2" spans="1:16" x14ac:dyDescent="0.25">
      <c r="G2"/>
      <c r="K2" s="1"/>
      <c r="L2" s="1"/>
      <c r="M2" s="24"/>
      <c r="P2" s="13">
        <f ca="1">TODAY()-1</f>
        <v>45852</v>
      </c>
    </row>
    <row r="3" spans="1:16" x14ac:dyDescent="0.25">
      <c r="G3"/>
      <c r="K3" s="1"/>
      <c r="L3" s="1"/>
      <c r="M3" s="24"/>
    </row>
    <row r="4" spans="1:16" x14ac:dyDescent="0.25">
      <c r="G4"/>
      <c r="K4" s="1"/>
      <c r="L4" s="1"/>
      <c r="M4" s="24"/>
    </row>
    <row r="5" spans="1:16" ht="18.75" x14ac:dyDescent="0.3">
      <c r="E5" s="16">
        <f>E6/D6</f>
        <v>5.3292834460858758E-2</v>
      </c>
      <c r="F5" s="16">
        <f>F6/D6</f>
        <v>3.5068341847300843E-2</v>
      </c>
      <c r="G5" s="16">
        <f>G6/D6</f>
        <v>2.4161259146762391E-2</v>
      </c>
      <c r="I5" s="29"/>
      <c r="J5" s="26">
        <f>J6-'% cOB. caRT'!D9</f>
        <v>-0.15906653598714385</v>
      </c>
      <c r="K5" s="1"/>
      <c r="L5" s="1"/>
      <c r="M5" s="24"/>
    </row>
    <row r="6" spans="1:16" x14ac:dyDescent="0.25">
      <c r="A6" s="32" t="s">
        <v>8</v>
      </c>
      <c r="B6" s="32"/>
      <c r="C6" s="32"/>
      <c r="D6" s="2">
        <f>SUBTOTAL(9,Tabela1[Carteira])</f>
        <v>7243</v>
      </c>
      <c r="E6" s="2">
        <f>SUBTOTAL(9,Tabela1[Bloqueados])</f>
        <v>386</v>
      </c>
      <c r="F6" s="2">
        <f>SUBTOTAL(9,Tabela1[Abertos 2025 2º SEM])</f>
        <v>254</v>
      </c>
      <c r="G6" s="2">
        <f>SUBTOTAL(9,Tabela1[Sem Limite])</f>
        <v>175</v>
      </c>
      <c r="H6" s="2">
        <f>SUBTOTAL(9,Tabela1[Saldo de Carteira])</f>
        <v>7111</v>
      </c>
      <c r="I6" s="2">
        <f>SUBTOTAL(9,Tabela1[cobertura])</f>
        <v>1583</v>
      </c>
      <c r="J6" s="26">
        <f>I6/H6</f>
        <v>0.22261285332583322</v>
      </c>
      <c r="K6" s="3">
        <f>SUBTOTAL(101,Tabela1[mix])</f>
        <v>8.1488000000000014</v>
      </c>
      <c r="L6" s="3"/>
      <c r="M6" s="2">
        <f>SUBTOTAL(9,Tabela1[Meta Cob. Coleção])</f>
        <v>5688.800000000002</v>
      </c>
    </row>
    <row r="7" spans="1:16" x14ac:dyDescent="0.25">
      <c r="A7" s="4"/>
      <c r="B7" s="4"/>
      <c r="C7" s="4"/>
      <c r="D7" s="5"/>
      <c r="E7" s="5"/>
      <c r="F7" s="5"/>
      <c r="G7" s="5"/>
      <c r="H7" s="5"/>
      <c r="I7" s="5"/>
      <c r="J7" s="6"/>
      <c r="K7" s="7"/>
      <c r="L7" s="7"/>
      <c r="M7" s="5"/>
    </row>
    <row r="8" spans="1:16" x14ac:dyDescent="0.25">
      <c r="A8" s="30" t="s">
        <v>0</v>
      </c>
      <c r="B8" s="8" t="s">
        <v>24</v>
      </c>
      <c r="C8" s="9" t="s">
        <v>7</v>
      </c>
      <c r="D8" s="8" t="s">
        <v>1</v>
      </c>
      <c r="E8" s="8" t="s">
        <v>2</v>
      </c>
      <c r="F8" s="8" t="s">
        <v>38</v>
      </c>
      <c r="G8" s="15" t="s">
        <v>9</v>
      </c>
      <c r="H8" s="8" t="s">
        <v>3</v>
      </c>
      <c r="I8" s="8" t="s">
        <v>4</v>
      </c>
      <c r="J8" s="8" t="s">
        <v>5</v>
      </c>
      <c r="K8" s="10" t="s">
        <v>6</v>
      </c>
      <c r="L8" s="10" t="s">
        <v>39</v>
      </c>
      <c r="M8" s="27" t="s">
        <v>40</v>
      </c>
    </row>
    <row r="9" spans="1:16" ht="15" customHeight="1" x14ac:dyDescent="0.25">
      <c r="A9" s="11">
        <v>11</v>
      </c>
      <c r="B9" s="11" t="str">
        <f>VLOOKUP(Tabela1[[#This Row],[Rep]],[1]REPRESENTANTES!$A$3:$D$57,4,0)</f>
        <v>George</v>
      </c>
      <c r="C9" s="11">
        <v>9902</v>
      </c>
      <c r="D9" s="8">
        <v>142</v>
      </c>
      <c r="E9" s="8">
        <v>7</v>
      </c>
      <c r="F9" s="8">
        <v>2</v>
      </c>
      <c r="G9" s="14">
        <v>8</v>
      </c>
      <c r="H9" s="8">
        <f>D9-E9+Tabela1[[#This Row],[Abertos 2025 2º SEM]]</f>
        <v>137</v>
      </c>
      <c r="I9" s="8">
        <v>16</v>
      </c>
      <c r="J9" s="12">
        <f t="shared" ref="J9:J59" si="0">I9/H9</f>
        <v>0.11678832116788321</v>
      </c>
      <c r="K9" s="10">
        <v>14.92</v>
      </c>
      <c r="L9" s="10"/>
      <c r="M9" s="27">
        <f>Tabela1[[#This Row],[Saldo de Carteira]]*80%</f>
        <v>109.60000000000001</v>
      </c>
    </row>
    <row r="10" spans="1:16" ht="15" customHeight="1" x14ac:dyDescent="0.25">
      <c r="A10" s="8">
        <v>15</v>
      </c>
      <c r="B10" s="8" t="str">
        <f>VLOOKUP(Tabela1[[#This Row],[Rep]],[1]REPRESENTANTES!$A$3:$D$57,4,0)</f>
        <v>Paulo Bier</v>
      </c>
      <c r="C10" s="8">
        <v>9914</v>
      </c>
      <c r="D10" s="8">
        <v>175</v>
      </c>
      <c r="E10" s="8">
        <v>22</v>
      </c>
      <c r="F10" s="8">
        <v>7</v>
      </c>
      <c r="G10" s="14">
        <v>6</v>
      </c>
      <c r="H10" s="8">
        <f>D10-E10+Tabela1[[#This Row],[Abertos 2025 2º SEM]]</f>
        <v>160</v>
      </c>
      <c r="I10" s="8">
        <v>56</v>
      </c>
      <c r="J10" s="12">
        <f t="shared" si="0"/>
        <v>0.35</v>
      </c>
      <c r="K10" s="10">
        <v>12.53</v>
      </c>
      <c r="L10" s="10"/>
      <c r="M10" s="27">
        <f>Tabela1[[#This Row],[Saldo de Carteira]]*80%</f>
        <v>128</v>
      </c>
    </row>
    <row r="11" spans="1:16" x14ac:dyDescent="0.25">
      <c r="A11" s="8">
        <v>19</v>
      </c>
      <c r="B11" s="8" t="str">
        <f>VLOOKUP(Tabela1[[#This Row],[Rep]],[1]REPRESENTANTES!$A$3:$D$57,4,0)</f>
        <v>Hamilton</v>
      </c>
      <c r="C11" s="8">
        <v>9917</v>
      </c>
      <c r="D11" s="8">
        <v>111</v>
      </c>
      <c r="E11" s="8">
        <v>10</v>
      </c>
      <c r="F11" s="8">
        <v>2</v>
      </c>
      <c r="G11" s="14">
        <v>0</v>
      </c>
      <c r="H11" s="8">
        <f>D11-E11+Tabela1[[#This Row],[Abertos 2025 2º SEM]]</f>
        <v>103</v>
      </c>
      <c r="I11" s="8">
        <v>34</v>
      </c>
      <c r="J11" s="12">
        <f t="shared" si="0"/>
        <v>0.3300970873786408</v>
      </c>
      <c r="K11" s="10">
        <v>12.53</v>
      </c>
      <c r="L11" s="10"/>
      <c r="M11" s="27">
        <f>Tabela1[[#This Row],[Saldo de Carteira]]*80%</f>
        <v>82.4</v>
      </c>
    </row>
    <row r="12" spans="1:16" ht="15" customHeight="1" x14ac:dyDescent="0.25">
      <c r="A12" s="8">
        <v>23</v>
      </c>
      <c r="B12" s="8" t="str">
        <f>VLOOKUP(Tabela1[[#This Row],[Rep]],[1]REPRESENTANTES!$A$3:$D$57,4,0)</f>
        <v xml:space="preserve">Marcos </v>
      </c>
      <c r="C12" s="8">
        <v>9907</v>
      </c>
      <c r="D12" s="8">
        <v>184</v>
      </c>
      <c r="E12" s="8">
        <v>9</v>
      </c>
      <c r="F12" s="8">
        <v>16</v>
      </c>
      <c r="G12" s="14">
        <v>2</v>
      </c>
      <c r="H12" s="8">
        <f>D12-E12+Tabela1[[#This Row],[Abertos 2025 2º SEM]]</f>
        <v>191</v>
      </c>
      <c r="I12" s="8">
        <v>88</v>
      </c>
      <c r="J12" s="12">
        <f t="shared" si="0"/>
        <v>0.4607329842931937</v>
      </c>
      <c r="K12" s="10">
        <v>7.87</v>
      </c>
      <c r="L12" s="10"/>
      <c r="M12" s="27">
        <f>Tabela1[[#This Row],[Saldo de Carteira]]*80%</f>
        <v>152.80000000000001</v>
      </c>
    </row>
    <row r="13" spans="1:16" ht="15" customHeight="1" x14ac:dyDescent="0.25">
      <c r="A13" s="8">
        <v>31</v>
      </c>
      <c r="B13" s="8" t="str">
        <f>VLOOKUP(Tabela1[[#This Row],[Rep]],[1]REPRESENTANTES!$A$3:$D$57,4,0)</f>
        <v>Marcos Vinicio</v>
      </c>
      <c r="C13" s="8">
        <v>9914</v>
      </c>
      <c r="D13" s="8">
        <v>145</v>
      </c>
      <c r="E13" s="8">
        <v>7</v>
      </c>
      <c r="F13" s="8">
        <v>5</v>
      </c>
      <c r="G13" s="14">
        <v>4</v>
      </c>
      <c r="H13" s="8">
        <f>D13-E13+Tabela1[[#This Row],[Abertos 2025 2º SEM]]</f>
        <v>143</v>
      </c>
      <c r="I13" s="8">
        <v>24</v>
      </c>
      <c r="J13" s="12">
        <f t="shared" si="0"/>
        <v>0.16783216783216784</v>
      </c>
      <c r="K13" s="10">
        <v>8.75</v>
      </c>
      <c r="L13" s="10"/>
      <c r="M13" s="27">
        <f>Tabela1[[#This Row],[Saldo de Carteira]]*80%</f>
        <v>114.4</v>
      </c>
    </row>
    <row r="14" spans="1:16" ht="15" customHeight="1" x14ac:dyDescent="0.25">
      <c r="A14" s="8">
        <v>34</v>
      </c>
      <c r="B14" s="8" t="str">
        <f>VLOOKUP(Tabela1[[#This Row],[Rep]],[1]REPRESENTANTES!$A$3:$D$57,4,0)</f>
        <v>Fabricio</v>
      </c>
      <c r="C14" s="8">
        <v>9915</v>
      </c>
      <c r="D14" s="8">
        <f>129-3</f>
        <v>126</v>
      </c>
      <c r="E14" s="8">
        <v>3</v>
      </c>
      <c r="F14" s="8">
        <v>0</v>
      </c>
      <c r="G14" s="14">
        <v>3</v>
      </c>
      <c r="H14" s="8">
        <f>D14-E14+Tabela1[[#This Row],[Abertos 2025 2º SEM]]</f>
        <v>123</v>
      </c>
      <c r="I14" s="8">
        <v>41</v>
      </c>
      <c r="J14" s="12">
        <f t="shared" si="0"/>
        <v>0.33333333333333331</v>
      </c>
      <c r="K14" s="10">
        <v>12.4</v>
      </c>
      <c r="L14" s="10"/>
      <c r="M14" s="27">
        <f>Tabela1[[#This Row],[Saldo de Carteira]]*80%</f>
        <v>98.4</v>
      </c>
    </row>
    <row r="15" spans="1:16" ht="15" customHeight="1" x14ac:dyDescent="0.25">
      <c r="A15" s="8">
        <v>38</v>
      </c>
      <c r="B15" s="8" t="str">
        <f>VLOOKUP(Tabela1[[#This Row],[Rep]],[1]REPRESENTANTES!$A$3:$D$57,4,0)</f>
        <v>Maul</v>
      </c>
      <c r="C15" s="8">
        <v>9915</v>
      </c>
      <c r="D15" s="8">
        <v>144</v>
      </c>
      <c r="E15" s="8">
        <v>3</v>
      </c>
      <c r="F15" s="8">
        <v>4</v>
      </c>
      <c r="G15" s="14">
        <v>7</v>
      </c>
      <c r="H15" s="8">
        <f>D15-E15+Tabela1[[#This Row],[Abertos 2025 2º SEM]]</f>
        <v>145</v>
      </c>
      <c r="I15" s="8">
        <v>31</v>
      </c>
      <c r="J15" s="12">
        <f t="shared" si="0"/>
        <v>0.21379310344827587</v>
      </c>
      <c r="K15" s="10">
        <v>11.9</v>
      </c>
      <c r="L15" s="10"/>
      <c r="M15" s="27">
        <f>Tabela1[[#This Row],[Saldo de Carteira]]*80%</f>
        <v>116</v>
      </c>
    </row>
    <row r="16" spans="1:16" ht="15" customHeight="1" x14ac:dyDescent="0.25">
      <c r="A16" s="8">
        <v>39</v>
      </c>
      <c r="B16" s="8" t="str">
        <f>VLOOKUP(Tabela1[[#This Row],[Rep]],[1]REPRESENTANTES!$A$3:$D$57,4,0)</f>
        <v>Carlos Veloso</v>
      </c>
      <c r="C16" s="8">
        <v>9916</v>
      </c>
      <c r="D16" s="8">
        <v>106</v>
      </c>
      <c r="E16" s="8">
        <v>12</v>
      </c>
      <c r="F16" s="8">
        <v>14</v>
      </c>
      <c r="G16" s="14">
        <v>2</v>
      </c>
      <c r="H16" s="8">
        <f>D16-E16+Tabela1[[#This Row],[Abertos 2025 2º SEM]]</f>
        <v>108</v>
      </c>
      <c r="I16" s="8">
        <v>35</v>
      </c>
      <c r="J16" s="12">
        <f t="shared" si="0"/>
        <v>0.32407407407407407</v>
      </c>
      <c r="K16" s="10">
        <v>4.76</v>
      </c>
      <c r="L16" s="10"/>
      <c r="M16" s="27">
        <f>Tabela1[[#This Row],[Saldo de Carteira]]*80%</f>
        <v>86.4</v>
      </c>
    </row>
    <row r="17" spans="1:13" x14ac:dyDescent="0.25">
      <c r="A17" s="8">
        <v>41</v>
      </c>
      <c r="B17" s="8" t="str">
        <f>VLOOKUP(Tabela1[[#This Row],[Rep]],[1]REPRESENTANTES!$A$3:$D$57,4,0)</f>
        <v>Reginaldo</v>
      </c>
      <c r="C17" s="8">
        <v>9917</v>
      </c>
      <c r="D17" s="8">
        <v>64</v>
      </c>
      <c r="E17" s="8">
        <v>2</v>
      </c>
      <c r="F17" s="8">
        <v>4</v>
      </c>
      <c r="G17" s="14">
        <v>3</v>
      </c>
      <c r="H17" s="8">
        <f>D17-E17+Tabela1[[#This Row],[Abertos 2025 2º SEM]]</f>
        <v>66</v>
      </c>
      <c r="I17" s="8">
        <v>18</v>
      </c>
      <c r="J17" s="12">
        <f t="shared" si="0"/>
        <v>0.27272727272727271</v>
      </c>
      <c r="K17" s="10">
        <v>6.17</v>
      </c>
      <c r="L17" s="10"/>
      <c r="M17" s="27">
        <f>Tabela1[[#This Row],[Saldo de Carteira]]*80%</f>
        <v>52.800000000000004</v>
      </c>
    </row>
    <row r="18" spans="1:13" ht="15" customHeight="1" x14ac:dyDescent="0.25">
      <c r="A18" s="8">
        <v>45</v>
      </c>
      <c r="B18" s="8" t="str">
        <f>VLOOKUP(Tabela1[[#This Row],[Rep]],[1]REPRESENTANTES!$A$3:$D$57,4,0)</f>
        <v>Airto</v>
      </c>
      <c r="C18" s="8">
        <v>9907</v>
      </c>
      <c r="D18" s="8">
        <v>222</v>
      </c>
      <c r="E18" s="8">
        <v>10</v>
      </c>
      <c r="F18" s="8">
        <v>12</v>
      </c>
      <c r="G18" s="14">
        <v>6</v>
      </c>
      <c r="H18" s="8">
        <f>D18-E18+Tabela1[[#This Row],[Abertos 2025 2º SEM]]</f>
        <v>224</v>
      </c>
      <c r="I18" s="8">
        <v>81</v>
      </c>
      <c r="J18" s="12">
        <f t="shared" si="0"/>
        <v>0.36160714285714285</v>
      </c>
      <c r="K18" s="10">
        <v>10.050000000000001</v>
      </c>
      <c r="L18" s="10"/>
      <c r="M18" s="27">
        <f>Tabela1[[#This Row],[Saldo de Carteira]]*80%</f>
        <v>179.20000000000002</v>
      </c>
    </row>
    <row r="19" spans="1:13" ht="15" customHeight="1" x14ac:dyDescent="0.25">
      <c r="A19" s="8">
        <v>46</v>
      </c>
      <c r="B19" s="8" t="str">
        <f>VLOOKUP(Tabela1[[#This Row],[Rep]],[1]REPRESENTANTES!$A$3:$D$57,4,0)</f>
        <v>Sergio</v>
      </c>
      <c r="C19" s="8">
        <v>9907</v>
      </c>
      <c r="D19" s="8">
        <v>93</v>
      </c>
      <c r="E19" s="8">
        <v>5</v>
      </c>
      <c r="F19" s="8">
        <v>5</v>
      </c>
      <c r="G19" s="14">
        <v>0</v>
      </c>
      <c r="H19" s="8">
        <f>D19-E19+Tabela1[[#This Row],[Abertos 2025 2º SEM]]</f>
        <v>93</v>
      </c>
      <c r="I19" s="8">
        <v>35</v>
      </c>
      <c r="J19" s="12">
        <f t="shared" si="0"/>
        <v>0.37634408602150538</v>
      </c>
      <c r="K19" s="10">
        <v>4.4800000000000004</v>
      </c>
      <c r="L19" s="10"/>
      <c r="M19" s="27">
        <f>Tabela1[[#This Row],[Saldo de Carteira]]*80%</f>
        <v>74.400000000000006</v>
      </c>
    </row>
    <row r="20" spans="1:13" ht="15" customHeight="1" x14ac:dyDescent="0.25">
      <c r="A20" s="8">
        <v>53</v>
      </c>
      <c r="B20" s="8" t="str">
        <f>VLOOKUP(Tabela1[[#This Row],[Rep]],[1]REPRESENTANTES!$A$3:$D$57,4,0)</f>
        <v xml:space="preserve">Odelon </v>
      </c>
      <c r="C20" s="8">
        <v>9914</v>
      </c>
      <c r="D20" s="8">
        <v>86</v>
      </c>
      <c r="E20" s="8">
        <v>5</v>
      </c>
      <c r="F20" s="8">
        <v>4</v>
      </c>
      <c r="G20" s="14">
        <v>9</v>
      </c>
      <c r="H20" s="8">
        <f>D20-E20+Tabela1[[#This Row],[Abertos 2025 2º SEM]]</f>
        <v>85</v>
      </c>
      <c r="I20" s="8">
        <v>17</v>
      </c>
      <c r="J20" s="12">
        <f t="shared" si="0"/>
        <v>0.2</v>
      </c>
      <c r="K20" s="10">
        <v>10</v>
      </c>
      <c r="L20" s="10"/>
      <c r="M20" s="27">
        <f>Tabela1[[#This Row],[Saldo de Carteira]]*80%</f>
        <v>68</v>
      </c>
    </row>
    <row r="21" spans="1:13" ht="15" customHeight="1" x14ac:dyDescent="0.25">
      <c r="A21" s="8">
        <v>61</v>
      </c>
      <c r="B21" s="8" t="str">
        <f>VLOOKUP(Tabela1[[#This Row],[Rep]],[1]REPRESENTANTES!$A$3:$D$57,4,0)</f>
        <v>Edmar</v>
      </c>
      <c r="C21" s="8">
        <v>9915</v>
      </c>
      <c r="D21" s="8">
        <v>94</v>
      </c>
      <c r="E21" s="8">
        <v>1</v>
      </c>
      <c r="F21" s="8">
        <v>3</v>
      </c>
      <c r="G21" s="14">
        <v>0</v>
      </c>
      <c r="H21" s="8">
        <f>D21-E21+Tabela1[[#This Row],[Abertos 2025 2º SEM]]</f>
        <v>96</v>
      </c>
      <c r="I21" s="8">
        <v>31</v>
      </c>
      <c r="J21" s="12">
        <f t="shared" si="0"/>
        <v>0.32291666666666669</v>
      </c>
      <c r="K21" s="10">
        <v>11.67</v>
      </c>
      <c r="L21" s="10"/>
      <c r="M21" s="27">
        <f>Tabela1[[#This Row],[Saldo de Carteira]]*80%</f>
        <v>76.800000000000011</v>
      </c>
    </row>
    <row r="22" spans="1:13" ht="15" customHeight="1" x14ac:dyDescent="0.25">
      <c r="A22" s="8">
        <v>65</v>
      </c>
      <c r="B22" s="8" t="str">
        <f>VLOOKUP(Tabela1[[#This Row],[Rep]],[1]REPRESENTANTES!$A$3:$D$57,4,0)</f>
        <v>Neiron</v>
      </c>
      <c r="C22" s="8">
        <v>9902</v>
      </c>
      <c r="D22" s="8">
        <v>159</v>
      </c>
      <c r="E22" s="8">
        <v>10</v>
      </c>
      <c r="F22" s="8">
        <v>5</v>
      </c>
      <c r="G22" s="14">
        <v>3</v>
      </c>
      <c r="H22" s="8">
        <f>D22-E22+Tabela1[[#This Row],[Abertos 2025 2º SEM]]</f>
        <v>154</v>
      </c>
      <c r="I22" s="8">
        <v>18</v>
      </c>
      <c r="J22" s="12">
        <f t="shared" si="0"/>
        <v>0.11688311688311688</v>
      </c>
      <c r="K22" s="10">
        <v>4.82</v>
      </c>
      <c r="L22" s="10"/>
      <c r="M22" s="27">
        <f>Tabela1[[#This Row],[Saldo de Carteira]]*80%</f>
        <v>123.2</v>
      </c>
    </row>
    <row r="23" spans="1:13" ht="15" customHeight="1" x14ac:dyDescent="0.25">
      <c r="A23" s="8">
        <v>74</v>
      </c>
      <c r="B23" s="8" t="str">
        <f>VLOOKUP(Tabela1[[#This Row],[Rep]],[1]REPRESENTANTES!$A$3:$D$57,4,0)</f>
        <v>Max</v>
      </c>
      <c r="C23" s="8">
        <v>9907</v>
      </c>
      <c r="D23" s="8">
        <f>240-82</f>
        <v>158</v>
      </c>
      <c r="E23" s="8">
        <v>12</v>
      </c>
      <c r="F23" s="8">
        <v>8</v>
      </c>
      <c r="G23" s="14">
        <v>6</v>
      </c>
      <c r="H23" s="8">
        <f>D23-E23+Tabela1[[#This Row],[Abertos 2025 2º SEM]]</f>
        <v>154</v>
      </c>
      <c r="I23" s="8">
        <v>48</v>
      </c>
      <c r="J23" s="12">
        <f t="shared" si="0"/>
        <v>0.31168831168831168</v>
      </c>
      <c r="K23" s="10">
        <v>7.5</v>
      </c>
      <c r="L23" s="10"/>
      <c r="M23" s="27">
        <f>Tabela1[[#This Row],[Saldo de Carteira]]*80%</f>
        <v>123.2</v>
      </c>
    </row>
    <row r="24" spans="1:13" ht="15" customHeight="1" x14ac:dyDescent="0.25">
      <c r="A24" s="8">
        <v>93</v>
      </c>
      <c r="B24" s="8" t="str">
        <f>VLOOKUP(Tabela1[[#This Row],[Rep]],[1]REPRESENTANTES!$A$3:$D$57,4,0)</f>
        <v>Anderson</v>
      </c>
      <c r="C24" s="8">
        <v>9907</v>
      </c>
      <c r="D24" s="8">
        <v>229</v>
      </c>
      <c r="E24" s="8">
        <v>15</v>
      </c>
      <c r="F24" s="8">
        <v>11</v>
      </c>
      <c r="G24" s="14">
        <v>8</v>
      </c>
      <c r="H24" s="8">
        <f>D24-E24+Tabela1[[#This Row],[Abertos 2025 2º SEM]]</f>
        <v>225</v>
      </c>
      <c r="I24" s="8">
        <v>61</v>
      </c>
      <c r="J24" s="12">
        <f t="shared" si="0"/>
        <v>0.27111111111111114</v>
      </c>
      <c r="K24" s="10">
        <v>9.52</v>
      </c>
      <c r="L24" s="10"/>
      <c r="M24" s="27">
        <f>Tabela1[[#This Row],[Saldo de Carteira]]*80%</f>
        <v>180</v>
      </c>
    </row>
    <row r="25" spans="1:13" x14ac:dyDescent="0.25">
      <c r="A25" s="8">
        <v>143</v>
      </c>
      <c r="B25" s="8" t="str">
        <f>VLOOKUP(Tabela1[[#This Row],[Rep]],[1]REPRESENTANTES!$A$3:$D$57,4,0)</f>
        <v>Marcelo</v>
      </c>
      <c r="C25" s="8">
        <v>9917</v>
      </c>
      <c r="D25" s="8">
        <v>106</v>
      </c>
      <c r="E25" s="8">
        <v>12</v>
      </c>
      <c r="F25" s="8">
        <v>0</v>
      </c>
      <c r="G25" s="14">
        <v>1</v>
      </c>
      <c r="H25" s="8">
        <f>D25-E25+Tabela1[[#This Row],[Abertos 2025 2º SEM]]</f>
        <v>94</v>
      </c>
      <c r="I25" s="8">
        <v>30</v>
      </c>
      <c r="J25" s="12">
        <f t="shared" si="0"/>
        <v>0.31914893617021278</v>
      </c>
      <c r="K25" s="10">
        <v>7.29</v>
      </c>
      <c r="L25" s="10"/>
      <c r="M25" s="27">
        <f>Tabela1[[#This Row],[Saldo de Carteira]]*80%</f>
        <v>75.2</v>
      </c>
    </row>
    <row r="26" spans="1:13" ht="15" customHeight="1" x14ac:dyDescent="0.25">
      <c r="A26" s="8">
        <v>167</v>
      </c>
      <c r="B26" s="8" t="str">
        <f>VLOOKUP(Tabela1[[#This Row],[Rep]],[1]REPRESENTANTES!$A$3:$D$57,4,0)</f>
        <v>Cassiano</v>
      </c>
      <c r="C26" s="8">
        <v>9915</v>
      </c>
      <c r="D26" s="8">
        <f>99-8</f>
        <v>91</v>
      </c>
      <c r="E26" s="8">
        <v>3</v>
      </c>
      <c r="F26" s="8">
        <v>1</v>
      </c>
      <c r="G26" s="14">
        <v>2</v>
      </c>
      <c r="H26" s="8">
        <f>D26-E26+Tabela1[[#This Row],[Abertos 2025 2º SEM]]</f>
        <v>89</v>
      </c>
      <c r="I26" s="8">
        <v>17</v>
      </c>
      <c r="J26" s="12">
        <f t="shared" si="0"/>
        <v>0.19101123595505617</v>
      </c>
      <c r="K26" s="10">
        <v>7.29</v>
      </c>
      <c r="L26" s="10"/>
      <c r="M26" s="27">
        <f>Tabela1[[#This Row],[Saldo de Carteira]]*80%</f>
        <v>71.2</v>
      </c>
    </row>
    <row r="27" spans="1:13" ht="15" customHeight="1" x14ac:dyDescent="0.25">
      <c r="A27" s="8">
        <v>371</v>
      </c>
      <c r="B27" s="8" t="s">
        <v>26</v>
      </c>
      <c r="C27" s="8">
        <v>9915</v>
      </c>
      <c r="D27" s="8">
        <f>168-49</f>
        <v>119</v>
      </c>
      <c r="E27" s="8">
        <v>2</v>
      </c>
      <c r="F27" s="8">
        <v>5</v>
      </c>
      <c r="G27" s="14">
        <v>1</v>
      </c>
      <c r="H27" s="8">
        <f>D27-E27+Tabela1[[#This Row],[Abertos 2025 2º SEM]]</f>
        <v>122</v>
      </c>
      <c r="I27" s="8">
        <v>34</v>
      </c>
      <c r="J27" s="12">
        <f t="shared" si="0"/>
        <v>0.27868852459016391</v>
      </c>
      <c r="K27" s="10">
        <v>8.33</v>
      </c>
      <c r="L27" s="10"/>
      <c r="M27" s="27">
        <f>Tabela1[[#This Row],[Saldo de Carteira]]*80%</f>
        <v>97.600000000000009</v>
      </c>
    </row>
    <row r="28" spans="1:13" ht="15" customHeight="1" x14ac:dyDescent="0.25">
      <c r="A28" s="8">
        <v>178</v>
      </c>
      <c r="B28" s="8" t="s">
        <v>30</v>
      </c>
      <c r="C28" s="8">
        <v>9907</v>
      </c>
      <c r="D28" s="8">
        <v>178</v>
      </c>
      <c r="E28" s="8">
        <v>12</v>
      </c>
      <c r="F28" s="8">
        <v>5</v>
      </c>
      <c r="G28" s="14">
        <v>5</v>
      </c>
      <c r="H28" s="8">
        <f>D28-E28+Tabela1[[#This Row],[Abertos 2025 2º SEM]]</f>
        <v>171</v>
      </c>
      <c r="I28" s="8">
        <v>57</v>
      </c>
      <c r="J28" s="12">
        <f t="shared" si="0"/>
        <v>0.33333333333333331</v>
      </c>
      <c r="K28" s="10">
        <v>7.33</v>
      </c>
      <c r="L28" s="10"/>
      <c r="M28" s="27">
        <f>Tabela1[[#This Row],[Saldo de Carteira]]*80%</f>
        <v>136.80000000000001</v>
      </c>
    </row>
    <row r="29" spans="1:13" ht="15" customHeight="1" x14ac:dyDescent="0.25">
      <c r="A29" s="8">
        <v>187</v>
      </c>
      <c r="B29" s="8" t="s">
        <v>25</v>
      </c>
      <c r="C29" s="8">
        <v>9907</v>
      </c>
      <c r="D29" s="8">
        <f>158-31</f>
        <v>127</v>
      </c>
      <c r="E29" s="8">
        <v>5</v>
      </c>
      <c r="F29" s="8">
        <v>3</v>
      </c>
      <c r="G29" s="14">
        <v>0</v>
      </c>
      <c r="H29" s="8">
        <f>D29-E29+Tabela1[[#This Row],[Abertos 2025 2º SEM]]</f>
        <v>125</v>
      </c>
      <c r="I29" s="8">
        <v>23</v>
      </c>
      <c r="J29" s="12">
        <f t="shared" si="0"/>
        <v>0.184</v>
      </c>
      <c r="K29" s="10">
        <v>11</v>
      </c>
      <c r="L29" s="10"/>
      <c r="M29" s="27">
        <f>Tabela1[[#This Row],[Saldo de Carteira]]*80%</f>
        <v>100</v>
      </c>
    </row>
    <row r="30" spans="1:13" ht="15" customHeight="1" x14ac:dyDescent="0.25">
      <c r="A30" s="8">
        <v>194</v>
      </c>
      <c r="B30" s="8" t="str">
        <f>VLOOKUP(Tabela1[[#This Row],[Rep]],[1]REPRESENTANTES!$A$3:$D$57,4,0)</f>
        <v>Wallace</v>
      </c>
      <c r="C30" s="8">
        <v>9914</v>
      </c>
      <c r="D30" s="8">
        <v>257</v>
      </c>
      <c r="E30" s="8">
        <v>12</v>
      </c>
      <c r="F30" s="8">
        <v>10</v>
      </c>
      <c r="G30" s="14">
        <v>1</v>
      </c>
      <c r="H30" s="8">
        <f>D30-E30+Tabela1[[#This Row],[Abertos 2025 2º SEM]]</f>
        <v>255</v>
      </c>
      <c r="I30" s="8">
        <v>22</v>
      </c>
      <c r="J30" s="12">
        <f t="shared" si="0"/>
        <v>8.6274509803921567E-2</v>
      </c>
      <c r="K30" s="10">
        <v>7.5</v>
      </c>
      <c r="L30" s="10"/>
      <c r="M30" s="27">
        <f>Tabela1[[#This Row],[Saldo de Carteira]]*80%</f>
        <v>204</v>
      </c>
    </row>
    <row r="31" spans="1:13" x14ac:dyDescent="0.25">
      <c r="A31" s="8">
        <v>197</v>
      </c>
      <c r="B31" s="8" t="str">
        <f>VLOOKUP(Tabela1[[#This Row],[Rep]],[1]REPRESENTANTES!$A$3:$D$57,4,0)</f>
        <v>Fabricio</v>
      </c>
      <c r="C31" s="8">
        <v>9917</v>
      </c>
      <c r="D31" s="8">
        <v>140</v>
      </c>
      <c r="E31" s="8">
        <v>7</v>
      </c>
      <c r="F31" s="8">
        <v>0</v>
      </c>
      <c r="G31" s="14">
        <v>2</v>
      </c>
      <c r="H31" s="8">
        <f>D31-E31+Tabela1[[#This Row],[Abertos 2025 2º SEM]]</f>
        <v>133</v>
      </c>
      <c r="I31" s="8">
        <v>42</v>
      </c>
      <c r="J31" s="12">
        <f t="shared" si="0"/>
        <v>0.31578947368421051</v>
      </c>
      <c r="K31" s="10">
        <v>6.54</v>
      </c>
      <c r="L31" s="10"/>
      <c r="M31" s="27">
        <f>Tabela1[[#This Row],[Saldo de Carteira]]*80%</f>
        <v>106.4</v>
      </c>
    </row>
    <row r="32" spans="1:13" ht="15" customHeight="1" x14ac:dyDescent="0.25">
      <c r="A32" s="8">
        <v>208</v>
      </c>
      <c r="B32" s="8" t="str">
        <f>VLOOKUP(Tabela1[[#This Row],[Rep]],[1]REPRESENTANTES!$A$3:$D$57,4,0)</f>
        <v>Renato</v>
      </c>
      <c r="C32" s="8">
        <v>9914</v>
      </c>
      <c r="D32" s="8">
        <v>117</v>
      </c>
      <c r="E32" s="8">
        <v>5</v>
      </c>
      <c r="F32" s="8">
        <v>1</v>
      </c>
      <c r="G32" s="14">
        <v>0</v>
      </c>
      <c r="H32" s="8">
        <f>D32-E32+Tabela1[[#This Row],[Abertos 2025 2º SEM]]</f>
        <v>113</v>
      </c>
      <c r="I32" s="8">
        <v>12</v>
      </c>
      <c r="J32" s="12">
        <f t="shared" si="0"/>
        <v>0.10619469026548672</v>
      </c>
      <c r="K32" s="10">
        <v>16.13</v>
      </c>
      <c r="L32" s="10"/>
      <c r="M32" s="27">
        <f>Tabela1[[#This Row],[Saldo de Carteira]]*80%</f>
        <v>90.4</v>
      </c>
    </row>
    <row r="33" spans="1:13" ht="15" customHeight="1" x14ac:dyDescent="0.25">
      <c r="A33" s="8">
        <v>217</v>
      </c>
      <c r="B33" s="8" t="str">
        <f>VLOOKUP(Tabela1[[#This Row],[Rep]],[1]REPRESENTANTES!$A$3:$D$57,4,0)</f>
        <v>Pedro</v>
      </c>
      <c r="C33" s="8">
        <v>9914</v>
      </c>
      <c r="D33" s="8">
        <v>260</v>
      </c>
      <c r="E33" s="8">
        <v>5</v>
      </c>
      <c r="F33" s="8">
        <v>1</v>
      </c>
      <c r="G33" s="14">
        <v>3</v>
      </c>
      <c r="H33" s="8">
        <f>D33-E33+Tabela1[[#This Row],[Abertos 2025 2º SEM]]</f>
        <v>256</v>
      </c>
      <c r="I33" s="8">
        <v>15</v>
      </c>
      <c r="J33" s="12">
        <f t="shared" si="0"/>
        <v>5.859375E-2</v>
      </c>
      <c r="K33" s="10">
        <v>5.88</v>
      </c>
      <c r="L33" s="10"/>
      <c r="M33" s="27">
        <f>Tabela1[[#This Row],[Saldo de Carteira]]*80%</f>
        <v>204.8</v>
      </c>
    </row>
    <row r="34" spans="1:13" ht="15" customHeight="1" x14ac:dyDescent="0.25">
      <c r="A34" s="8">
        <v>218</v>
      </c>
      <c r="B34" s="8" t="str">
        <f>VLOOKUP(Tabela1[[#This Row],[Rep]],[1]REPRESENTANTES!$A$3:$D$57,4,0)</f>
        <v>Fabiano Ledur</v>
      </c>
      <c r="C34" s="8">
        <v>9914</v>
      </c>
      <c r="D34" s="8">
        <v>177</v>
      </c>
      <c r="E34" s="8">
        <v>5</v>
      </c>
      <c r="F34" s="8">
        <v>6</v>
      </c>
      <c r="G34" s="14">
        <v>4</v>
      </c>
      <c r="H34" s="8">
        <f>D34-E34+Tabela1[[#This Row],[Abertos 2025 2º SEM]]</f>
        <v>178</v>
      </c>
      <c r="I34" s="8">
        <v>47</v>
      </c>
      <c r="J34" s="12">
        <f t="shared" si="0"/>
        <v>0.2640449438202247</v>
      </c>
      <c r="K34" s="10">
        <v>6.59</v>
      </c>
      <c r="L34" s="10"/>
      <c r="M34" s="27">
        <f>Tabela1[[#This Row],[Saldo de Carteira]]*80%</f>
        <v>142.4</v>
      </c>
    </row>
    <row r="35" spans="1:13" ht="15" customHeight="1" x14ac:dyDescent="0.25">
      <c r="A35" s="8">
        <v>231</v>
      </c>
      <c r="B35" s="8" t="str">
        <f>VLOOKUP(Tabela1[[#This Row],[Rep]],[1]REPRESENTANTES!$A$3:$D$57,4,0)</f>
        <v>Thiago</v>
      </c>
      <c r="C35" s="8">
        <v>9907</v>
      </c>
      <c r="D35" s="8">
        <v>122</v>
      </c>
      <c r="E35" s="8">
        <v>8</v>
      </c>
      <c r="F35" s="8">
        <v>2</v>
      </c>
      <c r="G35" s="14">
        <v>2</v>
      </c>
      <c r="H35" s="8">
        <f>D35-E35+Tabela1[[#This Row],[Abertos 2025 2º SEM]]</f>
        <v>116</v>
      </c>
      <c r="I35" s="8">
        <v>52</v>
      </c>
      <c r="J35" s="12">
        <f t="shared" si="0"/>
        <v>0.44827586206896552</v>
      </c>
      <c r="K35" s="10">
        <v>8.8699999999999992</v>
      </c>
      <c r="L35" s="10"/>
      <c r="M35" s="27">
        <f>Tabela1[[#This Row],[Saldo de Carteira]]*80%</f>
        <v>92.800000000000011</v>
      </c>
    </row>
    <row r="36" spans="1:13" ht="15" customHeight="1" x14ac:dyDescent="0.25">
      <c r="A36" s="8">
        <v>232</v>
      </c>
      <c r="B36" s="8" t="str">
        <f>VLOOKUP(Tabela1[[#This Row],[Rep]],[1]REPRESENTANTES!$A$3:$D$57,4,0)</f>
        <v>Laerth</v>
      </c>
      <c r="C36" s="8">
        <v>9914</v>
      </c>
      <c r="D36" s="8">
        <v>272</v>
      </c>
      <c r="E36" s="8">
        <v>10</v>
      </c>
      <c r="F36" s="8">
        <v>5</v>
      </c>
      <c r="G36" s="14">
        <v>4</v>
      </c>
      <c r="H36" s="8">
        <f>D36-E36+Tabela1[[#This Row],[Abertos 2025 2º SEM]]</f>
        <v>267</v>
      </c>
      <c r="I36" s="8">
        <v>51</v>
      </c>
      <c r="J36" s="12">
        <f t="shared" si="0"/>
        <v>0.19101123595505617</v>
      </c>
      <c r="K36" s="10">
        <v>10.37</v>
      </c>
      <c r="L36" s="10"/>
      <c r="M36" s="27">
        <f>Tabela1[[#This Row],[Saldo de Carteira]]*80%</f>
        <v>213.60000000000002</v>
      </c>
    </row>
    <row r="37" spans="1:13" ht="15" customHeight="1" x14ac:dyDescent="0.25">
      <c r="A37" s="8">
        <v>240</v>
      </c>
      <c r="B37" s="8" t="str">
        <f>VLOOKUP(Tabela1[[#This Row],[Rep]],[1]REPRESENTANTES!$A$3:$D$57,4,0)</f>
        <v>Ramon</v>
      </c>
      <c r="C37" s="8">
        <v>9914</v>
      </c>
      <c r="D37" s="8">
        <v>173</v>
      </c>
      <c r="E37" s="8">
        <v>6</v>
      </c>
      <c r="F37" s="8">
        <v>4</v>
      </c>
      <c r="G37" s="14">
        <v>5</v>
      </c>
      <c r="H37" s="8">
        <f>D37-E37+Tabela1[[#This Row],[Abertos 2025 2º SEM]]</f>
        <v>171</v>
      </c>
      <c r="I37" s="8">
        <v>31</v>
      </c>
      <c r="J37" s="12">
        <f t="shared" si="0"/>
        <v>0.18128654970760233</v>
      </c>
      <c r="K37" s="10">
        <v>4.93</v>
      </c>
      <c r="L37" s="10"/>
      <c r="M37" s="27">
        <f>Tabela1[[#This Row],[Saldo de Carteira]]*80%</f>
        <v>136.80000000000001</v>
      </c>
    </row>
    <row r="38" spans="1:13" ht="15" customHeight="1" x14ac:dyDescent="0.25">
      <c r="A38" s="8">
        <v>248</v>
      </c>
      <c r="B38" s="8" t="s">
        <v>27</v>
      </c>
      <c r="C38" s="8">
        <v>9907</v>
      </c>
      <c r="D38" s="8">
        <v>93</v>
      </c>
      <c r="E38" s="8">
        <v>18</v>
      </c>
      <c r="F38" s="8">
        <v>1</v>
      </c>
      <c r="G38" s="14">
        <v>4</v>
      </c>
      <c r="H38" s="8">
        <f>D38-E38+Tabela1[[#This Row],[Abertos 2025 2º SEM]]</f>
        <v>76</v>
      </c>
      <c r="I38" s="8">
        <v>14</v>
      </c>
      <c r="J38" s="12">
        <f t="shared" si="0"/>
        <v>0.18421052631578946</v>
      </c>
      <c r="K38" s="10">
        <v>6</v>
      </c>
      <c r="L38" s="10"/>
      <c r="M38" s="27">
        <f>Tabela1[[#This Row],[Saldo de Carteira]]*80%</f>
        <v>60.800000000000004</v>
      </c>
    </row>
    <row r="39" spans="1:13" ht="15" customHeight="1" x14ac:dyDescent="0.25">
      <c r="A39" s="8">
        <v>261</v>
      </c>
      <c r="B39" s="8" t="str">
        <f>VLOOKUP(Tabela1[[#This Row],[Rep]],[1]REPRESENTANTES!$A$3:$D$57,4,0)</f>
        <v>Pedro Henrique</v>
      </c>
      <c r="C39" s="8">
        <v>9902</v>
      </c>
      <c r="D39" s="8">
        <v>168</v>
      </c>
      <c r="E39" s="8">
        <v>6</v>
      </c>
      <c r="F39" s="8">
        <v>2</v>
      </c>
      <c r="G39" s="14">
        <v>5</v>
      </c>
      <c r="H39" s="8">
        <f>D39-E39+Tabela1[[#This Row],[Abertos 2025 2º SEM]]</f>
        <v>164</v>
      </c>
      <c r="I39" s="8">
        <v>46</v>
      </c>
      <c r="J39" s="12">
        <f t="shared" si="0"/>
        <v>0.28048780487804881</v>
      </c>
      <c r="K39" s="10">
        <v>6.23</v>
      </c>
      <c r="L39" s="10"/>
      <c r="M39" s="27">
        <f>Tabela1[[#This Row],[Saldo de Carteira]]*80%</f>
        <v>131.20000000000002</v>
      </c>
    </row>
    <row r="40" spans="1:13" ht="15" customHeight="1" x14ac:dyDescent="0.25">
      <c r="A40" s="8">
        <v>266</v>
      </c>
      <c r="B40" s="8" t="str">
        <f>VLOOKUP(Tabela1[[#This Row],[Rep]],[1]REPRESENTANTES!$A$3:$D$57,4,0)</f>
        <v>Loran</v>
      </c>
      <c r="C40" s="8">
        <v>9902</v>
      </c>
      <c r="D40" s="8">
        <v>214</v>
      </c>
      <c r="E40" s="8">
        <v>15</v>
      </c>
      <c r="F40" s="8">
        <v>5</v>
      </c>
      <c r="G40" s="14">
        <v>4</v>
      </c>
      <c r="H40" s="8">
        <f>D40-E40+Tabela1[[#This Row],[Abertos 2025 2º SEM]]</f>
        <v>204</v>
      </c>
      <c r="I40" s="8">
        <v>23</v>
      </c>
      <c r="J40" s="12">
        <f t="shared" si="0"/>
        <v>0.11274509803921569</v>
      </c>
      <c r="K40" s="10">
        <v>7.69</v>
      </c>
      <c r="L40" s="10"/>
      <c r="M40" s="27">
        <f>Tabela1[[#This Row],[Saldo de Carteira]]*80%</f>
        <v>163.20000000000002</v>
      </c>
    </row>
    <row r="41" spans="1:13" ht="15" customHeight="1" x14ac:dyDescent="0.25">
      <c r="A41" s="8">
        <v>267</v>
      </c>
      <c r="B41" s="8" t="str">
        <f>VLOOKUP(Tabela1[[#This Row],[Rep]],[1]REPRESENTANTES!$A$3:$D$57,4,0)</f>
        <v>Chagas</v>
      </c>
      <c r="C41" s="8">
        <v>9914</v>
      </c>
      <c r="D41" s="8">
        <v>130</v>
      </c>
      <c r="E41" s="8">
        <v>6</v>
      </c>
      <c r="F41" s="8">
        <v>3</v>
      </c>
      <c r="G41" s="14">
        <v>0</v>
      </c>
      <c r="H41" s="8">
        <f>D41-E41+Tabela1[[#This Row],[Abertos 2025 2º SEM]]</f>
        <v>127</v>
      </c>
      <c r="I41" s="8">
        <v>35</v>
      </c>
      <c r="J41" s="12">
        <f t="shared" si="0"/>
        <v>0.27559055118110237</v>
      </c>
      <c r="K41" s="10">
        <v>8.8699999999999992</v>
      </c>
      <c r="L41" s="10"/>
      <c r="M41" s="27">
        <f>Tabela1[[#This Row],[Saldo de Carteira]]*80%</f>
        <v>101.60000000000001</v>
      </c>
    </row>
    <row r="42" spans="1:13" ht="15" customHeight="1" x14ac:dyDescent="0.25">
      <c r="A42" s="8">
        <v>270</v>
      </c>
      <c r="B42" s="8" t="str">
        <f>VLOOKUP(Tabela1[[#This Row],[Rep]],[1]REPRESENTANTES!$A$3:$D$57,4,0)</f>
        <v>Jack</v>
      </c>
      <c r="C42" s="8">
        <v>9915</v>
      </c>
      <c r="D42" s="8">
        <f>96-17</f>
        <v>79</v>
      </c>
      <c r="E42" s="8">
        <v>4</v>
      </c>
      <c r="F42" s="8">
        <v>3</v>
      </c>
      <c r="G42" s="14">
        <v>6</v>
      </c>
      <c r="H42" s="8">
        <f>D42-E42+Tabela1[[#This Row],[Abertos 2025 2º SEM]]</f>
        <v>78</v>
      </c>
      <c r="I42" s="8">
        <v>10</v>
      </c>
      <c r="J42" s="12">
        <f t="shared" si="0"/>
        <v>0.12820512820512819</v>
      </c>
      <c r="K42" s="10">
        <v>8.17</v>
      </c>
      <c r="L42" s="10"/>
      <c r="M42" s="27">
        <f>Tabela1[[#This Row],[Saldo de Carteira]]*80%</f>
        <v>62.400000000000006</v>
      </c>
    </row>
    <row r="43" spans="1:13" ht="15" customHeight="1" x14ac:dyDescent="0.25">
      <c r="A43" s="8">
        <v>273</v>
      </c>
      <c r="B43" s="8" t="s">
        <v>31</v>
      </c>
      <c r="C43" s="8">
        <v>9914</v>
      </c>
      <c r="D43" s="8">
        <v>206</v>
      </c>
      <c r="E43" s="8">
        <v>41</v>
      </c>
      <c r="F43" s="8">
        <v>1</v>
      </c>
      <c r="G43" s="14">
        <v>2</v>
      </c>
      <c r="H43" s="8">
        <f>D43-E43+Tabela1[[#This Row],[Abertos 2025 2º SEM]]</f>
        <v>166</v>
      </c>
      <c r="I43" s="8">
        <v>21</v>
      </c>
      <c r="J43" s="12">
        <f t="shared" si="0"/>
        <v>0.12650602409638553</v>
      </c>
      <c r="K43" s="10">
        <v>6.65</v>
      </c>
      <c r="L43" s="10"/>
      <c r="M43" s="27">
        <f>Tabela1[[#This Row],[Saldo de Carteira]]*80%</f>
        <v>132.80000000000001</v>
      </c>
    </row>
    <row r="44" spans="1:13" ht="15" customHeight="1" x14ac:dyDescent="0.25">
      <c r="A44" s="8">
        <v>282</v>
      </c>
      <c r="B44" s="8" t="str">
        <f>VLOOKUP(Tabela1[[#This Row],[Rep]],[1]REPRESENTANTES!$A$3:$D$57,4,0)</f>
        <v>Nelson</v>
      </c>
      <c r="C44" s="8">
        <v>9916</v>
      </c>
      <c r="D44" s="8">
        <v>213</v>
      </c>
      <c r="E44" s="8">
        <v>16</v>
      </c>
      <c r="F44" s="8">
        <v>11</v>
      </c>
      <c r="G44" s="14">
        <v>1</v>
      </c>
      <c r="H44" s="8">
        <f>D44-E44+Tabela1[[#This Row],[Abertos 2025 2º SEM]]</f>
        <v>208</v>
      </c>
      <c r="I44" s="8">
        <v>53</v>
      </c>
      <c r="J44" s="12">
        <f t="shared" si="0"/>
        <v>0.25480769230769229</v>
      </c>
      <c r="K44" s="10">
        <v>4.62</v>
      </c>
      <c r="L44" s="10"/>
      <c r="M44" s="27">
        <f>Tabela1[[#This Row],[Saldo de Carteira]]*80%</f>
        <v>166.4</v>
      </c>
    </row>
    <row r="45" spans="1:13" ht="15" customHeight="1" x14ac:dyDescent="0.25">
      <c r="A45" s="8">
        <v>322</v>
      </c>
      <c r="B45" s="8" t="s">
        <v>36</v>
      </c>
      <c r="C45" s="8">
        <v>9907</v>
      </c>
      <c r="D45" s="8">
        <f>80-3+58</f>
        <v>135</v>
      </c>
      <c r="E45" s="8">
        <v>0</v>
      </c>
      <c r="F45" s="8">
        <v>7</v>
      </c>
      <c r="G45" s="14">
        <v>0</v>
      </c>
      <c r="H45" s="8">
        <f>D45-E45+Tabela1[[#This Row],[Abertos 2025 2º SEM]]</f>
        <v>142</v>
      </c>
      <c r="I45" s="8">
        <v>17</v>
      </c>
      <c r="J45" s="12">
        <f t="shared" si="0"/>
        <v>0.11971830985915492</v>
      </c>
      <c r="K45" s="10">
        <v>9.75</v>
      </c>
      <c r="L45" s="10"/>
      <c r="M45" s="27">
        <f>Tabela1[[#This Row],[Saldo de Carteira]]*80%</f>
        <v>113.60000000000001</v>
      </c>
    </row>
    <row r="46" spans="1:13" ht="15" customHeight="1" x14ac:dyDescent="0.25">
      <c r="A46" s="8">
        <v>292</v>
      </c>
      <c r="B46" s="8" t="str">
        <f>VLOOKUP(Tabela1[[#This Row],[Rep]],[1]REPRESENTANTES!$A$3:$D$57,4,0)</f>
        <v>Victor</v>
      </c>
      <c r="C46" s="8">
        <v>9915</v>
      </c>
      <c r="D46" s="8">
        <v>103</v>
      </c>
      <c r="E46" s="8">
        <v>2</v>
      </c>
      <c r="F46" s="8">
        <v>0</v>
      </c>
      <c r="G46" s="14">
        <v>3</v>
      </c>
      <c r="H46" s="8">
        <f>D46-E46+Tabela1[[#This Row],[Abertos 2025 2º SEM]]</f>
        <v>101</v>
      </c>
      <c r="I46" s="8">
        <v>20</v>
      </c>
      <c r="J46" s="12">
        <f t="shared" si="0"/>
        <v>0.19801980198019803</v>
      </c>
      <c r="K46" s="10">
        <v>5.92</v>
      </c>
      <c r="L46" s="10"/>
      <c r="M46" s="27">
        <f>Tabela1[[#This Row],[Saldo de Carteira]]*80%</f>
        <v>80.800000000000011</v>
      </c>
    </row>
    <row r="47" spans="1:13" x14ac:dyDescent="0.25">
      <c r="A47" s="8">
        <v>321</v>
      </c>
      <c r="B47" s="8" t="s">
        <v>28</v>
      </c>
      <c r="C47" s="8">
        <v>9917</v>
      </c>
      <c r="D47" s="8">
        <v>162</v>
      </c>
      <c r="E47" s="8">
        <v>0</v>
      </c>
      <c r="F47" s="8">
        <v>1</v>
      </c>
      <c r="G47" s="14">
        <v>0</v>
      </c>
      <c r="H47" s="8">
        <f>D47-E47+Tabela1[[#This Row],[Abertos 2025 2º SEM]]</f>
        <v>163</v>
      </c>
      <c r="I47" s="8">
        <v>14</v>
      </c>
      <c r="J47" s="12">
        <f t="shared" si="0"/>
        <v>8.5889570552147243E-2</v>
      </c>
      <c r="K47" s="10">
        <v>3.75</v>
      </c>
      <c r="L47" s="10"/>
      <c r="M47" s="27">
        <f>Tabela1[[#This Row],[Saldo de Carteira]]*80%</f>
        <v>130.4</v>
      </c>
    </row>
    <row r="48" spans="1:13" ht="15" customHeight="1" x14ac:dyDescent="0.25">
      <c r="A48" s="8">
        <v>296</v>
      </c>
      <c r="B48" s="8" t="s">
        <v>29</v>
      </c>
      <c r="C48" s="8">
        <v>9902</v>
      </c>
      <c r="D48" s="8">
        <v>147</v>
      </c>
      <c r="E48" s="8">
        <v>31</v>
      </c>
      <c r="F48" s="8">
        <v>3</v>
      </c>
      <c r="G48" s="14">
        <v>1</v>
      </c>
      <c r="H48" s="8">
        <f>D48-E48+Tabela1[[#This Row],[Abertos 2025 2º SEM]]</f>
        <v>119</v>
      </c>
      <c r="I48" s="8">
        <v>17</v>
      </c>
      <c r="J48" s="12">
        <f t="shared" si="0"/>
        <v>0.14285714285714285</v>
      </c>
      <c r="K48" s="10">
        <v>7.3</v>
      </c>
      <c r="L48" s="10"/>
      <c r="M48" s="27">
        <f>Tabela1[[#This Row],[Saldo de Carteira]]*80%</f>
        <v>95.2</v>
      </c>
    </row>
    <row r="49" spans="1:13" x14ac:dyDescent="0.25">
      <c r="A49" s="8">
        <v>297</v>
      </c>
      <c r="B49" s="8" t="str">
        <f>VLOOKUP(Tabela1[[#This Row],[Rep]],[1]REPRESENTANTES!$A$3:$D$57,4,0)</f>
        <v>Jonatas</v>
      </c>
      <c r="C49" s="8">
        <v>9917</v>
      </c>
      <c r="D49" s="8">
        <v>117</v>
      </c>
      <c r="E49" s="8">
        <v>2</v>
      </c>
      <c r="F49" s="8">
        <v>4</v>
      </c>
      <c r="G49" s="14">
        <v>2</v>
      </c>
      <c r="H49" s="8">
        <f>D49-E49+Tabela1[[#This Row],[Abertos 2025 2º SEM]]</f>
        <v>119</v>
      </c>
      <c r="I49" s="8">
        <v>35</v>
      </c>
      <c r="J49" s="12">
        <f t="shared" si="0"/>
        <v>0.29411764705882354</v>
      </c>
      <c r="K49" s="10">
        <v>5.19</v>
      </c>
      <c r="L49" s="10"/>
      <c r="M49" s="27">
        <f>Tabela1[[#This Row],[Saldo de Carteira]]*80%</f>
        <v>95.2</v>
      </c>
    </row>
    <row r="50" spans="1:13" ht="15" customHeight="1" x14ac:dyDescent="0.25">
      <c r="A50" s="8">
        <v>299</v>
      </c>
      <c r="B50" s="8" t="str">
        <f>VLOOKUP(Tabela1[[#This Row],[Rep]],[1]REPRESENTANTES!$A$3:$D$57,4,0)</f>
        <v>Jamir</v>
      </c>
      <c r="C50" s="8">
        <v>9915</v>
      </c>
      <c r="D50" s="8">
        <v>136</v>
      </c>
      <c r="E50" s="8">
        <v>1</v>
      </c>
      <c r="F50" s="8">
        <v>5</v>
      </c>
      <c r="G50" s="14">
        <v>2</v>
      </c>
      <c r="H50" s="8">
        <f>D50-E50+Tabela1[[#This Row],[Abertos 2025 2º SEM]]</f>
        <v>140</v>
      </c>
      <c r="I50" s="8">
        <v>35</v>
      </c>
      <c r="J50" s="12">
        <f t="shared" si="0"/>
        <v>0.25</v>
      </c>
      <c r="K50" s="10">
        <v>7.4</v>
      </c>
      <c r="L50" s="10"/>
      <c r="M50" s="27">
        <f>Tabela1[[#This Row],[Saldo de Carteira]]*80%</f>
        <v>112</v>
      </c>
    </row>
    <row r="51" spans="1:13" ht="15" customHeight="1" x14ac:dyDescent="0.25">
      <c r="A51" s="8">
        <v>301</v>
      </c>
      <c r="B51" s="8" t="str">
        <f>VLOOKUP(Tabela1[[#This Row],[Rep]],[1]REPRESENTANTES!$A$3:$D$57,4,0)</f>
        <v>Julio Veloso</v>
      </c>
      <c r="C51" s="8">
        <v>9914</v>
      </c>
      <c r="D51" s="8">
        <f>54+40</f>
        <v>94</v>
      </c>
      <c r="E51" s="8">
        <v>1</v>
      </c>
      <c r="F51" s="8">
        <v>19</v>
      </c>
      <c r="G51" s="14">
        <v>1</v>
      </c>
      <c r="H51" s="8">
        <f>D51-E51+Tabela1[[#This Row],[Abertos 2025 2º SEM]]</f>
        <v>112</v>
      </c>
      <c r="I51" s="8">
        <v>13</v>
      </c>
      <c r="J51" s="12">
        <f t="shared" si="0"/>
        <v>0.11607142857142858</v>
      </c>
      <c r="K51" s="10">
        <v>15</v>
      </c>
      <c r="L51" s="10"/>
      <c r="M51" s="27">
        <f>Tabela1[[#This Row],[Saldo de Carteira]]*80%</f>
        <v>89.600000000000009</v>
      </c>
    </row>
    <row r="52" spans="1:13" ht="15" customHeight="1" x14ac:dyDescent="0.25">
      <c r="A52" s="8">
        <v>302</v>
      </c>
      <c r="B52" s="8" t="str">
        <f>VLOOKUP(Tabela1[[#This Row],[Rep]],[1]REPRESENTANTES!$A$3:$D$57,4,0)</f>
        <v>Frank</v>
      </c>
      <c r="C52" s="8">
        <v>9915</v>
      </c>
      <c r="D52" s="8">
        <f>83-5</f>
        <v>78</v>
      </c>
      <c r="E52" s="8">
        <v>1</v>
      </c>
      <c r="F52" s="8">
        <v>3</v>
      </c>
      <c r="G52" s="14">
        <v>0</v>
      </c>
      <c r="H52" s="8">
        <f>D52-E52+Tabela1[[#This Row],[Abertos 2025 2º SEM]]</f>
        <v>80</v>
      </c>
      <c r="I52" s="8">
        <v>21</v>
      </c>
      <c r="J52" s="12">
        <f t="shared" si="0"/>
        <v>0.26250000000000001</v>
      </c>
      <c r="K52" s="10">
        <v>6.5</v>
      </c>
      <c r="L52" s="10"/>
      <c r="M52" s="27">
        <f>Tabela1[[#This Row],[Saldo de Carteira]]*80%</f>
        <v>64</v>
      </c>
    </row>
    <row r="53" spans="1:13" ht="15" customHeight="1" x14ac:dyDescent="0.25">
      <c r="A53" s="8">
        <v>308</v>
      </c>
      <c r="B53" s="8" t="s">
        <v>37</v>
      </c>
      <c r="C53" s="8">
        <v>9914</v>
      </c>
      <c r="D53" s="8">
        <v>135</v>
      </c>
      <c r="E53" s="8">
        <v>6</v>
      </c>
      <c r="F53" s="8">
        <v>2</v>
      </c>
      <c r="G53" s="14">
        <v>1</v>
      </c>
      <c r="H53" s="8">
        <f>D53-E53+Tabela1[[#This Row],[Abertos 2025 2º SEM]]</f>
        <v>131</v>
      </c>
      <c r="I53" s="8">
        <v>24</v>
      </c>
      <c r="J53" s="12">
        <f t="shared" si="0"/>
        <v>0.18320610687022901</v>
      </c>
      <c r="K53" s="10">
        <v>7.91</v>
      </c>
      <c r="L53" s="10"/>
      <c r="M53" s="27">
        <f>Tabela1[[#This Row],[Saldo de Carteira]]*80%</f>
        <v>104.80000000000001</v>
      </c>
    </row>
    <row r="54" spans="1:13" ht="15" customHeight="1" x14ac:dyDescent="0.25">
      <c r="A54" s="8">
        <v>324</v>
      </c>
      <c r="B54" s="9" t="s">
        <v>27</v>
      </c>
      <c r="C54" s="8">
        <v>9917</v>
      </c>
      <c r="D54" s="8">
        <v>139</v>
      </c>
      <c r="E54" s="8">
        <v>0</v>
      </c>
      <c r="F54" s="8">
        <v>1</v>
      </c>
      <c r="G54" s="14">
        <v>0</v>
      </c>
      <c r="H54" s="8">
        <f>D54-E54+Tabela1[[#This Row],[Abertos 2025 2º SEM]]</f>
        <v>140</v>
      </c>
      <c r="I54" s="8">
        <v>11</v>
      </c>
      <c r="J54" s="12">
        <f>I54/H54</f>
        <v>7.857142857142857E-2</v>
      </c>
      <c r="K54" s="10">
        <v>6.67</v>
      </c>
      <c r="L54" s="10"/>
      <c r="M54" s="27">
        <f>Tabela1[[#This Row],[Saldo de Carteira]]*80%</f>
        <v>112</v>
      </c>
    </row>
    <row r="55" spans="1:13" x14ac:dyDescent="0.25">
      <c r="A55" s="8">
        <v>326</v>
      </c>
      <c r="B55" s="8" t="s">
        <v>41</v>
      </c>
      <c r="C55" s="8">
        <v>9917</v>
      </c>
      <c r="D55" s="8">
        <v>101</v>
      </c>
      <c r="E55" s="8">
        <v>0</v>
      </c>
      <c r="F55" s="8">
        <v>3</v>
      </c>
      <c r="G55" s="14">
        <v>0</v>
      </c>
      <c r="H55" s="8">
        <f>D55-E55+Tabela1[[#This Row],[Abertos 2025 2º SEM]]</f>
        <v>104</v>
      </c>
      <c r="I55" s="8">
        <v>5</v>
      </c>
      <c r="J55" s="12">
        <f t="shared" si="0"/>
        <v>4.807692307692308E-2</v>
      </c>
      <c r="K55" s="10"/>
      <c r="L55" s="10"/>
      <c r="M55" s="27">
        <f>Tabela1[[#This Row],[Saldo de Carteira]]*80%</f>
        <v>83.2</v>
      </c>
    </row>
    <row r="56" spans="1:13" ht="15" customHeight="1" x14ac:dyDescent="0.25">
      <c r="A56" s="8">
        <v>315</v>
      </c>
      <c r="B56" s="8" t="s">
        <v>32</v>
      </c>
      <c r="C56" s="8">
        <v>9907</v>
      </c>
      <c r="D56" s="8">
        <f>158-36</f>
        <v>122</v>
      </c>
      <c r="E56" s="8">
        <v>4</v>
      </c>
      <c r="F56" s="8">
        <v>4</v>
      </c>
      <c r="G56" s="14">
        <v>0</v>
      </c>
      <c r="H56" s="8">
        <f>D56-E56+Tabela1[[#This Row],[Abertos 2025 2º SEM]]</f>
        <v>122</v>
      </c>
      <c r="I56" s="8">
        <v>53</v>
      </c>
      <c r="J56" s="12">
        <f t="shared" si="0"/>
        <v>0.4344262295081967</v>
      </c>
      <c r="K56" s="10">
        <v>4.58</v>
      </c>
      <c r="L56" s="10"/>
      <c r="M56" s="27">
        <f>Tabela1[[#This Row],[Saldo de Carteira]]*80%</f>
        <v>97.600000000000009</v>
      </c>
    </row>
    <row r="57" spans="1:13" ht="15" customHeight="1" x14ac:dyDescent="0.25">
      <c r="A57" s="8">
        <v>316</v>
      </c>
      <c r="B57" s="8" t="s">
        <v>33</v>
      </c>
      <c r="C57" s="8">
        <v>9902</v>
      </c>
      <c r="D57" s="8">
        <v>84</v>
      </c>
      <c r="E57" s="8">
        <v>4</v>
      </c>
      <c r="F57" s="8">
        <v>20</v>
      </c>
      <c r="G57" s="14">
        <v>18</v>
      </c>
      <c r="H57" s="8">
        <f>D57-E57+Tabela1[[#This Row],[Abertos 2025 2º SEM]]</f>
        <v>100</v>
      </c>
      <c r="I57" s="8">
        <v>20</v>
      </c>
      <c r="J57" s="12">
        <f t="shared" si="0"/>
        <v>0.2</v>
      </c>
      <c r="K57" s="10">
        <v>6.36</v>
      </c>
      <c r="L57" s="10"/>
      <c r="M57" s="27">
        <f>Tabela1[[#This Row],[Saldo de Carteira]]*80%</f>
        <v>80</v>
      </c>
    </row>
    <row r="58" spans="1:13" ht="15" customHeight="1" x14ac:dyDescent="0.25">
      <c r="A58" s="8">
        <v>317</v>
      </c>
      <c r="B58" s="8" t="s">
        <v>34</v>
      </c>
      <c r="C58" s="8">
        <v>9902</v>
      </c>
      <c r="D58" s="8">
        <v>73</v>
      </c>
      <c r="E58" s="8">
        <v>3</v>
      </c>
      <c r="F58" s="8">
        <v>7</v>
      </c>
      <c r="G58" s="14">
        <v>11</v>
      </c>
      <c r="H58" s="8">
        <f>D58-E58+Tabela1[[#This Row],[Abertos 2025 2º SEM]]</f>
        <v>77</v>
      </c>
      <c r="I58" s="8">
        <v>12</v>
      </c>
      <c r="J58" s="12">
        <f t="shared" si="0"/>
        <v>0.15584415584415584</v>
      </c>
      <c r="K58" s="10">
        <v>9.56</v>
      </c>
      <c r="L58" s="10"/>
      <c r="M58" s="27">
        <f>Tabela1[[#This Row],[Saldo de Carteira]]*80%</f>
        <v>61.6</v>
      </c>
    </row>
    <row r="59" spans="1:13" ht="15" customHeight="1" x14ac:dyDescent="0.25">
      <c r="A59" s="8">
        <v>320</v>
      </c>
      <c r="B59" s="8" t="s">
        <v>35</v>
      </c>
      <c r="C59" s="8">
        <v>9915</v>
      </c>
      <c r="D59" s="8">
        <v>137</v>
      </c>
      <c r="E59" s="8">
        <v>0</v>
      </c>
      <c r="F59" s="8">
        <v>4</v>
      </c>
      <c r="G59" s="14">
        <v>17</v>
      </c>
      <c r="H59" s="8">
        <f>D59-E59+Tabela1[[#This Row],[Abertos 2025 2º SEM]]</f>
        <v>141</v>
      </c>
      <c r="I59" s="9">
        <v>17</v>
      </c>
      <c r="J59" s="12">
        <f t="shared" si="0"/>
        <v>0.12056737588652482</v>
      </c>
      <c r="K59" s="10">
        <v>5.4</v>
      </c>
      <c r="L59" s="10"/>
      <c r="M59" s="27">
        <f>Tabela1[[#This Row],[Saldo de Carteira]]*80%</f>
        <v>112.80000000000001</v>
      </c>
    </row>
    <row r="60" spans="1:13" ht="15" customHeight="1" x14ac:dyDescent="0.25">
      <c r="G60"/>
      <c r="J60" s="17"/>
      <c r="K60" s="18"/>
      <c r="L60" s="18"/>
      <c r="M60" s="28"/>
    </row>
    <row r="61" spans="1:13" ht="15" customHeight="1" x14ac:dyDescent="0.25"/>
    <row r="62" spans="1:13" ht="15" customHeight="1" x14ac:dyDescent="0.25"/>
  </sheetData>
  <mergeCells count="1">
    <mergeCell ref="A6:C6"/>
  </mergeCells>
  <conditionalFormatting sqref="J1:J1048576">
    <cfRule type="cellIs" dxfId="21" priority="1" operator="greaterThan">
      <formula>0.3817</formula>
    </cfRule>
  </conditionalFormatting>
  <conditionalFormatting sqref="J5:J60">
    <cfRule type="cellIs" dxfId="20" priority="2" operator="lessThan">
      <formula>0.2</formula>
    </cfRule>
    <cfRule type="cellIs" dxfId="19" priority="3" operator="between">
      <formula>0.1999</formula>
      <formula>0.3816</formula>
    </cfRule>
  </conditionalFormatting>
  <conditionalFormatting sqref="K8:L59">
    <cfRule type="iconSet" priority="22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0A1C-0C56-4F93-9D3D-9B9D8F124A2B}">
  <sheetPr codeName="Planilha2"/>
  <dimension ref="A1"/>
  <sheetViews>
    <sheetView workbookViewId="0">
      <selection activeCell="B36" sqref="B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24DF-2A85-4A15-B123-085D89F0E6BE}">
  <sheetPr codeName="Planilha3"/>
  <dimension ref="A1:H20"/>
  <sheetViews>
    <sheetView zoomScale="145" zoomScaleNormal="145" workbookViewId="0">
      <selection activeCell="D7" sqref="D7"/>
    </sheetView>
  </sheetViews>
  <sheetFormatPr defaultRowHeight="15" x14ac:dyDescent="0.25"/>
  <cols>
    <col min="1" max="1" width="30.140625" customWidth="1"/>
    <col min="2" max="2" width="17" customWidth="1"/>
  </cols>
  <sheetData>
    <row r="1" spans="1:8" x14ac:dyDescent="0.25">
      <c r="A1" s="19" t="s">
        <v>10</v>
      </c>
      <c r="B1" s="19" t="s">
        <v>11</v>
      </c>
      <c r="D1" s="20">
        <v>1</v>
      </c>
    </row>
    <row r="2" spans="1:8" x14ac:dyDescent="0.25">
      <c r="A2" s="21">
        <v>45597</v>
      </c>
      <c r="B2" s="22">
        <v>21</v>
      </c>
      <c r="D2">
        <f>SUM(B8:B13)</f>
        <v>131</v>
      </c>
      <c r="E2" s="23">
        <f>D1/D2</f>
        <v>7.6335877862595417E-3</v>
      </c>
    </row>
    <row r="3" spans="1:8" x14ac:dyDescent="0.25">
      <c r="A3" s="21">
        <v>45627</v>
      </c>
      <c r="B3" s="22">
        <v>16</v>
      </c>
      <c r="D3" s="23">
        <f>E2*D7</f>
        <v>0.38167938931297707</v>
      </c>
    </row>
    <row r="4" spans="1:8" x14ac:dyDescent="0.25">
      <c r="A4" s="22" t="s">
        <v>12</v>
      </c>
      <c r="B4" s="22">
        <v>20</v>
      </c>
      <c r="H4">
        <v>0</v>
      </c>
    </row>
    <row r="5" spans="1:8" x14ac:dyDescent="0.25">
      <c r="A5" s="22" t="s">
        <v>13</v>
      </c>
      <c r="B5" s="22">
        <v>20</v>
      </c>
      <c r="D5">
        <f>SUM(B8:B9)</f>
        <v>42</v>
      </c>
      <c r="E5">
        <v>9</v>
      </c>
    </row>
    <row r="6" spans="1:8" x14ac:dyDescent="0.25">
      <c r="A6" s="22" t="s">
        <v>14</v>
      </c>
      <c r="B6" s="22">
        <v>21</v>
      </c>
      <c r="D6">
        <v>8</v>
      </c>
    </row>
    <row r="7" spans="1:8" x14ac:dyDescent="0.25">
      <c r="A7" s="22" t="s">
        <v>15</v>
      </c>
      <c r="B7" s="22">
        <v>19</v>
      </c>
      <c r="D7">
        <f>D5+D6</f>
        <v>50</v>
      </c>
    </row>
    <row r="8" spans="1:8" x14ac:dyDescent="0.25">
      <c r="A8" s="22" t="s">
        <v>16</v>
      </c>
      <c r="B8" s="22">
        <v>21</v>
      </c>
    </row>
    <row r="9" spans="1:8" x14ac:dyDescent="0.25">
      <c r="A9" s="22" t="s">
        <v>17</v>
      </c>
      <c r="B9" s="22">
        <v>21</v>
      </c>
      <c r="D9" s="23">
        <f>D7*E2</f>
        <v>0.38167938931297707</v>
      </c>
      <c r="E9" s="31">
        <f>D9</f>
        <v>0.38167938931297707</v>
      </c>
    </row>
    <row r="10" spans="1:8" x14ac:dyDescent="0.25">
      <c r="A10" s="22" t="s">
        <v>18</v>
      </c>
      <c r="B10" s="22">
        <v>23</v>
      </c>
    </row>
    <row r="11" spans="1:8" x14ac:dyDescent="0.25">
      <c r="A11" s="22" t="s">
        <v>19</v>
      </c>
      <c r="B11" s="22">
        <v>21</v>
      </c>
    </row>
    <row r="12" spans="1:8" x14ac:dyDescent="0.25">
      <c r="A12" s="22" t="s">
        <v>20</v>
      </c>
      <c r="B12" s="22">
        <v>22</v>
      </c>
    </row>
    <row r="13" spans="1:8" x14ac:dyDescent="0.25">
      <c r="A13" s="22" t="s">
        <v>21</v>
      </c>
      <c r="B13" s="22">
        <v>23</v>
      </c>
    </row>
    <row r="14" spans="1:8" x14ac:dyDescent="0.25">
      <c r="A14" s="22" t="s">
        <v>22</v>
      </c>
      <c r="B14" s="22">
        <v>20</v>
      </c>
    </row>
    <row r="15" spans="1:8" x14ac:dyDescent="0.25">
      <c r="A15" s="22" t="s">
        <v>23</v>
      </c>
      <c r="B15" s="22">
        <v>0</v>
      </c>
    </row>
    <row r="17" spans="1:1" x14ac:dyDescent="0.25">
      <c r="A17">
        <f>[2]Ausentes!D23*'% cOB. caRT'!D9</f>
        <v>2660.6870229007632</v>
      </c>
    </row>
    <row r="18" spans="1:1" x14ac:dyDescent="0.25">
      <c r="A18" s="24">
        <f>A17-[2]Ausentes!E23</f>
        <v>1077.6870229007632</v>
      </c>
    </row>
    <row r="20" spans="1:1" x14ac:dyDescent="0.25">
      <c r="A20" s="25">
        <f ca="1">TODAY()-2</f>
        <v>45851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cobertura</vt:lpstr>
      <vt:lpstr>Planilha4</vt:lpstr>
      <vt:lpstr>% cOB.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gomes alves</dc:creator>
  <cp:lastModifiedBy>carlos.gomes</cp:lastModifiedBy>
  <dcterms:created xsi:type="dcterms:W3CDTF">2025-02-27T16:31:38Z</dcterms:created>
  <dcterms:modified xsi:type="dcterms:W3CDTF">2025-07-15T10:52:11Z</dcterms:modified>
</cp:coreProperties>
</file>