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F981CA72-4057-4BE0-8BE9-1442FF2C8DBE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42" i="1"/>
  <c r="H51" i="1"/>
  <c r="H54" i="1"/>
  <c r="H49" i="1"/>
  <c r="H47" i="1"/>
  <c r="H52" i="1"/>
  <c r="H43" i="1"/>
  <c r="H46" i="1"/>
  <c r="H57" i="1"/>
  <c r="H36" i="1"/>
  <c r="H9" i="1"/>
  <c r="H10" i="1"/>
  <c r="H11" i="1"/>
  <c r="H12" i="1"/>
  <c r="H13" i="1"/>
  <c r="H15" i="1"/>
  <c r="H16" i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3" i="1"/>
  <c r="H34" i="1"/>
  <c r="H35" i="1"/>
  <c r="H37" i="1"/>
  <c r="H39" i="1"/>
  <c r="H40" i="1"/>
  <c r="H41" i="1"/>
  <c r="H45" i="1"/>
  <c r="H48" i="1"/>
  <c r="K6" i="1"/>
  <c r="D42" i="1"/>
  <c r="D5" i="5"/>
  <c r="D2" i="5"/>
  <c r="H20" i="1" l="1"/>
  <c r="H58" i="1"/>
  <c r="H56" i="1"/>
  <c r="H50" i="1"/>
  <c r="H44" i="1"/>
  <c r="H38" i="1"/>
  <c r="H32" i="1"/>
  <c r="H14" i="1"/>
  <c r="H53" i="1"/>
  <c r="H59" i="1"/>
  <c r="H55" i="1"/>
  <c r="D7" i="5"/>
  <c r="D52" i="1"/>
  <c r="D27" i="1"/>
  <c r="D26" i="1"/>
  <c r="D14" i="1"/>
  <c r="A20" i="5"/>
  <c r="D23" i="1"/>
  <c r="J54" i="1" l="1"/>
  <c r="M54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D45" i="1"/>
  <c r="D29" i="1"/>
  <c r="J56" i="1" l="1"/>
  <c r="M56" i="1"/>
  <c r="J45" i="1"/>
  <c r="M45" i="1"/>
  <c r="J29" i="1"/>
  <c r="M29" i="1"/>
  <c r="I6" i="1"/>
  <c r="E2" i="5"/>
  <c r="D9" i="5" l="1"/>
  <c r="E9" i="5" s="1"/>
  <c r="D3" i="5"/>
  <c r="D51" i="1"/>
  <c r="J51" i="1" l="1"/>
  <c r="M51" i="1"/>
  <c r="M6" i="1" s="1"/>
  <c r="G6" i="1"/>
  <c r="P2" i="1" l="1"/>
  <c r="F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<sst xmlns="http://schemas.openxmlformats.org/spreadsheetml/2006/main" count="43" uniqueCount="42">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</sst>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8"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24/07/2025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45,04%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D23">
            <v>7041</v>
          </cell>
          <cell r="E23">
            <v>1947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27" tableBorderDxfId="26">
  <autoFilter ref="A8:M59" xr:uid="{2C699080-BB77-4B73-A408-C4AABE6B398B}"/>
  <tableColumns count="13">
    <tableColumn id="1" xr3:uid="{2E103CB5-8552-4DFF-8DFF-D7107D28CA72}" name="Rep" dataDxfId="25"/>
    <tableColumn id="11" xr3:uid="{DC53BAE2-FEFB-4577-8C31-8C708160F4AE}" name="Nome Rep." dataDxfId="24"/>
    <tableColumn id="9" xr3:uid="{98443E25-9A69-4DD4-BEF1-083F32064E92}" name="Supervisor" dataDxfId="23"/>
    <tableColumn id="2" xr3:uid="{313671CC-B700-48CF-9572-F301644DDCBF}" name="Carteira" dataDxfId="22"/>
    <tableColumn id="3" xr3:uid="{99AB9EB0-9D28-4F16-99B2-865263D09091}" name="Bloqueados" dataDxfId="21"/>
    <tableColumn id="8" xr3:uid="{3F77B725-1A7B-4337-AFEC-F2B0738A84A9}" name="Abertos 2025 2º SEM" dataDxfId="20"/>
    <tableColumn id="10" xr3:uid="{B161C5DE-CB19-4197-B530-CF605C61AEE8}" name="Sem Limite" dataDxfId="19"/>
    <tableColumn id="4" xr3:uid="{7DF927DB-FC14-493C-8860-08E3337FCB7E}" name="Saldo de Carteira" dataDxfId="18">
      <calculatedColumnFormula>D9-E9+Tabela1[[#This Row],[Abertos 2025 2º SEM]]</calculatedColumnFormula>
    </tableColumn>
    <tableColumn id="5" xr3:uid="{39FC1898-2573-42E0-BC52-C9F93D1A1B69}" name="cobertura" dataDxfId="17"/>
    <tableColumn id="6" xr3:uid="{73729B4D-016C-45AC-84B0-5F4C6E582133}" name="% Cobertura" dataDxfId="16" totalsRowDxfId="12">
      <calculatedColumnFormula>I9/H9</calculatedColumnFormula>
    </tableColumn>
    <tableColumn id="7" xr3:uid="{DB269E38-4E7F-4032-855F-5F7E2DDD3628}" name="mix" dataDxfId="15" totalsRowDxfId="11"/>
    <tableColumn id="12" xr3:uid="{5E7F18D1-3A42-4F78-BD2B-40CF376728D7}" name="Meta Cob. Dia Crianças" dataDxfId="14" totalsRowDxfId="10"/>
    <tableColumn id="13" xr3:uid="{0BC7EA2F-5567-46FC-9D2B-47B38F66221B}" name="Meta Cob. Coleção" dataDxfId="13" totalsRowDxfId="9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zoomScale="90" zoomScaleNormal="90" workbookViewId="0">
      <selection activeCell="D16" sqref="D16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4"/>
    </row>
    <row r="2" spans="1:16" x14ac:dyDescent="0.25">
      <c r="G2"/>
      <c r="K2" s="1"/>
      <c r="L2" s="1"/>
      <c r="M2" s="24"/>
      <c r="P2" s="13">
        <f ca="1">TODAY()-1</f>
        <v>45862</v>
      </c>
    </row>
    <row r="3" spans="1:16" x14ac:dyDescent="0.25">
      <c r="G3"/>
      <c r="K3" s="1"/>
      <c r="L3" s="1"/>
      <c r="M3" s="24"/>
    </row>
    <row r="4" spans="1:16" x14ac:dyDescent="0.25">
      <c r="G4"/>
      <c r="K4" s="1"/>
      <c r="L4" s="1"/>
      <c r="M4" s="24"/>
    </row>
    <row r="5" spans="1:16" ht="18.75" x14ac:dyDescent="0.3">
      <c r="E5" s="16">
        <f>E6/D6</f>
        <v>4.9703161673339775E-2</v>
      </c>
      <c r="F5" s="16">
        <f>F6/D6</f>
        <v>4.1005108380505313E-2</v>
      </c>
      <c r="G5" s="16">
        <f>G6/D6</f>
        <v>2.4851580836669888E-2</v>
      </c>
      <c r="I5" s="29"/>
      <c r="J5" s="26">
        <f>J6-'% cOB. caRT'!D9</f>
        <v>-0.17921176295477254</v>
      </c>
      <c r="K5" s="1"/>
      <c r="L5" s="1"/>
      <c r="M5" s="24"/>
    </row>
    <row r="6" spans="1:16" x14ac:dyDescent="0.25">
      <c r="A6" s="32" t="s">
        <v>8</v>
      </c>
      <c r="B6" s="32"/>
      <c r="C6" s="32"/>
      <c r="D6" s="2">
        <f>SUBTOTAL(9,Tabela1[Carteira])</f>
        <v>7243</v>
      </c>
      <c r="E6" s="2">
        <f>SUBTOTAL(9,Tabela1[Bloqueados])</f>
        <v>360</v>
      </c>
      <c r="F6" s="2">
        <f>SUBTOTAL(9,Tabela1[Abertos 2025 2º SEM])</f>
        <v>297</v>
      </c>
      <c r="G6" s="2">
        <f>SUBTOTAL(9,Tabela1[Sem Limite])</f>
        <v>180</v>
      </c>
      <c r="H6" s="2">
        <f>SUBTOTAL(9,Tabela1[Saldo de Carteira])</f>
        <v>7180</v>
      </c>
      <c r="I6" s="2">
        <f>SUBTOTAL(9,Tabela1[cobertura])</f>
        <v>1947</v>
      </c>
      <c r="J6" s="26">
        <f>I6/H6</f>
        <v>0.27116991643454041</v>
      </c>
      <c r="K6" s="3">
        <f>SUBTOTAL(101,Tabela1[mix])</f>
        <v>8.7073999999999998</v>
      </c>
      <c r="L6" s="3"/>
      <c r="M6" s="2">
        <f>SUBTOTAL(9,Tabela1[Meta Cob. Coleção])</f>
        <v>5744.0000000000009</v>
      </c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38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39</v>
      </c>
      <c r="M8" s="27" t="s">
        <v>40</v>
      </c>
    </row>
    <row r="9" spans="1:16" ht="15" customHeight="1" x14ac:dyDescent="0.25">
      <c r="A9" s="11">
        <v>11</v>
      </c>
      <c r="B9" s="11" t="str">
        <f>VLOOKUP(Tabela1[[#This Row],[Rep]],[1]REPRESENTANTES!$A$3:$D$57,4,0)</f>
        <v>George</v>
      </c>
      <c r="C9" s="11">
        <v>9902</v>
      </c>
      <c r="D9" s="8">
        <v>142</v>
      </c>
      <c r="E9" s="8">
        <v>4</v>
      </c>
      <c r="F9" s="8">
        <v>2</v>
      </c>
      <c r="G9" s="14">
        <v>7</v>
      </c>
      <c r="H9" s="8">
        <f>D9-E9+Tabela1[[#This Row],[Abertos 2025 2º SEM]]</f>
        <v>140</v>
      </c>
      <c r="I9" s="8">
        <v>29</v>
      </c>
      <c r="J9" s="12">
        <f t="shared" ref="J9:J59" si="0">I9/H9</f>
        <v>0.20714285714285716</v>
      </c>
      <c r="K9" s="10">
        <v>12.48</v>
      </c>
      <c r="L9" s="10"/>
      <c r="M9" s="27">
        <f>Tabela1[[#This Row],[Saldo de Carteira]]*80%</f>
        <v>112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17</v>
      </c>
      <c r="F10" s="8">
        <v>7</v>
      </c>
      <c r="G10" s="14">
        <v>6</v>
      </c>
      <c r="H10" s="8">
        <f>D10-E10+Tabela1[[#This Row],[Abertos 2025 2º SEM]]</f>
        <v>165</v>
      </c>
      <c r="I10" s="8">
        <v>61</v>
      </c>
      <c r="J10" s="12">
        <f t="shared" si="0"/>
        <v>0.36969696969696969</v>
      </c>
      <c r="K10" s="10">
        <v>12.25</v>
      </c>
      <c r="L10" s="10"/>
      <c r="M10" s="27">
        <f>Tabela1[[#This Row],[Saldo de Carteira]]*80%</f>
        <v>132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9</v>
      </c>
      <c r="F11" s="8">
        <v>3</v>
      </c>
      <c r="G11" s="14">
        <v>0</v>
      </c>
      <c r="H11" s="8">
        <f>D11-E11+Tabela1[[#This Row],[Abertos 2025 2º SEM]]</f>
        <v>105</v>
      </c>
      <c r="I11" s="8">
        <v>43</v>
      </c>
      <c r="J11" s="12">
        <f t="shared" si="0"/>
        <v>0.40952380952380951</v>
      </c>
      <c r="K11" s="10">
        <v>11.54</v>
      </c>
      <c r="L11" s="10"/>
      <c r="M11" s="27">
        <f>Tabela1[[#This Row],[Saldo de Carteira]]*80%</f>
        <v>84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9</v>
      </c>
      <c r="F12" s="8">
        <v>16</v>
      </c>
      <c r="G12" s="14">
        <v>2</v>
      </c>
      <c r="H12" s="8">
        <f>D12-E12+Tabela1[[#This Row],[Abertos 2025 2º SEM]]</f>
        <v>191</v>
      </c>
      <c r="I12" s="8">
        <v>97</v>
      </c>
      <c r="J12" s="12">
        <f t="shared" si="0"/>
        <v>0.50785340314136129</v>
      </c>
      <c r="K12" s="10">
        <v>8.4</v>
      </c>
      <c r="L12" s="10"/>
      <c r="M12" s="27">
        <f>Tabela1[[#This Row],[Saldo de Carteira]]*80%</f>
        <v>152.80000000000001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7</v>
      </c>
      <c r="F13" s="8">
        <v>5</v>
      </c>
      <c r="G13" s="14">
        <v>4</v>
      </c>
      <c r="H13" s="8">
        <f>D13-E13+Tabela1[[#This Row],[Abertos 2025 2º SEM]]</f>
        <v>143</v>
      </c>
      <c r="I13" s="8">
        <v>30</v>
      </c>
      <c r="J13" s="12">
        <f t="shared" si="0"/>
        <v>0.20979020979020979</v>
      </c>
      <c r="K13" s="10">
        <v>9.75</v>
      </c>
      <c r="L13" s="10"/>
      <c r="M13" s="27">
        <f>Tabela1[[#This Row],[Saldo de Carteira]]*80%</f>
        <v>114.4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4</v>
      </c>
      <c r="F14" s="8">
        <v>1</v>
      </c>
      <c r="G14" s="14">
        <v>3</v>
      </c>
      <c r="H14" s="8">
        <f>D14-E14+Tabela1[[#This Row],[Abertos 2025 2º SEM]]</f>
        <v>123</v>
      </c>
      <c r="I14" s="8">
        <v>45</v>
      </c>
      <c r="J14" s="12">
        <f t="shared" si="0"/>
        <v>0.36585365853658536</v>
      </c>
      <c r="K14" s="10">
        <v>11.47</v>
      </c>
      <c r="L14" s="10"/>
      <c r="M14" s="27">
        <f>Tabela1[[#This Row],[Saldo de Carteira]]*80%</f>
        <v>98.4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2</v>
      </c>
      <c r="F15" s="8">
        <v>4</v>
      </c>
      <c r="G15" s="14">
        <v>7</v>
      </c>
      <c r="H15" s="8">
        <f>D15-E15+Tabela1[[#This Row],[Abertos 2025 2º SEM]]</f>
        <v>146</v>
      </c>
      <c r="I15" s="8">
        <v>41</v>
      </c>
      <c r="J15" s="12">
        <f t="shared" si="0"/>
        <v>0.28082191780821919</v>
      </c>
      <c r="K15" s="10">
        <v>10.32</v>
      </c>
      <c r="L15" s="10"/>
      <c r="M15" s="27">
        <f>Tabela1[[#This Row],[Saldo de Carteira]]*80%</f>
        <v>116.80000000000001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11</v>
      </c>
      <c r="F16" s="8">
        <v>24</v>
      </c>
      <c r="G16" s="14">
        <v>1</v>
      </c>
      <c r="H16" s="8">
        <f>D16-E16+Tabela1[[#This Row],[Abertos 2025 2º SEM]]</f>
        <v>119</v>
      </c>
      <c r="I16" s="8">
        <v>37</v>
      </c>
      <c r="J16" s="12">
        <f t="shared" si="0"/>
        <v>0.31092436974789917</v>
      </c>
      <c r="K16" s="10">
        <v>5.14</v>
      </c>
      <c r="L16" s="10"/>
      <c r="M16" s="27">
        <f>Tabela1[[#This Row],[Saldo de Carteira]]*80%</f>
        <v>95.2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4</v>
      </c>
      <c r="F17" s="8">
        <v>4</v>
      </c>
      <c r="G17" s="14">
        <v>3</v>
      </c>
      <c r="H17" s="8">
        <f>D17-E17+Tabela1[[#This Row],[Abertos 2025 2º SEM]]</f>
        <v>64</v>
      </c>
      <c r="I17" s="8">
        <v>21</v>
      </c>
      <c r="J17" s="12">
        <f t="shared" si="0"/>
        <v>0.328125</v>
      </c>
      <c r="K17" s="10">
        <v>6.79</v>
      </c>
      <c r="L17" s="10"/>
      <c r="M17" s="27">
        <f>Tabela1[[#This Row],[Saldo de Carteira]]*80%</f>
        <v>51.2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13</v>
      </c>
      <c r="F18" s="8">
        <v>13</v>
      </c>
      <c r="G18" s="14">
        <v>6</v>
      </c>
      <c r="H18" s="8">
        <f>D18-E18+Tabela1[[#This Row],[Abertos 2025 2º SEM]]</f>
        <v>222</v>
      </c>
      <c r="I18" s="8">
        <v>82</v>
      </c>
      <c r="J18" s="12">
        <f t="shared" si="0"/>
        <v>0.36936936936936937</v>
      </c>
      <c r="K18" s="10">
        <v>12.08</v>
      </c>
      <c r="L18" s="10"/>
      <c r="M18" s="27">
        <f>Tabela1[[#This Row],[Saldo de Carteira]]*80%</f>
        <v>177.60000000000002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7</v>
      </c>
      <c r="F19" s="8">
        <v>5</v>
      </c>
      <c r="G19" s="14">
        <v>0</v>
      </c>
      <c r="H19" s="8">
        <f>D19-E19+Tabela1[[#This Row],[Abertos 2025 2º SEM]]</f>
        <v>91</v>
      </c>
      <c r="I19" s="8">
        <v>37</v>
      </c>
      <c r="J19" s="12">
        <f t="shared" si="0"/>
        <v>0.40659340659340659</v>
      </c>
      <c r="K19" s="10">
        <v>6.44</v>
      </c>
      <c r="L19" s="10"/>
      <c r="M19" s="27">
        <f>Tabela1[[#This Row],[Saldo de Carteira]]*80%</f>
        <v>72.8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3</v>
      </c>
      <c r="F20" s="8">
        <v>4</v>
      </c>
      <c r="G20" s="14">
        <v>9</v>
      </c>
      <c r="H20" s="8">
        <f>D20-E20+Tabela1[[#This Row],[Abertos 2025 2º SEM]]</f>
        <v>87</v>
      </c>
      <c r="I20" s="8">
        <v>19</v>
      </c>
      <c r="J20" s="12">
        <f t="shared" si="0"/>
        <v>0.21839080459770116</v>
      </c>
      <c r="K20" s="10">
        <v>10.28</v>
      </c>
      <c r="L20" s="10"/>
      <c r="M20" s="27">
        <f>Tabela1[[#This Row],[Saldo de Carteira]]*80%</f>
        <v>69.600000000000009</v>
      </c>
    </row>
    <row r="21" spans="1:13" ht="15" customHeight="1" x14ac:dyDescent="0.25">
      <c r="A21" s="8">
        <v>61</v>
      </c>
      <c r="B21" s="8" t="str">
        <f>VLOOKUP(Tabela1[[#This Row],[Rep]],[1]REPRESENTANTES!$A$3:$D$57,4,0)</f>
        <v>Edmar</v>
      </c>
      <c r="C21" s="8">
        <v>9915</v>
      </c>
      <c r="D21" s="8">
        <v>94</v>
      </c>
      <c r="E21" s="8">
        <v>1</v>
      </c>
      <c r="F21" s="8">
        <v>3</v>
      </c>
      <c r="G21" s="14">
        <v>0</v>
      </c>
      <c r="H21" s="8">
        <f>D21-E21+Tabela1[[#This Row],[Abertos 2025 2º SEM]]</f>
        <v>96</v>
      </c>
      <c r="I21" s="8">
        <v>32</v>
      </c>
      <c r="J21" s="12">
        <f t="shared" si="0"/>
        <v>0.33333333333333331</v>
      </c>
      <c r="K21" s="10">
        <v>12.23</v>
      </c>
      <c r="L21" s="10"/>
      <c r="M21" s="27">
        <f>Tabela1[[#This Row],[Saldo de Carteira]]*80%</f>
        <v>76.800000000000011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8</v>
      </c>
      <c r="F22" s="8">
        <v>6</v>
      </c>
      <c r="G22" s="14">
        <v>3</v>
      </c>
      <c r="H22" s="8">
        <f>D22-E22+Tabela1[[#This Row],[Abertos 2025 2º SEM]]</f>
        <v>157</v>
      </c>
      <c r="I22" s="8">
        <v>28</v>
      </c>
      <c r="J22" s="12">
        <f t="shared" si="0"/>
        <v>0.17834394904458598</v>
      </c>
      <c r="K22" s="10">
        <v>9.75</v>
      </c>
      <c r="L22" s="10"/>
      <c r="M22" s="27">
        <f>Tabela1[[#This Row],[Saldo de Carteira]]*80%</f>
        <v>125.60000000000001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11</v>
      </c>
      <c r="F23" s="8">
        <v>8</v>
      </c>
      <c r="G23" s="14">
        <v>5</v>
      </c>
      <c r="H23" s="8">
        <f>D23-E23+Tabela1[[#This Row],[Abertos 2025 2º SEM]]</f>
        <v>155</v>
      </c>
      <c r="I23" s="8">
        <v>55</v>
      </c>
      <c r="J23" s="12">
        <f t="shared" si="0"/>
        <v>0.35483870967741937</v>
      </c>
      <c r="K23" s="10">
        <v>7.25</v>
      </c>
      <c r="L23" s="10"/>
      <c r="M23" s="27">
        <f>Tabela1[[#This Row],[Saldo de Carteira]]*80%</f>
        <v>124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15</v>
      </c>
      <c r="F24" s="8">
        <v>13</v>
      </c>
      <c r="G24" s="14">
        <v>8</v>
      </c>
      <c r="H24" s="8">
        <f>D24-E24+Tabela1[[#This Row],[Abertos 2025 2º SEM]]</f>
        <v>227</v>
      </c>
      <c r="I24" s="8">
        <v>71</v>
      </c>
      <c r="J24" s="12">
        <f t="shared" si="0"/>
        <v>0.31277533039647576</v>
      </c>
      <c r="K24" s="10">
        <v>10.72</v>
      </c>
      <c r="L24" s="10"/>
      <c r="M24" s="27">
        <f>Tabela1[[#This Row],[Saldo de Carteira]]*80%</f>
        <v>181.60000000000002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7</v>
      </c>
      <c r="F25" s="8">
        <v>0</v>
      </c>
      <c r="G25" s="14">
        <v>1</v>
      </c>
      <c r="H25" s="8">
        <f>D25-E25+Tabela1[[#This Row],[Abertos 2025 2º SEM]]</f>
        <v>99</v>
      </c>
      <c r="I25" s="8">
        <v>34</v>
      </c>
      <c r="J25" s="12">
        <f t="shared" si="0"/>
        <v>0.34343434343434343</v>
      </c>
      <c r="K25" s="10">
        <v>8.2100000000000009</v>
      </c>
      <c r="L25" s="10"/>
      <c r="M25" s="27">
        <f>Tabela1[[#This Row],[Saldo de Carteira]]*80%</f>
        <v>79.2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4</v>
      </c>
      <c r="F26" s="8">
        <v>1</v>
      </c>
      <c r="G26" s="14">
        <v>2</v>
      </c>
      <c r="H26" s="8">
        <f>D26-E26+Tabela1[[#This Row],[Abertos 2025 2º SEM]]</f>
        <v>88</v>
      </c>
      <c r="I26" s="8">
        <v>22</v>
      </c>
      <c r="J26" s="12">
        <f t="shared" si="0"/>
        <v>0.25</v>
      </c>
      <c r="K26" s="10">
        <v>7.77</v>
      </c>
      <c r="L26" s="10"/>
      <c r="M26" s="27">
        <f>Tabela1[[#This Row],[Saldo de Carteira]]*80%</f>
        <v>70.400000000000006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1</v>
      </c>
      <c r="F27" s="8">
        <v>8</v>
      </c>
      <c r="G27" s="14">
        <v>1</v>
      </c>
      <c r="H27" s="8">
        <f>D27-E27+Tabela1[[#This Row],[Abertos 2025 2º SEM]]</f>
        <v>126</v>
      </c>
      <c r="I27" s="8">
        <v>42</v>
      </c>
      <c r="J27" s="12">
        <f t="shared" si="0"/>
        <v>0.33333333333333331</v>
      </c>
      <c r="K27" s="10">
        <v>7.47</v>
      </c>
      <c r="L27" s="10"/>
      <c r="M27" s="27">
        <f>Tabela1[[#This Row],[Saldo de Carteira]]*80%</f>
        <v>100.80000000000001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11</v>
      </c>
      <c r="F28" s="8">
        <v>5</v>
      </c>
      <c r="G28" s="14">
        <v>5</v>
      </c>
      <c r="H28" s="8">
        <f>D28-E28+Tabela1[[#This Row],[Abertos 2025 2º SEM]]</f>
        <v>172</v>
      </c>
      <c r="I28" s="8">
        <v>63</v>
      </c>
      <c r="J28" s="12">
        <f t="shared" si="0"/>
        <v>0.36627906976744184</v>
      </c>
      <c r="K28" s="10">
        <v>9.16</v>
      </c>
      <c r="L28" s="10"/>
      <c r="M28" s="27">
        <f>Tabela1[[#This Row],[Saldo de Carteira]]*80%</f>
        <v>137.6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5</v>
      </c>
      <c r="F29" s="8">
        <v>3</v>
      </c>
      <c r="G29" s="14">
        <v>0</v>
      </c>
      <c r="H29" s="8">
        <f>D29-E29+Tabela1[[#This Row],[Abertos 2025 2º SEM]]</f>
        <v>125</v>
      </c>
      <c r="I29" s="8">
        <v>27</v>
      </c>
      <c r="J29" s="12">
        <f t="shared" si="0"/>
        <v>0.216</v>
      </c>
      <c r="K29" s="10">
        <v>8.5399999999999991</v>
      </c>
      <c r="L29" s="10"/>
      <c r="M29" s="27">
        <f>Tabela1[[#This Row],[Saldo de Carteira]]*80%</f>
        <v>100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5</v>
      </c>
      <c r="F30" s="8">
        <v>13</v>
      </c>
      <c r="G30" s="14">
        <v>1</v>
      </c>
      <c r="H30" s="8">
        <f>D30-E30+Tabela1[[#This Row],[Abertos 2025 2º SEM]]</f>
        <v>265</v>
      </c>
      <c r="I30" s="8">
        <v>47</v>
      </c>
      <c r="J30" s="12">
        <f t="shared" si="0"/>
        <v>0.17735849056603772</v>
      </c>
      <c r="K30" s="10">
        <v>8.43</v>
      </c>
      <c r="L30" s="10"/>
      <c r="M30" s="27">
        <f>Tabela1[[#This Row],[Saldo de Carteira]]*80%</f>
        <v>212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3</v>
      </c>
      <c r="F31" s="8">
        <v>0</v>
      </c>
      <c r="G31" s="14">
        <v>2</v>
      </c>
      <c r="H31" s="8">
        <f>D31-E31+Tabela1[[#This Row],[Abertos 2025 2º SEM]]</f>
        <v>137</v>
      </c>
      <c r="I31" s="8">
        <v>50</v>
      </c>
      <c r="J31" s="12">
        <f t="shared" si="0"/>
        <v>0.36496350364963503</v>
      </c>
      <c r="K31" s="10">
        <v>8.09</v>
      </c>
      <c r="L31" s="10"/>
      <c r="M31" s="27">
        <f>Tabela1[[#This Row],[Saldo de Carteira]]*80%</f>
        <v>109.60000000000001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5</v>
      </c>
      <c r="F32" s="8">
        <v>1</v>
      </c>
      <c r="G32" s="14">
        <v>0</v>
      </c>
      <c r="H32" s="8">
        <f>D32-E32+Tabela1[[#This Row],[Abertos 2025 2º SEM]]</f>
        <v>113</v>
      </c>
      <c r="I32" s="8">
        <v>21</v>
      </c>
      <c r="J32" s="12">
        <f t="shared" si="0"/>
        <v>0.18584070796460178</v>
      </c>
      <c r="K32" s="10">
        <v>16.350000000000001</v>
      </c>
      <c r="L32" s="10"/>
      <c r="M32" s="27">
        <f>Tabela1[[#This Row],[Saldo de Carteira]]*80%</f>
        <v>90.4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3</v>
      </c>
      <c r="F33" s="8">
        <v>4</v>
      </c>
      <c r="G33" s="14">
        <v>5</v>
      </c>
      <c r="H33" s="8">
        <f>D33-E33+Tabela1[[#This Row],[Abertos 2025 2º SEM]]</f>
        <v>261</v>
      </c>
      <c r="I33" s="8">
        <v>47</v>
      </c>
      <c r="J33" s="12">
        <f t="shared" si="0"/>
        <v>0.18007662835249041</v>
      </c>
      <c r="K33" s="10">
        <v>6.95</v>
      </c>
      <c r="L33" s="10"/>
      <c r="M33" s="27">
        <f>Tabela1[[#This Row],[Saldo de Carteira]]*80%</f>
        <v>208.8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4</v>
      </c>
      <c r="F34" s="8">
        <v>6</v>
      </c>
      <c r="G34" s="14">
        <v>4</v>
      </c>
      <c r="H34" s="8">
        <f>D34-E34+Tabela1[[#This Row],[Abertos 2025 2º SEM]]</f>
        <v>179</v>
      </c>
      <c r="I34" s="8">
        <v>52</v>
      </c>
      <c r="J34" s="12">
        <f t="shared" si="0"/>
        <v>0.29050279329608941</v>
      </c>
      <c r="K34" s="10">
        <v>6.89</v>
      </c>
      <c r="L34" s="10"/>
      <c r="M34" s="27">
        <f>Tabela1[[#This Row],[Saldo de Carteira]]*80%</f>
        <v>143.20000000000002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12</v>
      </c>
      <c r="F35" s="8">
        <v>5</v>
      </c>
      <c r="G35" s="14">
        <v>2</v>
      </c>
      <c r="H35" s="8">
        <f>D35-E35+Tabela1[[#This Row],[Abertos 2025 2º SEM]]</f>
        <v>115</v>
      </c>
      <c r="I35" s="8">
        <v>64</v>
      </c>
      <c r="J35" s="12">
        <f t="shared" si="0"/>
        <v>0.55652173913043479</v>
      </c>
      <c r="K35" s="10">
        <v>8.84</v>
      </c>
      <c r="L35" s="10"/>
      <c r="M35" s="27">
        <f>Tabela1[[#This Row],[Saldo de Carteira]]*80%</f>
        <v>92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8</v>
      </c>
      <c r="F36" s="8">
        <v>5</v>
      </c>
      <c r="G36" s="14">
        <v>4</v>
      </c>
      <c r="H36" s="8">
        <f>D36-E36+Tabela1[[#This Row],[Abertos 2025 2º SEM]]</f>
        <v>269</v>
      </c>
      <c r="I36" s="8">
        <v>59</v>
      </c>
      <c r="J36" s="12">
        <f t="shared" si="0"/>
        <v>0.21933085501858737</v>
      </c>
      <c r="K36" s="10">
        <v>9.4600000000000009</v>
      </c>
      <c r="L36" s="10"/>
      <c r="M36" s="27">
        <f>Tabela1[[#This Row],[Saldo de Carteira]]*80%</f>
        <v>215.20000000000002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5</v>
      </c>
      <c r="F37" s="8">
        <v>8</v>
      </c>
      <c r="G37" s="14">
        <v>5</v>
      </c>
      <c r="H37" s="8">
        <f>D37-E37+Tabela1[[#This Row],[Abertos 2025 2º SEM]]</f>
        <v>176</v>
      </c>
      <c r="I37" s="8">
        <v>47</v>
      </c>
      <c r="J37" s="12">
        <f t="shared" si="0"/>
        <v>0.26704545454545453</v>
      </c>
      <c r="K37" s="10">
        <v>7.62</v>
      </c>
      <c r="L37" s="10"/>
      <c r="M37" s="27">
        <f>Tabela1[[#This Row],[Saldo de Carteira]]*80%</f>
        <v>140.80000000000001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93</v>
      </c>
      <c r="E38" s="8">
        <v>17</v>
      </c>
      <c r="F38" s="8">
        <v>2</v>
      </c>
      <c r="G38" s="14">
        <v>4</v>
      </c>
      <c r="H38" s="8">
        <f>D38-E38+Tabela1[[#This Row],[Abertos 2025 2º SEM]]</f>
        <v>78</v>
      </c>
      <c r="I38" s="8">
        <v>16</v>
      </c>
      <c r="J38" s="12">
        <f t="shared" si="0"/>
        <v>0.20512820512820512</v>
      </c>
      <c r="K38" s="10">
        <v>5.8</v>
      </c>
      <c r="L38" s="10"/>
      <c r="M38" s="27">
        <f>Tabela1[[#This Row],[Saldo de Carteira]]*80%</f>
        <v>62.400000000000006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10</v>
      </c>
      <c r="F39" s="8">
        <v>2</v>
      </c>
      <c r="G39" s="14">
        <v>5</v>
      </c>
      <c r="H39" s="8">
        <f>D39-E39+Tabela1[[#This Row],[Abertos 2025 2º SEM]]</f>
        <v>160</v>
      </c>
      <c r="I39" s="8">
        <v>53</v>
      </c>
      <c r="J39" s="12">
        <f t="shared" si="0"/>
        <v>0.33124999999999999</v>
      </c>
      <c r="K39" s="10">
        <v>8.5</v>
      </c>
      <c r="L39" s="10"/>
      <c r="M39" s="27">
        <f>Tabela1[[#This Row],[Saldo de Carteira]]*80%</f>
        <v>128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214</v>
      </c>
      <c r="E40" s="8">
        <v>11</v>
      </c>
      <c r="F40" s="8">
        <v>7</v>
      </c>
      <c r="G40" s="14">
        <v>4</v>
      </c>
      <c r="H40" s="8">
        <f>D40-E40+Tabela1[[#This Row],[Abertos 2025 2º SEM]]</f>
        <v>210</v>
      </c>
      <c r="I40" s="8">
        <v>26</v>
      </c>
      <c r="J40" s="12">
        <f t="shared" si="0"/>
        <v>0.12380952380952381</v>
      </c>
      <c r="K40" s="10">
        <v>9.1199999999999992</v>
      </c>
      <c r="L40" s="10"/>
      <c r="M40" s="27">
        <f>Tabela1[[#This Row],[Saldo de Carteira]]*80%</f>
        <v>168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6</v>
      </c>
      <c r="F41" s="8">
        <v>3</v>
      </c>
      <c r="G41" s="14">
        <v>0</v>
      </c>
      <c r="H41" s="8">
        <f>D41-E41+Tabela1[[#This Row],[Abertos 2025 2º SEM]]</f>
        <v>127</v>
      </c>
      <c r="I41" s="8">
        <v>42</v>
      </c>
      <c r="J41" s="12">
        <f t="shared" si="0"/>
        <v>0.33070866141732286</v>
      </c>
      <c r="K41" s="10">
        <v>9.92</v>
      </c>
      <c r="L41" s="10"/>
      <c r="M41" s="27">
        <f>Tabela1[[#This Row],[Saldo de Carteira]]*80%</f>
        <v>101.60000000000001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4</v>
      </c>
      <c r="F42" s="8">
        <v>3</v>
      </c>
      <c r="G42" s="14">
        <v>6</v>
      </c>
      <c r="H42" s="8">
        <f>D42-E42+Tabela1[[#This Row],[Abertos 2025 2º SEM]]</f>
        <v>78</v>
      </c>
      <c r="I42" s="8">
        <v>14</v>
      </c>
      <c r="J42" s="12">
        <f t="shared" si="0"/>
        <v>0.17948717948717949</v>
      </c>
      <c r="K42" s="10">
        <v>10.5</v>
      </c>
      <c r="L42" s="10"/>
      <c r="M42" s="27">
        <f>Tabela1[[#This Row],[Saldo de Carteira]]*80%</f>
        <v>62.400000000000006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44</v>
      </c>
      <c r="F43" s="8">
        <v>1</v>
      </c>
      <c r="G43" s="14">
        <v>2</v>
      </c>
      <c r="H43" s="8">
        <f>D43-E43+Tabela1[[#This Row],[Abertos 2025 2º SEM]]</f>
        <v>163</v>
      </c>
      <c r="I43" s="8">
        <v>22</v>
      </c>
      <c r="J43" s="12">
        <f t="shared" si="0"/>
        <v>0.13496932515337423</v>
      </c>
      <c r="K43" s="10">
        <v>7.71</v>
      </c>
      <c r="L43" s="10"/>
      <c r="M43" s="27">
        <f>Tabela1[[#This Row],[Saldo de Carteira]]*80%</f>
        <v>130.4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15</v>
      </c>
      <c r="F44" s="8">
        <v>11</v>
      </c>
      <c r="G44" s="14">
        <v>1</v>
      </c>
      <c r="H44" s="8">
        <f>D44-E44+Tabela1[[#This Row],[Abertos 2025 2º SEM]]</f>
        <v>209</v>
      </c>
      <c r="I44" s="8">
        <v>64</v>
      </c>
      <c r="J44" s="12">
        <f t="shared" si="0"/>
        <v>0.30622009569377989</v>
      </c>
      <c r="K44" s="10">
        <v>4.78</v>
      </c>
      <c r="L44" s="10"/>
      <c r="M44" s="27">
        <f>Tabela1[[#This Row],[Saldo de Carteira]]*80%</f>
        <v>167.20000000000002</v>
      </c>
    </row>
    <row r="45" spans="1:13" ht="15" customHeight="1" x14ac:dyDescent="0.25">
      <c r="A45" s="8">
        <v>322</v>
      </c>
      <c r="B45" s="8" t="s">
        <v>36</v>
      </c>
      <c r="C45" s="8">
        <v>9907</v>
      </c>
      <c r="D45" s="8">
        <f>80-3+58</f>
        <v>135</v>
      </c>
      <c r="E45" s="8">
        <v>0</v>
      </c>
      <c r="F45" s="8">
        <v>8</v>
      </c>
      <c r="G45" s="14">
        <v>0</v>
      </c>
      <c r="H45" s="8">
        <f>D45-E45+Tabela1[[#This Row],[Abertos 2025 2º SEM]]</f>
        <v>143</v>
      </c>
      <c r="I45" s="8">
        <v>21</v>
      </c>
      <c r="J45" s="12">
        <f t="shared" si="0"/>
        <v>0.14685314685314685</v>
      </c>
      <c r="K45" s="10">
        <v>8.39</v>
      </c>
      <c r="L45" s="10"/>
      <c r="M45" s="27">
        <f>Tabela1[[#This Row],[Saldo de Carteira]]*80%</f>
        <v>114.4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1</v>
      </c>
      <c r="F46" s="8">
        <v>0</v>
      </c>
      <c r="G46" s="14">
        <v>3</v>
      </c>
      <c r="H46" s="8">
        <f>D46-E46+Tabela1[[#This Row],[Abertos 2025 2º SEM]]</f>
        <v>102</v>
      </c>
      <c r="I46" s="8">
        <v>28</v>
      </c>
      <c r="J46" s="12">
        <f t="shared" si="0"/>
        <v>0.27450980392156865</v>
      </c>
      <c r="K46" s="10">
        <v>7.71</v>
      </c>
      <c r="L46" s="10"/>
      <c r="M46" s="27">
        <f>Tabela1[[#This Row],[Saldo de Carteira]]*80%</f>
        <v>81.600000000000009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1</v>
      </c>
      <c r="F47" s="8">
        <v>1</v>
      </c>
      <c r="G47" s="14">
        <v>0</v>
      </c>
      <c r="H47" s="8">
        <f>D47-E47+Tabela1[[#This Row],[Abertos 2025 2º SEM]]</f>
        <v>162</v>
      </c>
      <c r="I47" s="8">
        <v>20</v>
      </c>
      <c r="J47" s="12">
        <f t="shared" si="0"/>
        <v>0.12345679012345678</v>
      </c>
      <c r="K47" s="10">
        <v>6.53</v>
      </c>
      <c r="L47" s="10"/>
      <c r="M47" s="27">
        <f>Tabela1[[#This Row],[Saldo de Carteira]]*80%</f>
        <v>129.6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31</v>
      </c>
      <c r="F48" s="8">
        <v>3</v>
      </c>
      <c r="G48" s="14">
        <v>1</v>
      </c>
      <c r="H48" s="8">
        <f>D48-E48+Tabela1[[#This Row],[Abertos 2025 2º SEM]]</f>
        <v>119</v>
      </c>
      <c r="I48" s="8">
        <v>21</v>
      </c>
      <c r="J48" s="12">
        <f t="shared" si="0"/>
        <v>0.17647058823529413</v>
      </c>
      <c r="K48" s="10">
        <v>6.19</v>
      </c>
      <c r="L48" s="10"/>
      <c r="M48" s="27">
        <f>Tabela1[[#This Row],[Saldo de Carteira]]*80%</f>
        <v>95.2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1</v>
      </c>
      <c r="F49" s="8">
        <v>6</v>
      </c>
      <c r="G49" s="14">
        <v>2</v>
      </c>
      <c r="H49" s="8">
        <f>D49-E49+Tabela1[[#This Row],[Abertos 2025 2º SEM]]</f>
        <v>122</v>
      </c>
      <c r="I49" s="8">
        <v>43</v>
      </c>
      <c r="J49" s="12">
        <f t="shared" si="0"/>
        <v>0.35245901639344263</v>
      </c>
      <c r="K49" s="10">
        <v>9.24</v>
      </c>
      <c r="L49" s="10"/>
      <c r="M49" s="27">
        <f>Tabela1[[#This Row],[Saldo de Carteira]]*80%</f>
        <v>97.600000000000009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2</v>
      </c>
      <c r="F50" s="8">
        <v>6</v>
      </c>
      <c r="G50" s="14">
        <v>2</v>
      </c>
      <c r="H50" s="8">
        <f>D50-E50+Tabela1[[#This Row],[Abertos 2025 2º SEM]]</f>
        <v>140</v>
      </c>
      <c r="I50" s="8">
        <v>44</v>
      </c>
      <c r="J50" s="12">
        <f t="shared" si="0"/>
        <v>0.31428571428571428</v>
      </c>
      <c r="K50" s="10">
        <v>6</v>
      </c>
      <c r="L50" s="10"/>
      <c r="M50" s="27">
        <f>Tabela1[[#This Row],[Saldo de Carteira]]*80%</f>
        <v>112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3</v>
      </c>
      <c r="F51" s="8">
        <v>21</v>
      </c>
      <c r="G51" s="14">
        <v>1</v>
      </c>
      <c r="H51" s="8">
        <f>D51-E51+Tabela1[[#This Row],[Abertos 2025 2º SEM]]</f>
        <v>112</v>
      </c>
      <c r="I51" s="8">
        <v>23</v>
      </c>
      <c r="J51" s="12">
        <f t="shared" si="0"/>
        <v>0.20535714285714285</v>
      </c>
      <c r="K51" s="10">
        <v>11.44</v>
      </c>
      <c r="L51" s="10"/>
      <c r="M51" s="27">
        <f>Tabela1[[#This Row],[Saldo de Carteira]]*80%</f>
        <v>89.600000000000009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0</v>
      </c>
      <c r="F52" s="8">
        <v>3</v>
      </c>
      <c r="G52" s="14">
        <v>0</v>
      </c>
      <c r="H52" s="8">
        <f>D52-E52+Tabela1[[#This Row],[Abertos 2025 2º SEM]]</f>
        <v>81</v>
      </c>
      <c r="I52" s="8">
        <v>28</v>
      </c>
      <c r="J52" s="12">
        <f t="shared" si="0"/>
        <v>0.34567901234567899</v>
      </c>
      <c r="K52" s="10">
        <v>6</v>
      </c>
      <c r="L52" s="10"/>
      <c r="M52" s="27">
        <f>Tabela1[[#This Row],[Saldo de Carteira]]*80%</f>
        <v>64.8</v>
      </c>
    </row>
    <row r="53" spans="1:13" ht="15" customHeight="1" x14ac:dyDescent="0.25">
      <c r="A53" s="8">
        <v>308</v>
      </c>
      <c r="B53" s="8" t="s">
        <v>37</v>
      </c>
      <c r="C53" s="8">
        <v>9914</v>
      </c>
      <c r="D53" s="8">
        <v>135</v>
      </c>
      <c r="E53" s="8">
        <v>6</v>
      </c>
      <c r="F53" s="8">
        <v>2</v>
      </c>
      <c r="G53" s="14">
        <v>1</v>
      </c>
      <c r="H53" s="8">
        <f>D53-E53+Tabela1[[#This Row],[Abertos 2025 2º SEM]]</f>
        <v>131</v>
      </c>
      <c r="I53" s="8">
        <v>30</v>
      </c>
      <c r="J53" s="12">
        <f t="shared" si="0"/>
        <v>0.22900763358778625</v>
      </c>
      <c r="K53" s="10">
        <v>7.73</v>
      </c>
      <c r="L53" s="10"/>
      <c r="M53" s="27">
        <f>Tabela1[[#This Row],[Saldo de Carteira]]*80%</f>
        <v>104.80000000000001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>
        <v>139</v>
      </c>
      <c r="E54" s="8">
        <v>1</v>
      </c>
      <c r="F54" s="8">
        <v>1</v>
      </c>
      <c r="G54" s="14">
        <v>0</v>
      </c>
      <c r="H54" s="8">
        <f>D54-E54+Tabela1[[#This Row],[Abertos 2025 2º SEM]]</f>
        <v>139</v>
      </c>
      <c r="I54" s="8">
        <v>13</v>
      </c>
      <c r="J54" s="12">
        <f>I54/H54</f>
        <v>9.3525179856115109E-2</v>
      </c>
      <c r="K54" s="10">
        <v>6.23</v>
      </c>
      <c r="L54" s="10"/>
      <c r="M54" s="27">
        <f>Tabela1[[#This Row],[Saldo de Carteira]]*80%</f>
        <v>111.2</v>
      </c>
    </row>
    <row r="55" spans="1:13" x14ac:dyDescent="0.25">
      <c r="A55" s="8">
        <v>326</v>
      </c>
      <c r="B55" s="8" t="s">
        <v>41</v>
      </c>
      <c r="C55" s="8">
        <v>9917</v>
      </c>
      <c r="D55" s="8">
        <v>101</v>
      </c>
      <c r="E55" s="8">
        <v>0</v>
      </c>
      <c r="F55" s="8">
        <v>4</v>
      </c>
      <c r="G55" s="14">
        <v>0</v>
      </c>
      <c r="H55" s="8">
        <f>D55-E55+Tabela1[[#This Row],[Abertos 2025 2º SEM]]</f>
        <v>105</v>
      </c>
      <c r="I55" s="8">
        <v>14</v>
      </c>
      <c r="J55" s="12">
        <f t="shared" si="0"/>
        <v>0.13333333333333333</v>
      </c>
      <c r="K55" s="10"/>
      <c r="L55" s="10"/>
      <c r="M55" s="27">
        <f>Tabela1[[#This Row],[Saldo de Carteira]]*80%</f>
        <v>84</v>
      </c>
    </row>
    <row r="56" spans="1:13" ht="15" customHeight="1" x14ac:dyDescent="0.25">
      <c r="A56" s="8">
        <v>315</v>
      </c>
      <c r="B56" s="8" t="s">
        <v>32</v>
      </c>
      <c r="C56" s="8">
        <v>9907</v>
      </c>
      <c r="D56" s="8">
        <f>158-36</f>
        <v>122</v>
      </c>
      <c r="E56" s="8">
        <v>4</v>
      </c>
      <c r="F56" s="8">
        <v>4</v>
      </c>
      <c r="G56" s="14">
        <v>0</v>
      </c>
      <c r="H56" s="8">
        <f>D56-E56+Tabela1[[#This Row],[Abertos 2025 2º SEM]]</f>
        <v>122</v>
      </c>
      <c r="I56" s="8">
        <v>61</v>
      </c>
      <c r="J56" s="12">
        <f t="shared" si="0"/>
        <v>0.5</v>
      </c>
      <c r="K56" s="10">
        <v>5.68</v>
      </c>
      <c r="L56" s="10"/>
      <c r="M56" s="27">
        <f>Tabela1[[#This Row],[Saldo de Carteira]]*80%</f>
        <v>97.600000000000009</v>
      </c>
    </row>
    <row r="57" spans="1:13" ht="15" customHeight="1" x14ac:dyDescent="0.25">
      <c r="A57" s="8">
        <v>316</v>
      </c>
      <c r="B57" s="8" t="s">
        <v>33</v>
      </c>
      <c r="C57" s="8">
        <v>9902</v>
      </c>
      <c r="D57" s="8">
        <v>84</v>
      </c>
      <c r="E57" s="8">
        <v>5</v>
      </c>
      <c r="F57" s="8">
        <v>20</v>
      </c>
      <c r="G57" s="14">
        <v>18</v>
      </c>
      <c r="H57" s="8">
        <f>D57-E57+Tabela1[[#This Row],[Abertos 2025 2º SEM]]</f>
        <v>99</v>
      </c>
      <c r="I57" s="8">
        <v>20</v>
      </c>
      <c r="J57" s="12">
        <f t="shared" si="0"/>
        <v>0.20202020202020202</v>
      </c>
      <c r="K57" s="10">
        <v>8.25</v>
      </c>
      <c r="L57" s="10"/>
      <c r="M57" s="27">
        <f>Tabela1[[#This Row],[Saldo de Carteira]]*80%</f>
        <v>79.2</v>
      </c>
    </row>
    <row r="58" spans="1:13" ht="15" customHeight="1" x14ac:dyDescent="0.25">
      <c r="A58" s="8">
        <v>317</v>
      </c>
      <c r="B58" s="8" t="s">
        <v>34</v>
      </c>
      <c r="C58" s="8">
        <v>9902</v>
      </c>
      <c r="D58" s="8">
        <v>73</v>
      </c>
      <c r="E58" s="8">
        <v>0</v>
      </c>
      <c r="F58" s="8">
        <v>8</v>
      </c>
      <c r="G58" s="14">
        <v>15</v>
      </c>
      <c r="H58" s="8">
        <f>D58-E58+Tabela1[[#This Row],[Abertos 2025 2º SEM]]</f>
        <v>81</v>
      </c>
      <c r="I58" s="8">
        <v>19</v>
      </c>
      <c r="J58" s="12">
        <f t="shared" si="0"/>
        <v>0.23456790123456789</v>
      </c>
      <c r="K58" s="10">
        <v>11.07</v>
      </c>
      <c r="L58" s="10"/>
      <c r="M58" s="27">
        <f>Tabela1[[#This Row],[Saldo de Carteira]]*80%</f>
        <v>64.8</v>
      </c>
    </row>
    <row r="59" spans="1:13" ht="15" customHeight="1" x14ac:dyDescent="0.25">
      <c r="A59" s="8">
        <v>320</v>
      </c>
      <c r="B59" s="8" t="s">
        <v>35</v>
      </c>
      <c r="C59" s="8">
        <v>9915</v>
      </c>
      <c r="D59" s="8">
        <v>137</v>
      </c>
      <c r="E59" s="8">
        <v>0</v>
      </c>
      <c r="F59" s="8">
        <v>4</v>
      </c>
      <c r="G59" s="14">
        <v>19</v>
      </c>
      <c r="H59" s="8">
        <f>D59-E59+Tabela1[[#This Row],[Abertos 2025 2º SEM]]</f>
        <v>141</v>
      </c>
      <c r="I59" s="9">
        <v>22</v>
      </c>
      <c r="J59" s="12">
        <f t="shared" si="0"/>
        <v>0.15602836879432624</v>
      </c>
      <c r="K59" s="10">
        <v>7.91</v>
      </c>
      <c r="L59" s="10"/>
      <c r="M59" s="27">
        <f>Tabela1[[#This Row],[Saldo de Carteira]]*80%</f>
        <v>112.80000000000001</v>
      </c>
    </row>
    <row r="60" spans="1:13" ht="15" customHeight="1" x14ac:dyDescent="0.25">
      <c r="G60"/>
      <c r="J60" s="17"/>
      <c r="K60" s="18"/>
      <c r="L60" s="18"/>
      <c r="M60" s="28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5" priority="1" operator="greaterThan">
      <formula>0.4504</formula>
    </cfRule>
  </conditionalFormatting>
  <conditionalFormatting sqref="J5:J60">
    <cfRule type="cellIs" dxfId="4" priority="2" operator="lessThan">
      <formula>0.3</formula>
    </cfRule>
    <cfRule type="cellIs" dxfId="3" priority="3" operator="between">
      <formula>0.2999</formula>
      <formula>0.4503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9" t="s">
        <v>10</v>
      </c>
      <c r="B1" s="19" t="s">
        <v>11</v>
      </c>
      <c r="D1" s="20">
        <v>1</v>
      </c>
    </row>
    <row r="2" spans="1:8" x14ac:dyDescent="0.25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 x14ac:dyDescent="0.25">
      <c r="A3" s="21">
        <v>45627</v>
      </c>
      <c r="B3" s="22">
        <v>16</v>
      </c>
      <c r="D3" s="23">
        <f>E2*D7</f>
        <v>0.45038167938931295</v>
      </c>
    </row>
    <row r="4" spans="1:8" x14ac:dyDescent="0.25">
      <c r="A4" s="22" t="s">
        <v>12</v>
      </c>
      <c r="B4" s="22">
        <v>20</v>
      </c>
      <c r="H4">
        <v>0</v>
      </c>
    </row>
    <row r="5" spans="1:8" x14ac:dyDescent="0.25">
      <c r="A5" s="22" t="s">
        <v>13</v>
      </c>
      <c r="B5" s="22">
        <v>20</v>
      </c>
      <c r="D5">
        <f>SUM(B8:B9)</f>
        <v>42</v>
      </c>
      <c r="E5">
        <v>9</v>
      </c>
    </row>
    <row r="6" spans="1:8" x14ac:dyDescent="0.25">
      <c r="A6" s="22" t="s">
        <v>14</v>
      </c>
      <c r="B6" s="22">
        <v>21</v>
      </c>
      <c r="D6">
        <v>17</v>
      </c>
    </row>
    <row r="7" spans="1:8" x14ac:dyDescent="0.25">
      <c r="A7" s="22" t="s">
        <v>15</v>
      </c>
      <c r="B7" s="22">
        <v>19</v>
      </c>
      <c r="D7">
        <f>D5+D6</f>
        <v>59</v>
      </c>
    </row>
    <row r="8" spans="1:8" x14ac:dyDescent="0.25">
      <c r="A8" s="22" t="s">
        <v>16</v>
      </c>
      <c r="B8" s="22">
        <v>21</v>
      </c>
    </row>
    <row r="9" spans="1:8" x14ac:dyDescent="0.25">
      <c r="A9" s="22" t="s">
        <v>17</v>
      </c>
      <c r="B9" s="22">
        <v>21</v>
      </c>
      <c r="D9" s="23">
        <f>D7*E2</f>
        <v>0.45038167938931295</v>
      </c>
      <c r="E9" s="31">
        <f>D9</f>
        <v>0.45038167938931295</v>
      </c>
    </row>
    <row r="10" spans="1:8" x14ac:dyDescent="0.25">
      <c r="A10" s="22" t="s">
        <v>18</v>
      </c>
      <c r="B10" s="22">
        <v>23</v>
      </c>
    </row>
    <row r="11" spans="1:8" x14ac:dyDescent="0.25">
      <c r="A11" s="22" t="s">
        <v>19</v>
      </c>
      <c r="B11" s="22">
        <v>21</v>
      </c>
    </row>
    <row r="12" spans="1:8" x14ac:dyDescent="0.25">
      <c r="A12" s="22" t="s">
        <v>20</v>
      </c>
      <c r="B12" s="22">
        <v>22</v>
      </c>
    </row>
    <row r="13" spans="1:8" x14ac:dyDescent="0.25">
      <c r="A13" s="22" t="s">
        <v>21</v>
      </c>
      <c r="B13" s="22">
        <v>23</v>
      </c>
    </row>
    <row r="14" spans="1:8" x14ac:dyDescent="0.25">
      <c r="A14" s="22" t="s">
        <v>22</v>
      </c>
      <c r="B14" s="22">
        <v>20</v>
      </c>
    </row>
    <row r="15" spans="1:8" x14ac:dyDescent="0.25">
      <c r="A15" s="22" t="s">
        <v>23</v>
      </c>
      <c r="B15" s="22">
        <v>0</v>
      </c>
    </row>
    <row r="17" spans="1:1" x14ac:dyDescent="0.25">
      <c r="A17">
        <f>[2]Ausentes!D23*'% cOB. caRT'!D9</f>
        <v>3171.1374045801526</v>
      </c>
    </row>
    <row r="18" spans="1:1" x14ac:dyDescent="0.25">
      <c r="A18" s="24">
        <f>A17-[2]Ausentes!E23</f>
        <v>1224.1374045801526</v>
      </c>
    </row>
    <row r="20" spans="1:1" x14ac:dyDescent="0.25">
      <c r="A20" s="25">
        <f ca="1">TODAY()-2</f>
        <v>45861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2025-07-25T10:06:13Z</dcterms:modified>
</cp:coreProperties>
</file>