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3495DD0E-6934-4EC8-B033-CAAF075D3651}" xr6:coauthVersionLast="47" xr6:coauthVersionMax="47" xr10:uidLastSave="{00000000-0000-0000-0000-000000000000}"/>
  <bookViews>
    <workbookView xWindow="-12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2" i="5"/>
  <c r="H54" i="1" l="1"/>
  <c r="D7" i="5"/>
  <c r="D3" i="5" s="1"/>
  <c r="D52" i="1"/>
  <c r="D42" i="1"/>
  <c r="D27" i="1"/>
  <c r="D26" i="1"/>
  <c r="D14" i="1"/>
  <c r="D57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G6" i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<sst xmlns="http://schemas.openxmlformats.org/spreadsheetml/2006/main" count="43" uniqueCount="42">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</sst>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  <xf numFmtId="0" fontId="0" fillId="0" borderId="2" xfId="0" quotePrefix="1" applyFill="1" applyBorder="1"/>
    <xf numFmtId="0" fontId="0" fillId="0" borderId="2" xfId="0" applyFill="1" applyBorder="1"/>
    <xf numFmtId="0" fontId="1" fillId="0" borderId="2" xfId="0" applyFont="1" applyFill="1" applyBorder="1"/>
    <xf numFmtId="0" fontId="0" fillId="0" borderId="0" xfId="0" applyFill="1"/>
  </cellXfs>
  <cellStyles count="3">
    <cellStyle name="Normal" xfId="0" builtinId="0"/>
    <cellStyle name="Porcentagem" xfId="2" builtinId="5"/>
    <cellStyle name="Vírgula" xfId="1" builtinId="3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01/07/2025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32,82%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D23">
            <v>7144</v>
          </cell>
          <cell r="E23">
            <v>1227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0" tableBorderDxfId="19">
  <autoFilter ref="A8:M59" xr:uid="{2C699080-BB77-4B73-A408-C4AABE6B398B}"/>
  <tableColumns count="13">
    <tableColumn id="1" xr3:uid="{2E103CB5-8552-4DFF-8DFF-D7107D28CA72}" name="Rep" dataDxfId="7" totalsRowDxfId="5"/>
    <tableColumn id="11" xr3:uid="{DC53BAE2-FEFB-4577-8C31-8C708160F4AE}" name="Nome Rep." dataDxfId="6" totalsRowDxfId="4"/>
    <tableColumn id="9" xr3:uid="{98443E25-9A69-4DD4-BEF1-083F32064E92}" name="Supervisor" dataDxfId="18"/>
    <tableColumn id="2" xr3:uid="{313671CC-B700-48CF-9572-F301644DDCBF}" name="Carteira" dataDxfId="17"/>
    <tableColumn id="3" xr3:uid="{99AB9EB0-9D28-4F16-99B2-865263D09091}" name="Bloqueados" dataDxfId="16"/>
    <tableColumn id="8" xr3:uid="{3F77B725-1A7B-4337-AFEC-F2B0738A84A9}" name="Abertos 2025 2º SEM" dataDxfId="15"/>
    <tableColumn id="10" xr3:uid="{B161C5DE-CB19-4197-B530-CF605C61AEE8}" name="Sem Limite" dataDxfId="14"/>
    <tableColumn id="4" xr3:uid="{7DF927DB-FC14-493C-8860-08E3337FCB7E}" name="Saldo de Carteira" dataDxfId="13">
      <calculatedColumnFormula>D9-E9+Tabela1[[#This Row],[Abertos 2025 2º SEM]]</calculatedColumnFormula>
    </tableColumn>
    <tableColumn id="5" xr3:uid="{39FC1898-2573-42E0-BC52-C9F93D1A1B69}" name="cobertura" dataDxfId="12"/>
    <tableColumn id="6" xr3:uid="{73729B4D-016C-45AC-84B0-5F4C6E582133}" name="% Cobertura" dataDxfId="11" totalsRowDxfId="3" dataCellStyle="Normal">
      <calculatedColumnFormula>I9/H9</calculatedColumnFormula>
    </tableColumn>
    <tableColumn id="7" xr3:uid="{DB269E38-4E7F-4032-855F-5F7E2DDD3628}" name="mix" dataDxfId="10" totalsRowDxfId="2"/>
    <tableColumn id="12" xr3:uid="{5E7F18D1-3A42-4F78-BD2B-40CF376728D7}" name="Meta Cob. Dia Crianças" dataDxfId="9" totalsRowDxfId="1"/>
    <tableColumn id="13" xr3:uid="{0BC7EA2F-5567-46FC-9D2B-47B38F66221B}" name="Meta Cob. Coleção" dataDxfId="8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>
      <selection activeCell="D22" sqref="D22"/>
    </sheetView>
  </sheetViews>
  <sheetFormatPr defaultRowHeight="1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>
      <c r="G1"/>
      <c r="K1" s="1"/>
      <c r="L1" s="1"/>
      <c r="M1" s="24"/>
    </row>
    <row r="2" spans="1:16">
      <c r="G2"/>
      <c r="K2" s="1"/>
      <c r="L2" s="1"/>
      <c r="M2" s="24"/>
      <c r="P2" s="13">
        <f ca="1">TODAY()-1</f>
        <v>45839</v>
      </c>
    </row>
    <row r="3" spans="1:16">
      <c r="G3"/>
      <c r="K3" s="1"/>
      <c r="L3" s="1"/>
      <c r="M3" s="24"/>
    </row>
    <row r="4" spans="1:16">
      <c r="G4"/>
      <c r="K4" s="1"/>
      <c r="L4" s="1"/>
      <c r="M4" s="24"/>
    </row>
    <row r="5" spans="1:16" ht="18.75">
      <c r="E5" s="16">
        <f>E6/D6</f>
        <v>4.1944444444444444E-2</v>
      </c>
      <c r="F5" s="16">
        <f>F6/D6</f>
        <v>2.6111111111111113E-2</v>
      </c>
      <c r="G5" s="16">
        <f>G6/D6</f>
        <v>2.4722222222222222E-2</v>
      </c>
      <c r="J5" s="26">
        <f>J6-'% cOB. caRT'!D9</f>
        <v>-0.15508593441965987</v>
      </c>
      <c r="K5" s="1"/>
      <c r="L5" s="1"/>
      <c r="M5" s="24"/>
    </row>
    <row r="6" spans="1:16">
      <c r="A6" s="32" t="s">
        <v>8</v>
      </c>
      <c r="B6" s="32"/>
      <c r="C6" s="32"/>
      <c r="D6" s="2">
        <f>SUBTOTAL(9,Tabela1[Carteira])</f>
        <v>7200</v>
      </c>
      <c r="E6" s="2">
        <f>SUBTOTAL(9,Tabela1[Bloqueados])</f>
        <v>302</v>
      </c>
      <c r="F6" s="2">
        <f>SUBTOTAL(9,Tabela1[Abertos 2025 2º SEM])</f>
        <v>188</v>
      </c>
      <c r="G6" s="2">
        <f>SUBTOTAL(9,Tabela1[Sem Limite])</f>
        <v>178</v>
      </c>
      <c r="H6" s="2">
        <f>SUBTOTAL(9,Tabela1[Saldo de Carteira])</f>
        <v>7086</v>
      </c>
      <c r="I6" s="2">
        <f>SUBTOTAL(9,Tabela1[cobertura])</f>
        <v>1227</v>
      </c>
      <c r="J6" s="26">
        <f>I6/H6</f>
        <v>0.17315834038950043</v>
      </c>
      <c r="K6" s="3">
        <f>SUBTOTAL(101,Tabela1[mix])</f>
        <v>8.1488000000000014</v>
      </c>
      <c r="L6" s="3"/>
      <c r="M6" s="2"/>
    </row>
    <row r="7" spans="1:16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27" t="s">
        <v>41</v>
      </c>
    </row>
    <row r="9" spans="1:16" ht="15" customHeight="1">
      <c r="A9" s="33">
        <v>11</v>
      </c>
      <c r="B9" s="33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1</v>
      </c>
      <c r="G9" s="14">
        <v>8</v>
      </c>
      <c r="H9" s="8">
        <f>D9-E9+Tabela1[[#This Row],[Abertos 2025 2º SEM]]</f>
        <v>138</v>
      </c>
      <c r="I9" s="8">
        <v>13</v>
      </c>
      <c r="J9" s="12">
        <f t="shared" ref="J9:J59" si="0">I9/H9</f>
        <v>9.420289855072464E-2</v>
      </c>
      <c r="K9" s="10">
        <v>14.92</v>
      </c>
      <c r="L9" s="10"/>
      <c r="M9" s="27">
        <f>Tabela1[[#This Row],[Saldo de Carteira]]*80%</f>
        <v>110.4</v>
      </c>
    </row>
    <row r="10" spans="1:16" ht="15" customHeight="1">
      <c r="A10" s="34">
        <v>15</v>
      </c>
      <c r="B10" s="34" t="str">
        <f>VLOOKUP(Tabela1[[#This Row],[Rep]],[1]REPRESENTANTES!$A$3:$D$57,4,0)</f>
        <v>Paulo Bier</v>
      </c>
      <c r="C10" s="8">
        <v>9914</v>
      </c>
      <c r="D10" s="8">
        <v>175</v>
      </c>
      <c r="E10" s="8">
        <v>16</v>
      </c>
      <c r="F10" s="8">
        <v>5</v>
      </c>
      <c r="G10" s="14">
        <v>6</v>
      </c>
      <c r="H10" s="8">
        <f>D10-E10+Tabela1[[#This Row],[Abertos 2025 2º SEM]]</f>
        <v>164</v>
      </c>
      <c r="I10" s="8">
        <v>49</v>
      </c>
      <c r="J10" s="12">
        <f t="shared" si="0"/>
        <v>0.29878048780487804</v>
      </c>
      <c r="K10" s="10">
        <v>12.53</v>
      </c>
      <c r="L10" s="10"/>
      <c r="M10" s="27">
        <f>Tabela1[[#This Row],[Saldo de Carteira]]*80%</f>
        <v>131.20000000000002</v>
      </c>
    </row>
    <row r="11" spans="1:16">
      <c r="A11" s="34">
        <v>19</v>
      </c>
      <c r="B11" s="34" t="str">
        <f>VLOOKUP(Tabela1[[#This Row],[Rep]],[1]REPRESENTANTES!$A$3:$D$57,4,0)</f>
        <v>Hamilton</v>
      </c>
      <c r="C11" s="8">
        <v>9917</v>
      </c>
      <c r="D11" s="8">
        <v>111</v>
      </c>
      <c r="E11" s="8">
        <v>5</v>
      </c>
      <c r="F11" s="8">
        <v>0</v>
      </c>
      <c r="G11" s="14">
        <v>0</v>
      </c>
      <c r="H11" s="8">
        <f>D11-E11+Tabela1[[#This Row],[Abertos 2025 2º SEM]]</f>
        <v>106</v>
      </c>
      <c r="I11" s="8">
        <v>25</v>
      </c>
      <c r="J11" s="12">
        <f t="shared" si="0"/>
        <v>0.23584905660377359</v>
      </c>
      <c r="K11" s="10">
        <v>12.53</v>
      </c>
      <c r="L11" s="10"/>
      <c r="M11" s="27">
        <f>Tabela1[[#This Row],[Saldo de Carteira]]*80%</f>
        <v>84.800000000000011</v>
      </c>
    </row>
    <row r="12" spans="1:16" ht="15" customHeight="1">
      <c r="A12" s="34">
        <v>23</v>
      </c>
      <c r="B12" s="34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11</v>
      </c>
      <c r="G12" s="14">
        <v>2</v>
      </c>
      <c r="H12" s="8">
        <f>D12-E12+Tabela1[[#This Row],[Abertos 2025 2º SEM]]</f>
        <v>186</v>
      </c>
      <c r="I12" s="8">
        <v>62</v>
      </c>
      <c r="J12" s="12">
        <f t="shared" si="0"/>
        <v>0.33333333333333331</v>
      </c>
      <c r="K12" s="10">
        <v>7.87</v>
      </c>
      <c r="L12" s="10"/>
      <c r="M12" s="27">
        <f>Tabela1[[#This Row],[Saldo de Carteira]]*80%</f>
        <v>148.80000000000001</v>
      </c>
    </row>
    <row r="13" spans="1:16" ht="15" customHeight="1">
      <c r="A13" s="34">
        <v>31</v>
      </c>
      <c r="B13" s="34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5</v>
      </c>
      <c r="F13" s="8">
        <v>3</v>
      </c>
      <c r="G13" s="14">
        <v>4</v>
      </c>
      <c r="H13" s="8">
        <f>D13-E13+Tabela1[[#This Row],[Abertos 2025 2º SEM]]</f>
        <v>143</v>
      </c>
      <c r="I13" s="8">
        <v>16</v>
      </c>
      <c r="J13" s="12">
        <f t="shared" si="0"/>
        <v>0.11188811188811189</v>
      </c>
      <c r="K13" s="10">
        <v>8.75</v>
      </c>
      <c r="L13" s="10"/>
      <c r="M13" s="27">
        <f>Tabela1[[#This Row],[Saldo de Carteira]]*80%</f>
        <v>114.4</v>
      </c>
    </row>
    <row r="14" spans="1:16" ht="15" customHeight="1">
      <c r="A14" s="34">
        <v>34</v>
      </c>
      <c r="B14" s="34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34</v>
      </c>
      <c r="J14" s="12">
        <f t="shared" si="0"/>
        <v>0.27642276422764228</v>
      </c>
      <c r="K14" s="10">
        <v>12.4</v>
      </c>
      <c r="L14" s="10"/>
      <c r="M14" s="27">
        <f>Tabela1[[#This Row],[Saldo de Carteira]]*80%</f>
        <v>98.4</v>
      </c>
    </row>
    <row r="15" spans="1:16" ht="15" customHeight="1">
      <c r="A15" s="34">
        <v>38</v>
      </c>
      <c r="B15" s="34" t="str">
        <f>VLOOKUP(Tabela1[[#This Row],[Rep]],[1]REPRESENTANTES!$A$3:$D$57,4,0)</f>
        <v>Maul</v>
      </c>
      <c r="C15" s="8">
        <v>9915</v>
      </c>
      <c r="D15" s="8">
        <v>144</v>
      </c>
      <c r="E15" s="8">
        <v>1</v>
      </c>
      <c r="F15" s="8">
        <v>3</v>
      </c>
      <c r="G15" s="14">
        <v>6</v>
      </c>
      <c r="H15" s="8">
        <f>D15-E15+Tabela1[[#This Row],[Abertos 2025 2º SEM]]</f>
        <v>146</v>
      </c>
      <c r="I15" s="8">
        <v>24</v>
      </c>
      <c r="J15" s="12">
        <f t="shared" si="0"/>
        <v>0.16438356164383561</v>
      </c>
      <c r="K15" s="10">
        <v>11.9</v>
      </c>
      <c r="L15" s="10"/>
      <c r="M15" s="27">
        <f>Tabela1[[#This Row],[Saldo de Carteira]]*80%</f>
        <v>116.80000000000001</v>
      </c>
    </row>
    <row r="16" spans="1:16" ht="15" customHeight="1">
      <c r="A16" s="34">
        <v>39</v>
      </c>
      <c r="B16" s="34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10</v>
      </c>
      <c r="F16" s="8">
        <v>9</v>
      </c>
      <c r="G16" s="14">
        <v>2</v>
      </c>
      <c r="H16" s="8">
        <f>D16-E16+Tabela1[[#This Row],[Abertos 2025 2º SEM]]</f>
        <v>105</v>
      </c>
      <c r="I16" s="8">
        <v>31</v>
      </c>
      <c r="J16" s="12">
        <f t="shared" si="0"/>
        <v>0.29523809523809524</v>
      </c>
      <c r="K16" s="10">
        <v>4.76</v>
      </c>
      <c r="L16" s="10"/>
      <c r="M16" s="27">
        <f>Tabela1[[#This Row],[Saldo de Carteira]]*80%</f>
        <v>84</v>
      </c>
    </row>
    <row r="17" spans="1:13">
      <c r="A17" s="34">
        <v>41</v>
      </c>
      <c r="B17" s="34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3</v>
      </c>
      <c r="G17" s="14">
        <v>3</v>
      </c>
      <c r="H17" s="8">
        <f>D17-E17+Tabela1[[#This Row],[Abertos 2025 2º SEM]]</f>
        <v>65</v>
      </c>
      <c r="I17" s="8">
        <v>14</v>
      </c>
      <c r="J17" s="12">
        <f t="shared" si="0"/>
        <v>0.2153846153846154</v>
      </c>
      <c r="K17" s="10">
        <v>6.17</v>
      </c>
      <c r="L17" s="10"/>
      <c r="M17" s="27">
        <f>Tabela1[[#This Row],[Saldo de Carteira]]*80%</f>
        <v>52</v>
      </c>
    </row>
    <row r="18" spans="1:13" ht="15" customHeight="1">
      <c r="A18" s="34">
        <v>45</v>
      </c>
      <c r="B18" s="34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64</v>
      </c>
      <c r="J18" s="12">
        <f t="shared" si="0"/>
        <v>0.2857142857142857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>
      <c r="A19" s="34">
        <v>46</v>
      </c>
      <c r="B19" s="34" t="str">
        <f>VLOOKUP(Tabela1[[#This Row],[Rep]],[1]REPRESENTANTES!$A$3:$D$57,4,0)</f>
        <v>Sergio</v>
      </c>
      <c r="C19" s="8">
        <v>9907</v>
      </c>
      <c r="D19" s="8">
        <v>93</v>
      </c>
      <c r="E19" s="8">
        <v>3</v>
      </c>
      <c r="F19" s="8">
        <v>4</v>
      </c>
      <c r="G19" s="14">
        <v>0</v>
      </c>
      <c r="H19" s="8">
        <f>D19-E19+Tabela1[[#This Row],[Abertos 2025 2º SEM]]</f>
        <v>94</v>
      </c>
      <c r="I19" s="8">
        <v>30</v>
      </c>
      <c r="J19" s="12">
        <f t="shared" si="0"/>
        <v>0.31914893617021278</v>
      </c>
      <c r="K19" s="10">
        <v>4.4800000000000004</v>
      </c>
      <c r="L19" s="10"/>
      <c r="M19" s="27">
        <f>Tabela1[[#This Row],[Saldo de Carteira]]*80%</f>
        <v>75.2</v>
      </c>
    </row>
    <row r="20" spans="1:13" ht="15" customHeight="1">
      <c r="A20" s="34">
        <v>53</v>
      </c>
      <c r="B20" s="34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2</v>
      </c>
      <c r="G20" s="14">
        <v>9</v>
      </c>
      <c r="H20" s="8">
        <f>D20-E20+Tabela1[[#This Row],[Abertos 2025 2º SEM]]</f>
        <v>85</v>
      </c>
      <c r="I20" s="8">
        <v>14</v>
      </c>
      <c r="J20" s="12">
        <f t="shared" si="0"/>
        <v>0.16470588235294117</v>
      </c>
      <c r="K20" s="10">
        <v>10</v>
      </c>
      <c r="L20" s="10"/>
      <c r="M20" s="27">
        <f>Tabela1[[#This Row],[Saldo de Carteira]]*80%</f>
        <v>68</v>
      </c>
    </row>
    <row r="21" spans="1:13" ht="15" customHeight="1">
      <c r="A21" s="34">
        <v>61</v>
      </c>
      <c r="B21" s="34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26</v>
      </c>
      <c r="J21" s="12">
        <f t="shared" si="0"/>
        <v>0.27083333333333331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>
      <c r="A22" s="34">
        <v>65</v>
      </c>
      <c r="B22" s="34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4</v>
      </c>
      <c r="G22" s="14">
        <v>4</v>
      </c>
      <c r="H22" s="8">
        <f>D22-E22+Tabela1[[#This Row],[Abertos 2025 2º SEM]]</f>
        <v>157</v>
      </c>
      <c r="I22" s="8">
        <v>16</v>
      </c>
      <c r="J22" s="12">
        <f t="shared" si="0"/>
        <v>0.10191082802547771</v>
      </c>
      <c r="K22" s="10">
        <v>4.82</v>
      </c>
      <c r="L22" s="10"/>
      <c r="M22" s="27">
        <f>Tabela1[[#This Row],[Saldo de Carteira]]*80%</f>
        <v>125.60000000000001</v>
      </c>
    </row>
    <row r="23" spans="1:13" ht="15" customHeight="1">
      <c r="A23" s="34">
        <v>74</v>
      </c>
      <c r="B23" s="34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8</v>
      </c>
      <c r="F23" s="8">
        <v>8</v>
      </c>
      <c r="G23" s="14">
        <v>6</v>
      </c>
      <c r="H23" s="8">
        <f>D23-E23+Tabela1[[#This Row],[Abertos 2025 2º SEM]]</f>
        <v>158</v>
      </c>
      <c r="I23" s="8">
        <v>30</v>
      </c>
      <c r="J23" s="12">
        <f t="shared" si="0"/>
        <v>0.189873417721519</v>
      </c>
      <c r="K23" s="10">
        <v>7.5</v>
      </c>
      <c r="L23" s="10"/>
      <c r="M23" s="27">
        <f>Tabela1[[#This Row],[Saldo de Carteira]]*80%</f>
        <v>126.4</v>
      </c>
    </row>
    <row r="24" spans="1:13" ht="15" customHeight="1">
      <c r="A24" s="34">
        <v>93</v>
      </c>
      <c r="B24" s="34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11</v>
      </c>
      <c r="G24" s="14">
        <v>9</v>
      </c>
      <c r="H24" s="8">
        <f>D24-E24+Tabela1[[#This Row],[Abertos 2025 2º SEM]]</f>
        <v>225</v>
      </c>
      <c r="I24" s="8">
        <v>49</v>
      </c>
      <c r="J24" s="12">
        <f t="shared" si="0"/>
        <v>0.21777777777777776</v>
      </c>
      <c r="K24" s="10">
        <v>9.52</v>
      </c>
      <c r="L24" s="10"/>
      <c r="M24" s="27">
        <f>Tabela1[[#This Row],[Saldo de Carteira]]*80%</f>
        <v>180</v>
      </c>
    </row>
    <row r="25" spans="1:13">
      <c r="A25" s="34">
        <v>143</v>
      </c>
      <c r="B25" s="34" t="str">
        <f>VLOOKUP(Tabela1[[#This Row],[Rep]],[1]REPRESENTANTES!$A$3:$D$57,4,0)</f>
        <v>Marcelo</v>
      </c>
      <c r="C25" s="8">
        <v>9917</v>
      </c>
      <c r="D25" s="8">
        <v>106</v>
      </c>
      <c r="E25" s="8">
        <v>5</v>
      </c>
      <c r="F25" s="8">
        <v>0</v>
      </c>
      <c r="G25" s="14">
        <v>1</v>
      </c>
      <c r="H25" s="8">
        <f>D25-E25+Tabela1[[#This Row],[Abertos 2025 2º SEM]]</f>
        <v>101</v>
      </c>
      <c r="I25" s="8">
        <v>29</v>
      </c>
      <c r="J25" s="12">
        <f t="shared" si="0"/>
        <v>0.28712871287128711</v>
      </c>
      <c r="K25" s="10">
        <v>7.29</v>
      </c>
      <c r="L25" s="10"/>
      <c r="M25" s="27">
        <f>Tabela1[[#This Row],[Saldo de Carteira]]*80%</f>
        <v>80.800000000000011</v>
      </c>
    </row>
    <row r="26" spans="1:13" ht="15" customHeight="1">
      <c r="A26" s="34">
        <v>167</v>
      </c>
      <c r="B26" s="34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0</v>
      </c>
      <c r="G26" s="14">
        <v>2</v>
      </c>
      <c r="H26" s="8">
        <f>D26-E26+Tabela1[[#This Row],[Abertos 2025 2º SEM]]</f>
        <v>89</v>
      </c>
      <c r="I26" s="8">
        <v>12</v>
      </c>
      <c r="J26" s="12">
        <f t="shared" si="0"/>
        <v>0.1348314606741573</v>
      </c>
      <c r="K26" s="10">
        <v>7.29</v>
      </c>
      <c r="L26" s="10"/>
      <c r="M26" s="27">
        <f>Tabela1[[#This Row],[Saldo de Carteira]]*80%</f>
        <v>71.2</v>
      </c>
    </row>
    <row r="27" spans="1:13" ht="15" customHeight="1">
      <c r="A27" s="34">
        <v>371</v>
      </c>
      <c r="B27" s="34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0</v>
      </c>
      <c r="H27" s="8">
        <f>D27-E27+Tabela1[[#This Row],[Abertos 2025 2º SEM]]</f>
        <v>122</v>
      </c>
      <c r="I27" s="8">
        <v>26</v>
      </c>
      <c r="J27" s="12">
        <f t="shared" si="0"/>
        <v>0.21311475409836064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>
      <c r="A28" s="34">
        <v>178</v>
      </c>
      <c r="B28" s="34" t="s">
        <v>30</v>
      </c>
      <c r="C28" s="8">
        <v>9907</v>
      </c>
      <c r="D28" s="8">
        <v>178</v>
      </c>
      <c r="E28" s="8">
        <v>6</v>
      </c>
      <c r="F28" s="8">
        <v>5</v>
      </c>
      <c r="G28" s="14">
        <v>5</v>
      </c>
      <c r="H28" s="8">
        <f>D28-E28+Tabela1[[#This Row],[Abertos 2025 2º SEM]]</f>
        <v>177</v>
      </c>
      <c r="I28" s="8">
        <v>53</v>
      </c>
      <c r="J28" s="12">
        <f t="shared" si="0"/>
        <v>0.29943502824858759</v>
      </c>
      <c r="K28" s="10">
        <v>7.33</v>
      </c>
      <c r="L28" s="10"/>
      <c r="M28" s="27">
        <f>Tabela1[[#This Row],[Saldo de Carteira]]*80%</f>
        <v>141.6</v>
      </c>
    </row>
    <row r="29" spans="1:13" ht="15" customHeight="1">
      <c r="A29" s="34">
        <v>187</v>
      </c>
      <c r="B29" s="34" t="s">
        <v>25</v>
      </c>
      <c r="C29" s="8">
        <v>9907</v>
      </c>
      <c r="D29" s="8">
        <f>158-31</f>
        <v>127</v>
      </c>
      <c r="E29" s="8">
        <v>3</v>
      </c>
      <c r="F29" s="8">
        <v>0</v>
      </c>
      <c r="G29" s="14">
        <v>0</v>
      </c>
      <c r="H29" s="8">
        <f>D29-E29+Tabela1[[#This Row],[Abertos 2025 2º SEM]]</f>
        <v>124</v>
      </c>
      <c r="I29" s="8">
        <v>12</v>
      </c>
      <c r="J29" s="12">
        <f t="shared" si="0"/>
        <v>9.6774193548387094E-2</v>
      </c>
      <c r="K29" s="10">
        <v>11</v>
      </c>
      <c r="L29" s="10"/>
      <c r="M29" s="27">
        <f>Tabela1[[#This Row],[Saldo de Carteira]]*80%</f>
        <v>99.2</v>
      </c>
    </row>
    <row r="30" spans="1:13" ht="15" customHeight="1">
      <c r="A30" s="34">
        <v>194</v>
      </c>
      <c r="B30" s="34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5</v>
      </c>
      <c r="G30" s="14">
        <v>1</v>
      </c>
      <c r="H30" s="8">
        <f>D30-E30+Tabela1[[#This Row],[Abertos 2025 2º SEM]]</f>
        <v>256</v>
      </c>
      <c r="I30" s="8">
        <v>11</v>
      </c>
      <c r="J30" s="12">
        <f t="shared" si="0"/>
        <v>4.296875E-2</v>
      </c>
      <c r="K30" s="10">
        <v>7.5</v>
      </c>
      <c r="L30" s="10"/>
      <c r="M30" s="27">
        <f>Tabela1[[#This Row],[Saldo de Carteira]]*80%</f>
        <v>204.8</v>
      </c>
    </row>
    <row r="31" spans="1:13">
      <c r="A31" s="34">
        <v>197</v>
      </c>
      <c r="B31" s="34" t="str">
        <f>VLOOKUP(Tabela1[[#This Row],[Rep]],[1]REPRESENTANTES!$A$3:$D$57,4,0)</f>
        <v>Fabricio</v>
      </c>
      <c r="C31" s="8">
        <v>9917</v>
      </c>
      <c r="D31" s="8">
        <v>140</v>
      </c>
      <c r="E31" s="8">
        <v>5</v>
      </c>
      <c r="F31" s="8">
        <v>0</v>
      </c>
      <c r="G31" s="14">
        <v>2</v>
      </c>
      <c r="H31" s="8">
        <f>D31-E31+Tabela1[[#This Row],[Abertos 2025 2º SEM]]</f>
        <v>135</v>
      </c>
      <c r="I31" s="8">
        <v>38</v>
      </c>
      <c r="J31" s="12">
        <f t="shared" si="0"/>
        <v>0.2814814814814815</v>
      </c>
      <c r="K31" s="10">
        <v>6.54</v>
      </c>
      <c r="L31" s="10"/>
      <c r="M31" s="27">
        <f>Tabela1[[#This Row],[Saldo de Carteira]]*80%</f>
        <v>108</v>
      </c>
    </row>
    <row r="32" spans="1:13" ht="15" customHeight="1">
      <c r="A32" s="34">
        <v>208</v>
      </c>
      <c r="B32" s="34" t="str">
        <f>VLOOKUP(Tabela1[[#This Row],[Rep]],[1]REPRESENTANTES!$A$3:$D$57,4,0)</f>
        <v>Renato</v>
      </c>
      <c r="C32" s="8">
        <v>9914</v>
      </c>
      <c r="D32" s="8">
        <v>117</v>
      </c>
      <c r="E32" s="8">
        <v>8</v>
      </c>
      <c r="F32" s="8">
        <v>0</v>
      </c>
      <c r="G32" s="14">
        <v>0</v>
      </c>
      <c r="H32" s="8">
        <f>D32-E32+Tabela1[[#This Row],[Abertos 2025 2º SEM]]</f>
        <v>109</v>
      </c>
      <c r="I32" s="8">
        <v>10</v>
      </c>
      <c r="J32" s="12">
        <f t="shared" si="0"/>
        <v>9.1743119266055051E-2</v>
      </c>
      <c r="K32" s="10">
        <v>16.13</v>
      </c>
      <c r="L32" s="10"/>
      <c r="M32" s="27">
        <f>Tabela1[[#This Row],[Saldo de Carteira]]*80%</f>
        <v>87.2</v>
      </c>
    </row>
    <row r="33" spans="1:13" ht="15" customHeight="1">
      <c r="A33" s="34">
        <v>217</v>
      </c>
      <c r="B33" s="34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0</v>
      </c>
      <c r="G33" s="14">
        <v>2</v>
      </c>
      <c r="H33" s="8">
        <f>D33-E33+Tabela1[[#This Row],[Abertos 2025 2º SEM]]</f>
        <v>255</v>
      </c>
      <c r="I33" s="8">
        <v>8</v>
      </c>
      <c r="J33" s="12">
        <f t="shared" si="0"/>
        <v>3.1372549019607843E-2</v>
      </c>
      <c r="K33" s="10">
        <v>5.88</v>
      </c>
      <c r="L33" s="10"/>
      <c r="M33" s="27">
        <f>Tabela1[[#This Row],[Saldo de Carteira]]*80%</f>
        <v>204</v>
      </c>
    </row>
    <row r="34" spans="1:13" ht="15" customHeight="1">
      <c r="A34" s="34">
        <v>218</v>
      </c>
      <c r="B34" s="34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5</v>
      </c>
      <c r="G34" s="14">
        <v>4</v>
      </c>
      <c r="H34" s="8">
        <f>D34-E34+Tabela1[[#This Row],[Abertos 2025 2º SEM]]</f>
        <v>178</v>
      </c>
      <c r="I34" s="8">
        <v>41</v>
      </c>
      <c r="J34" s="12">
        <f t="shared" si="0"/>
        <v>0.2303370786516854</v>
      </c>
      <c r="K34" s="10">
        <v>6.59</v>
      </c>
      <c r="L34" s="10"/>
      <c r="M34" s="27">
        <f>Tabela1[[#This Row],[Saldo de Carteira]]*80%</f>
        <v>142.4</v>
      </c>
    </row>
    <row r="35" spans="1:13" ht="15" customHeight="1">
      <c r="A35" s="34">
        <v>231</v>
      </c>
      <c r="B35" s="34" t="str">
        <f>VLOOKUP(Tabela1[[#This Row],[Rep]],[1]REPRESENTANTES!$A$3:$D$57,4,0)</f>
        <v>Thiago</v>
      </c>
      <c r="C35" s="8">
        <v>9907</v>
      </c>
      <c r="D35" s="8">
        <v>122</v>
      </c>
      <c r="E35" s="8">
        <v>7</v>
      </c>
      <c r="F35" s="8">
        <v>1</v>
      </c>
      <c r="G35" s="14">
        <v>2</v>
      </c>
      <c r="H35" s="8">
        <f>D35-E35+Tabela1[[#This Row],[Abertos 2025 2º SEM]]</f>
        <v>116</v>
      </c>
      <c r="I35" s="8">
        <v>39</v>
      </c>
      <c r="J35" s="12">
        <f t="shared" si="0"/>
        <v>0.33620689655172414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>
      <c r="A36" s="34">
        <v>232</v>
      </c>
      <c r="B36" s="34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4</v>
      </c>
      <c r="G36" s="14">
        <v>4</v>
      </c>
      <c r="H36" s="8">
        <f>D36-E36+Tabela1[[#This Row],[Abertos 2025 2º SEM]]</f>
        <v>266</v>
      </c>
      <c r="I36" s="8">
        <v>40</v>
      </c>
      <c r="J36" s="12">
        <f t="shared" si="0"/>
        <v>0.15037593984962405</v>
      </c>
      <c r="K36" s="10">
        <v>10.37</v>
      </c>
      <c r="L36" s="10"/>
      <c r="M36" s="27">
        <f>Tabela1[[#This Row],[Saldo de Carteira]]*80%</f>
        <v>212.8</v>
      </c>
    </row>
    <row r="37" spans="1:13" ht="15" customHeight="1">
      <c r="A37" s="34">
        <v>240</v>
      </c>
      <c r="B37" s="34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3</v>
      </c>
      <c r="G37" s="14">
        <v>5</v>
      </c>
      <c r="H37" s="8">
        <f>D37-E37+Tabela1[[#This Row],[Abertos 2025 2º SEM]]</f>
        <v>172</v>
      </c>
      <c r="I37" s="8">
        <v>16</v>
      </c>
      <c r="J37" s="12">
        <f t="shared" si="0"/>
        <v>9.3023255813953487E-2</v>
      </c>
      <c r="K37" s="10">
        <v>4.93</v>
      </c>
      <c r="L37" s="10"/>
      <c r="M37" s="27">
        <f>Tabela1[[#This Row],[Saldo de Carteira]]*80%</f>
        <v>137.6</v>
      </c>
    </row>
    <row r="38" spans="1:13" ht="15" customHeight="1">
      <c r="A38" s="34">
        <v>248</v>
      </c>
      <c r="B38" s="34" t="s">
        <v>27</v>
      </c>
      <c r="C38" s="8">
        <v>9907</v>
      </c>
      <c r="D38" s="8">
        <v>134</v>
      </c>
      <c r="E38" s="8">
        <v>14</v>
      </c>
      <c r="F38" s="8">
        <v>0</v>
      </c>
      <c r="G38" s="14">
        <v>3</v>
      </c>
      <c r="H38" s="8">
        <f>D38-E38+Tabela1[[#This Row],[Abertos 2025 2º SEM]]</f>
        <v>120</v>
      </c>
      <c r="I38" s="8">
        <v>10</v>
      </c>
      <c r="J38" s="12">
        <f t="shared" si="0"/>
        <v>8.3333333333333329E-2</v>
      </c>
      <c r="K38" s="10">
        <v>6</v>
      </c>
      <c r="L38" s="10"/>
      <c r="M38" s="27">
        <f>Tabela1[[#This Row],[Saldo de Carteira]]*80%</f>
        <v>96</v>
      </c>
    </row>
    <row r="39" spans="1:13" ht="15" customHeight="1">
      <c r="A39" s="34">
        <v>261</v>
      </c>
      <c r="B39" s="34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6</v>
      </c>
      <c r="F39" s="8">
        <v>1</v>
      </c>
      <c r="G39" s="14">
        <v>5</v>
      </c>
      <c r="H39" s="8">
        <f>D39-E39+Tabela1[[#This Row],[Abertos 2025 2º SEM]]</f>
        <v>163</v>
      </c>
      <c r="I39" s="8">
        <v>34</v>
      </c>
      <c r="J39" s="12">
        <f t="shared" si="0"/>
        <v>0.20858895705521471</v>
      </c>
      <c r="K39" s="10">
        <v>6.23</v>
      </c>
      <c r="L39" s="10"/>
      <c r="M39" s="27">
        <f>Tabela1[[#This Row],[Saldo de Carteira]]*80%</f>
        <v>130.4</v>
      </c>
    </row>
    <row r="40" spans="1:13" ht="15" customHeight="1">
      <c r="A40" s="34">
        <v>266</v>
      </c>
      <c r="B40" s="34" t="str">
        <f>VLOOKUP(Tabela1[[#This Row],[Rep]],[1]REPRESENTANTES!$A$3:$D$57,4,0)</f>
        <v>Loran</v>
      </c>
      <c r="C40" s="8">
        <v>9902</v>
      </c>
      <c r="D40" s="8">
        <v>317</v>
      </c>
      <c r="E40" s="8">
        <v>13</v>
      </c>
      <c r="F40" s="8">
        <v>2</v>
      </c>
      <c r="G40" s="14">
        <v>5</v>
      </c>
      <c r="H40" s="8">
        <f>D40-E40+Tabela1[[#This Row],[Abertos 2025 2º SEM]]</f>
        <v>306</v>
      </c>
      <c r="I40" s="8">
        <v>20</v>
      </c>
      <c r="J40" s="12">
        <f t="shared" si="0"/>
        <v>6.535947712418301E-2</v>
      </c>
      <c r="K40" s="10">
        <v>7.69</v>
      </c>
      <c r="L40" s="10"/>
      <c r="M40" s="27">
        <f>Tabela1[[#This Row],[Saldo de Carteira]]*80%</f>
        <v>244.8</v>
      </c>
    </row>
    <row r="41" spans="1:13" ht="15" customHeight="1">
      <c r="A41" s="34">
        <v>267</v>
      </c>
      <c r="B41" s="34" t="str">
        <f>VLOOKUP(Tabela1[[#This Row],[Rep]],[1]REPRESENTANTES!$A$3:$D$57,4,0)</f>
        <v>Chagas</v>
      </c>
      <c r="C41" s="8">
        <v>9914</v>
      </c>
      <c r="D41" s="8">
        <v>130</v>
      </c>
      <c r="E41" s="8">
        <v>5</v>
      </c>
      <c r="F41" s="8">
        <v>3</v>
      </c>
      <c r="G41" s="14">
        <v>0</v>
      </c>
      <c r="H41" s="8">
        <f>D41-E41+Tabela1[[#This Row],[Abertos 2025 2º SEM]]</f>
        <v>128</v>
      </c>
      <c r="I41" s="8">
        <v>26</v>
      </c>
      <c r="J41" s="12">
        <f t="shared" si="0"/>
        <v>0.203125</v>
      </c>
      <c r="K41" s="10">
        <v>8.8699999999999992</v>
      </c>
      <c r="L41" s="10"/>
      <c r="M41" s="27">
        <f>Tabela1[[#This Row],[Saldo de Carteira]]*80%</f>
        <v>102.4</v>
      </c>
    </row>
    <row r="42" spans="1:13" ht="15" customHeight="1">
      <c r="A42" s="34">
        <v>270</v>
      </c>
      <c r="B42" s="34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3</v>
      </c>
      <c r="F42" s="8">
        <v>2</v>
      </c>
      <c r="G42" s="14">
        <v>6</v>
      </c>
      <c r="H42" s="8">
        <f>D42-E42+Tabela1[[#This Row],[Abertos 2025 2º SEM]]</f>
        <v>78</v>
      </c>
      <c r="I42" s="8">
        <v>6</v>
      </c>
      <c r="J42" s="12">
        <f t="shared" si="0"/>
        <v>7.6923076923076927E-2</v>
      </c>
      <c r="K42" s="10">
        <v>8.17</v>
      </c>
      <c r="L42" s="10"/>
      <c r="M42" s="27">
        <f>Tabela1[[#This Row],[Saldo de Carteira]]*80%</f>
        <v>62.400000000000006</v>
      </c>
    </row>
    <row r="43" spans="1:13" ht="15" customHeight="1">
      <c r="A43" s="34">
        <v>273</v>
      </c>
      <c r="B43" s="34" t="s">
        <v>31</v>
      </c>
      <c r="C43" s="8">
        <v>9914</v>
      </c>
      <c r="D43" s="8">
        <v>206</v>
      </c>
      <c r="E43" s="8">
        <v>38</v>
      </c>
      <c r="F43" s="8">
        <v>0</v>
      </c>
      <c r="G43" s="14">
        <v>3</v>
      </c>
      <c r="H43" s="8">
        <f>D43-E43+Tabela1[[#This Row],[Abertos 2025 2º SEM]]</f>
        <v>168</v>
      </c>
      <c r="I43" s="8">
        <v>20</v>
      </c>
      <c r="J43" s="12">
        <f t="shared" si="0"/>
        <v>0.11904761904761904</v>
      </c>
      <c r="K43" s="10">
        <v>6.65</v>
      </c>
      <c r="L43" s="10"/>
      <c r="M43" s="27">
        <f>Tabela1[[#This Row],[Saldo de Carteira]]*80%</f>
        <v>134.4</v>
      </c>
    </row>
    <row r="44" spans="1:13" ht="15" customHeight="1">
      <c r="A44" s="34">
        <v>282</v>
      </c>
      <c r="B44" s="34" t="str">
        <f>VLOOKUP(Tabela1[[#This Row],[Rep]],[1]REPRESENTANTES!$A$3:$D$57,4,0)</f>
        <v>Nelson</v>
      </c>
      <c r="C44" s="8">
        <v>9916</v>
      </c>
      <c r="D44" s="8">
        <v>213</v>
      </c>
      <c r="E44" s="8">
        <v>12</v>
      </c>
      <c r="F44" s="8">
        <v>7</v>
      </c>
      <c r="G44" s="14">
        <v>1</v>
      </c>
      <c r="H44" s="8">
        <f>D44-E44+Tabela1[[#This Row],[Abertos 2025 2º SEM]]</f>
        <v>208</v>
      </c>
      <c r="I44" s="8">
        <v>41</v>
      </c>
      <c r="J44" s="12">
        <f t="shared" si="0"/>
        <v>0.19711538461538461</v>
      </c>
      <c r="K44" s="10">
        <v>4.62</v>
      </c>
      <c r="L44" s="10"/>
      <c r="M44" s="27">
        <f>Tabela1[[#This Row],[Saldo de Carteira]]*80%</f>
        <v>166.4</v>
      </c>
    </row>
    <row r="45" spans="1:13" ht="15" customHeight="1">
      <c r="A45" s="34">
        <v>322</v>
      </c>
      <c r="B45" s="34" t="s">
        <v>37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7">
        <f>Tabela1[[#This Row],[Saldo de Carteira]]*80%</f>
        <v>112.80000000000001</v>
      </c>
    </row>
    <row r="46" spans="1:13" ht="15" customHeight="1">
      <c r="A46" s="34">
        <v>292</v>
      </c>
      <c r="B46" s="34" t="str">
        <f>VLOOKUP(Tabela1[[#This Row],[Rep]],[1]REPRESENTANTES!$A$3:$D$57,4,0)</f>
        <v>Victor</v>
      </c>
      <c r="C46" s="8">
        <v>9915</v>
      </c>
      <c r="D46" s="8">
        <v>103</v>
      </c>
      <c r="E46" s="8">
        <v>1</v>
      </c>
      <c r="F46" s="8">
        <v>0</v>
      </c>
      <c r="G46" s="14">
        <v>3</v>
      </c>
      <c r="H46" s="8">
        <f>D46-E46+Tabela1[[#This Row],[Abertos 2025 2º SEM]]</f>
        <v>102</v>
      </c>
      <c r="I46" s="8">
        <v>17</v>
      </c>
      <c r="J46" s="12">
        <f t="shared" si="0"/>
        <v>0.16666666666666666</v>
      </c>
      <c r="K46" s="10">
        <v>5.92</v>
      </c>
      <c r="L46" s="10"/>
      <c r="M46" s="27">
        <f>Tabela1[[#This Row],[Saldo de Carteira]]*80%</f>
        <v>81.600000000000009</v>
      </c>
    </row>
    <row r="47" spans="1:13">
      <c r="A47" s="34">
        <v>321</v>
      </c>
      <c r="B47" s="34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10</v>
      </c>
      <c r="J47" s="12">
        <f t="shared" si="0"/>
        <v>6.1349693251533742E-2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>
      <c r="A48" s="34">
        <v>296</v>
      </c>
      <c r="B48" s="34" t="s">
        <v>29</v>
      </c>
      <c r="C48" s="8">
        <v>9902</v>
      </c>
      <c r="D48" s="8">
        <v>147</v>
      </c>
      <c r="E48" s="8">
        <v>29</v>
      </c>
      <c r="F48" s="8">
        <v>3</v>
      </c>
      <c r="G48" s="14">
        <v>1</v>
      </c>
      <c r="H48" s="8">
        <f>D48-E48+Tabela1[[#This Row],[Abertos 2025 2º SEM]]</f>
        <v>121</v>
      </c>
      <c r="I48" s="8">
        <v>13</v>
      </c>
      <c r="J48" s="12">
        <f t="shared" si="0"/>
        <v>0.10743801652892562</v>
      </c>
      <c r="K48" s="10">
        <v>7.3</v>
      </c>
      <c r="L48" s="10"/>
      <c r="M48" s="27">
        <f>Tabela1[[#This Row],[Saldo de Carteira]]*80%</f>
        <v>96.800000000000011</v>
      </c>
    </row>
    <row r="49" spans="1:13">
      <c r="A49" s="34">
        <v>297</v>
      </c>
      <c r="B49" s="34" t="str">
        <f>VLOOKUP(Tabela1[[#This Row],[Rep]],[1]REPRESENTANTES!$A$3:$D$57,4,0)</f>
        <v>Jonatas</v>
      </c>
      <c r="C49" s="8">
        <v>9917</v>
      </c>
      <c r="D49" s="8">
        <v>117</v>
      </c>
      <c r="E49" s="8">
        <v>0</v>
      </c>
      <c r="F49" s="8">
        <v>2</v>
      </c>
      <c r="G49" s="14">
        <v>2</v>
      </c>
      <c r="H49" s="8">
        <f>D49-E49+Tabela1[[#This Row],[Abertos 2025 2º SEM]]</f>
        <v>119</v>
      </c>
      <c r="I49" s="8">
        <v>31</v>
      </c>
      <c r="J49" s="12">
        <f t="shared" si="0"/>
        <v>0.26050420168067229</v>
      </c>
      <c r="K49" s="10">
        <v>5.19</v>
      </c>
      <c r="L49" s="10"/>
      <c r="M49" s="27">
        <f>Tabela1[[#This Row],[Saldo de Carteira]]*80%</f>
        <v>95.2</v>
      </c>
    </row>
    <row r="50" spans="1:13" ht="15" customHeight="1">
      <c r="A50" s="34">
        <v>299</v>
      </c>
      <c r="B50" s="34" t="str">
        <f>VLOOKUP(Tabela1[[#This Row],[Rep]],[1]REPRESENTANTES!$A$3:$D$57,4,0)</f>
        <v>Jamir</v>
      </c>
      <c r="C50" s="8">
        <v>9915</v>
      </c>
      <c r="D50" s="8">
        <v>136</v>
      </c>
      <c r="E50" s="8">
        <v>0</v>
      </c>
      <c r="F50" s="8">
        <v>3</v>
      </c>
      <c r="G50" s="14">
        <v>2</v>
      </c>
      <c r="H50" s="8">
        <f>D50-E50+Tabela1[[#This Row],[Abertos 2025 2º SEM]]</f>
        <v>139</v>
      </c>
      <c r="I50" s="8">
        <v>17</v>
      </c>
      <c r="J50" s="12">
        <f t="shared" si="0"/>
        <v>0.1223021582733813</v>
      </c>
      <c r="K50" s="10">
        <v>7.4</v>
      </c>
      <c r="L50" s="10"/>
      <c r="M50" s="27">
        <f>Tabela1[[#This Row],[Saldo de Carteira]]*80%</f>
        <v>111.2</v>
      </c>
    </row>
    <row r="51" spans="1:13" ht="15" customHeight="1">
      <c r="A51" s="34">
        <v>301</v>
      </c>
      <c r="B51" s="34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17</v>
      </c>
      <c r="G51" s="14">
        <v>1</v>
      </c>
      <c r="H51" s="8">
        <f>D51-E51+Tabela1[[#This Row],[Abertos 2025 2º SEM]]</f>
        <v>110</v>
      </c>
      <c r="I51" s="8">
        <v>5</v>
      </c>
      <c r="J51" s="12">
        <f t="shared" si="0"/>
        <v>4.5454545454545456E-2</v>
      </c>
      <c r="K51" s="10">
        <v>15</v>
      </c>
      <c r="L51" s="10"/>
      <c r="M51" s="27">
        <f>Tabela1[[#This Row],[Saldo de Carteira]]*80%</f>
        <v>88</v>
      </c>
    </row>
    <row r="52" spans="1:13" ht="15" customHeight="1">
      <c r="A52" s="34">
        <v>302</v>
      </c>
      <c r="B52" s="34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16</v>
      </c>
      <c r="J52" s="12">
        <f t="shared" si="0"/>
        <v>0.20512820512820512</v>
      </c>
      <c r="K52" s="10">
        <v>6.5</v>
      </c>
      <c r="L52" s="10"/>
      <c r="M52" s="27">
        <f>Tabela1[[#This Row],[Saldo de Carteira]]*80%</f>
        <v>62.400000000000006</v>
      </c>
    </row>
    <row r="53" spans="1:13" ht="15" customHeight="1">
      <c r="A53" s="34">
        <v>308</v>
      </c>
      <c r="B53" s="34" t="s">
        <v>38</v>
      </c>
      <c r="C53" s="8">
        <v>9914</v>
      </c>
      <c r="D53" s="8">
        <v>135</v>
      </c>
      <c r="E53" s="8">
        <v>4</v>
      </c>
      <c r="F53" s="8">
        <v>2</v>
      </c>
      <c r="G53" s="14">
        <v>1</v>
      </c>
      <c r="H53" s="8">
        <f>D53-E53+Tabela1[[#This Row],[Abertos 2025 2º SEM]]</f>
        <v>133</v>
      </c>
      <c r="I53" s="8">
        <v>23</v>
      </c>
      <c r="J53" s="12">
        <f t="shared" si="0"/>
        <v>0.17293233082706766</v>
      </c>
      <c r="K53" s="10">
        <v>7.91</v>
      </c>
      <c r="L53" s="10"/>
      <c r="M53" s="27">
        <f>Tabela1[[#This Row],[Saldo de Carteira]]*80%</f>
        <v>106.4</v>
      </c>
    </row>
    <row r="54" spans="1:13" ht="15" customHeight="1">
      <c r="A54" s="34">
        <v>324</v>
      </c>
      <c r="B54" s="35" t="s">
        <v>27</v>
      </c>
      <c r="C54" s="8">
        <v>9917</v>
      </c>
      <c r="D54" s="8"/>
      <c r="E54" s="8">
        <v>0</v>
      </c>
      <c r="F54" s="8">
        <v>1</v>
      </c>
      <c r="G54" s="14">
        <v>0</v>
      </c>
      <c r="H54" s="8">
        <f>D54-E54+Tabela1[[#This Row],[Abertos 2025 2º SEM]]</f>
        <v>1</v>
      </c>
      <c r="I54" s="8">
        <v>6</v>
      </c>
      <c r="J54" s="12">
        <f>I54/H54</f>
        <v>6</v>
      </c>
      <c r="K54" s="10">
        <v>6.67</v>
      </c>
      <c r="L54" s="10"/>
      <c r="M54" s="27">
        <f>Tabela1[[#This Row],[Saldo de Carteira]]*80%</f>
        <v>0.8</v>
      </c>
    </row>
    <row r="55" spans="1:13">
      <c r="A55" s="34">
        <v>311</v>
      </c>
      <c r="B55" s="34" t="s">
        <v>32</v>
      </c>
      <c r="C55" s="8">
        <v>9917</v>
      </c>
      <c r="D55" s="8">
        <v>101</v>
      </c>
      <c r="E55" s="8">
        <v>2</v>
      </c>
      <c r="F55" s="8">
        <v>0</v>
      </c>
      <c r="G55" s="14">
        <v>4</v>
      </c>
      <c r="H55" s="8">
        <f>D55-E55+Tabela1[[#This Row],[Abertos 2025 2º SEM]]</f>
        <v>99</v>
      </c>
      <c r="I55" s="8">
        <v>0</v>
      </c>
      <c r="J55" s="12">
        <f t="shared" si="0"/>
        <v>0</v>
      </c>
      <c r="K55" s="10"/>
      <c r="L55" s="10"/>
      <c r="M55" s="27">
        <f>Tabela1[[#This Row],[Saldo de Carteira]]*80%</f>
        <v>79.2</v>
      </c>
    </row>
    <row r="56" spans="1:13" ht="15" customHeight="1">
      <c r="A56" s="34">
        <v>315</v>
      </c>
      <c r="B56" s="34" t="s">
        <v>33</v>
      </c>
      <c r="C56" s="8">
        <v>9907</v>
      </c>
      <c r="D56" s="8">
        <f>158-36</f>
        <v>122</v>
      </c>
      <c r="E56" s="8">
        <v>2</v>
      </c>
      <c r="F56" s="8">
        <v>2</v>
      </c>
      <c r="G56" s="14">
        <v>0</v>
      </c>
      <c r="H56" s="8">
        <f>D56-E56+Tabela1[[#This Row],[Abertos 2025 2º SEM]]</f>
        <v>122</v>
      </c>
      <c r="I56" s="8">
        <v>40</v>
      </c>
      <c r="J56" s="12">
        <f t="shared" si="0"/>
        <v>0.32786885245901637</v>
      </c>
      <c r="K56" s="10">
        <v>4.58</v>
      </c>
      <c r="L56" s="10"/>
      <c r="M56" s="27">
        <f>Tabela1[[#This Row],[Saldo de Carteira]]*80%</f>
        <v>97.600000000000009</v>
      </c>
    </row>
    <row r="57" spans="1:13" ht="15" customHeight="1">
      <c r="A57" s="34">
        <v>316</v>
      </c>
      <c r="B57" s="34" t="s">
        <v>34</v>
      </c>
      <c r="C57" s="8">
        <v>9902</v>
      </c>
      <c r="D57" s="8">
        <f>85-49</f>
        <v>36</v>
      </c>
      <c r="E57" s="8">
        <v>3</v>
      </c>
      <c r="F57" s="8">
        <v>20</v>
      </c>
      <c r="G57" s="14">
        <v>17</v>
      </c>
      <c r="H57" s="8">
        <f>D57-E57+Tabela1[[#This Row],[Abertos 2025 2º SEM]]</f>
        <v>53</v>
      </c>
      <c r="I57" s="8">
        <v>17</v>
      </c>
      <c r="J57" s="12">
        <f t="shared" si="0"/>
        <v>0.32075471698113206</v>
      </c>
      <c r="K57" s="10">
        <v>6.36</v>
      </c>
      <c r="L57" s="10"/>
      <c r="M57" s="27">
        <f>Tabela1[[#This Row],[Saldo de Carteira]]*80%</f>
        <v>42.400000000000006</v>
      </c>
    </row>
    <row r="58" spans="1:13" ht="15" customHeight="1">
      <c r="A58" s="34">
        <v>317</v>
      </c>
      <c r="B58" s="34" t="s">
        <v>35</v>
      </c>
      <c r="C58" s="8">
        <v>9902</v>
      </c>
      <c r="D58" s="8">
        <v>73</v>
      </c>
      <c r="E58" s="8">
        <v>0</v>
      </c>
      <c r="F58" s="8">
        <v>5</v>
      </c>
      <c r="G58" s="14">
        <v>11</v>
      </c>
      <c r="H58" s="8">
        <f>D58-E58+Tabela1[[#This Row],[Abertos 2025 2º SEM]]</f>
        <v>78</v>
      </c>
      <c r="I58" s="8">
        <v>11</v>
      </c>
      <c r="J58" s="12">
        <f t="shared" si="0"/>
        <v>0.14102564102564102</v>
      </c>
      <c r="K58" s="10">
        <v>9.56</v>
      </c>
      <c r="L58" s="10"/>
      <c r="M58" s="27">
        <f>Tabela1[[#This Row],[Saldo de Carteira]]*80%</f>
        <v>62.400000000000006</v>
      </c>
    </row>
    <row r="59" spans="1:13" ht="15" customHeight="1">
      <c r="A59" s="34">
        <v>320</v>
      </c>
      <c r="B59" s="34" t="s">
        <v>36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>
      <c r="A60" s="36"/>
      <c r="B60" s="36"/>
      <c r="G60"/>
      <c r="J60" s="17"/>
      <c r="K60" s="18"/>
      <c r="L60" s="18"/>
      <c r="M60" s="28"/>
    </row>
    <row r="61" spans="1:13" ht="15" customHeight="1"/>
    <row r="62" spans="1:13" ht="15" customHeight="1"/>
  </sheetData>
  <mergeCells count="1">
    <mergeCell ref="A6:C6"/>
  </mergeCells>
  <conditionalFormatting sqref="J1:J1048576">
    <cfRule type="cellIs" dxfId="23" priority="1" operator="greaterThan">
      <formula>0.328</formula>
    </cfRule>
  </conditionalFormatting>
  <conditionalFormatting sqref="J5:J60">
    <cfRule type="cellIs" dxfId="22" priority="2" operator="lessThan">
      <formula>0.1699</formula>
    </cfRule>
    <cfRule type="cellIs" dxfId="21" priority="3" operator="between">
      <formula>0.17</formula>
      <formula>0.3279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/>
  <cols>
    <col min="1" max="1" width="30.140625" customWidth="1"/>
    <col min="2" max="2" width="17" customWidth="1"/>
  </cols>
  <sheetData>
    <row r="1" spans="1:8">
      <c r="A1" s="19" t="s">
        <v>10</v>
      </c>
      <c r="B1" s="19" t="s">
        <v>11</v>
      </c>
      <c r="D1" s="20">
        <v>1</v>
      </c>
    </row>
    <row r="2" spans="1:8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>
      <c r="A3" s="21">
        <v>45627</v>
      </c>
      <c r="B3" s="22">
        <v>16</v>
      </c>
      <c r="D3" s="23">
        <f>E2*D7</f>
        <v>0.3282442748091603</v>
      </c>
    </row>
    <row r="4" spans="1:8">
      <c r="A4" s="22" t="s">
        <v>12</v>
      </c>
      <c r="B4" s="22">
        <v>20</v>
      </c>
      <c r="H4">
        <v>0</v>
      </c>
    </row>
    <row r="5" spans="1:8">
      <c r="A5" s="22" t="s">
        <v>13</v>
      </c>
      <c r="B5" s="22">
        <v>20</v>
      </c>
      <c r="D5">
        <f>SUM(B8:B9)</f>
        <v>42</v>
      </c>
      <c r="E5">
        <v>9</v>
      </c>
    </row>
    <row r="6" spans="1:8">
      <c r="A6" s="22" t="s">
        <v>14</v>
      </c>
      <c r="B6" s="22">
        <v>21</v>
      </c>
      <c r="D6">
        <v>1</v>
      </c>
    </row>
    <row r="7" spans="1:8">
      <c r="A7" s="22" t="s">
        <v>15</v>
      </c>
      <c r="B7" s="22">
        <v>19</v>
      </c>
      <c r="D7">
        <f>D5+D6</f>
        <v>43</v>
      </c>
    </row>
    <row r="8" spans="1:8">
      <c r="A8" s="22" t="s">
        <v>16</v>
      </c>
      <c r="B8" s="22">
        <v>21</v>
      </c>
    </row>
    <row r="9" spans="1:8">
      <c r="A9" s="22" t="s">
        <v>17</v>
      </c>
      <c r="B9" s="22">
        <v>21</v>
      </c>
      <c r="D9" s="23">
        <f>D7*E2</f>
        <v>0.3282442748091603</v>
      </c>
      <c r="E9" s="31">
        <f>D9</f>
        <v>0.3282442748091603</v>
      </c>
    </row>
    <row r="10" spans="1:8">
      <c r="A10" s="22" t="s">
        <v>18</v>
      </c>
      <c r="B10" s="22">
        <v>23</v>
      </c>
    </row>
    <row r="11" spans="1:8">
      <c r="A11" s="22" t="s">
        <v>19</v>
      </c>
      <c r="B11" s="22">
        <v>21</v>
      </c>
    </row>
    <row r="12" spans="1:8">
      <c r="A12" s="22" t="s">
        <v>20</v>
      </c>
      <c r="B12" s="22">
        <v>22</v>
      </c>
    </row>
    <row r="13" spans="1:8">
      <c r="A13" s="22" t="s">
        <v>21</v>
      </c>
      <c r="B13" s="22">
        <v>23</v>
      </c>
    </row>
    <row r="14" spans="1:8">
      <c r="A14" s="22" t="s">
        <v>22</v>
      </c>
      <c r="B14" s="22">
        <v>20</v>
      </c>
    </row>
    <row r="15" spans="1:8">
      <c r="A15" s="22" t="s">
        <v>23</v>
      </c>
      <c r="B15" s="22">
        <v>0</v>
      </c>
    </row>
    <row r="17" spans="1:1">
      <c r="A17">
        <f>[2]Ausentes!D23*'% cOB. caRT'!D9</f>
        <v>2344.9770992366412</v>
      </c>
    </row>
    <row r="18" spans="1:1">
      <c r="A18" s="24">
        <f>A17-[2]Ausentes!E23</f>
        <v>1117.9770992366412</v>
      </c>
    </row>
    <row r="20" spans="1:1">
      <c r="A20" s="25">
        <f ca="1">TODAY()-2</f>
        <v>45838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2025-07-02T10:48:30Z</dcterms:modified>
</cp:coreProperties>
</file>