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arlomasera/Library/Mobile Documents/com~apple~CloudDocs/Documents/Personal Finance/Valuations/Credit Card/"/>
    </mc:Choice>
  </mc:AlternateContent>
  <xr:revisionPtr revIDLastSave="0" documentId="13_ncr:1_{F75FAE46-DDC7-3B40-92C1-12D99F99D9C8}" xr6:coauthVersionLast="45" xr6:coauthVersionMax="45" xr10:uidLastSave="{00000000-0000-0000-0000-000000000000}"/>
  <bookViews>
    <workbookView xWindow="0" yWindow="0" windowWidth="51200" windowHeight="28800" activeTab="15" xr2:uid="{00000000-000D-0000-FFFF-FFFF00000000}"/>
  </bookViews>
  <sheets>
    <sheet name="VISA INC" sheetId="20" r:id="rId1"/>
    <sheet name="Mastercard" sheetId="2" r:id="rId2"/>
    <sheet name="PayPal" sheetId="4" r:id="rId3"/>
    <sheet name="AMEX" sheetId="3" r:id="rId4"/>
    <sheet name="Debt-Equity" sheetId="17" r:id="rId5"/>
    <sheet name="Stock Price &amp; Others over time" sheetId="16" r:id="rId6"/>
    <sheet name="VS" sheetId="6" r:id="rId7"/>
    <sheet name="MC" sheetId="7" r:id="rId8"/>
    <sheet name="PYPL" sheetId="8" r:id="rId9"/>
    <sheet name="AXP" sheetId="10" r:id="rId10"/>
    <sheet name="PE-EPS Over Time" sheetId="12" r:id="rId11"/>
    <sheet name="Cash Conversion" sheetId="14" r:id="rId12"/>
    <sheet name="EV-EBITDA" sheetId="13" r:id="rId13"/>
    <sheet name="CAGR" sheetId="15" r:id="rId14"/>
    <sheet name="CORRELATION (2)" sheetId="21" r:id="rId15"/>
    <sheet name="CORRELATION" sheetId="5" r:id="rId16"/>
    <sheet name="RETURNS" sheetId="18" r:id="rId17"/>
    <sheet name="Neat" sheetId="11" r:id="rId18"/>
  </sheets>
  <definedNames>
    <definedName name="a_mex" localSheetId="9">AXP!$C$3:$D$19</definedName>
    <definedName name="amex" localSheetId="9">AXP!$H$3:$M$72</definedName>
    <definedName name="m_ast" localSheetId="7">MC!$C$3:$D$19</definedName>
    <definedName name="mastercard" localSheetId="7">MC!$H$3:$M$72</definedName>
    <definedName name="paypal" localSheetId="8">PYPL!$H$3:$M$72</definedName>
    <definedName name="payppal" localSheetId="8">PYPL!$C$3:$D$19</definedName>
    <definedName name="v_isa" localSheetId="6">VS!$C$3:$D$19</definedName>
    <definedName name="visa" localSheetId="6">VS!$H$3:$M$72</definedName>
  </definedNames>
  <calcPr calcId="191029" calcOnSave="0"/>
</workbook>
</file>

<file path=xl/calcChain.xml><?xml version="1.0" encoding="utf-8"?>
<calcChain xmlns="http://schemas.openxmlformats.org/spreadsheetml/2006/main">
  <c r="F10" i="5" l="1"/>
  <c r="C48" i="21" l="1"/>
  <c r="C49" i="21" s="1"/>
  <c r="C47" i="21"/>
  <c r="C46" i="21"/>
  <c r="C29" i="21"/>
  <c r="C30" i="21" s="1"/>
  <c r="C27" i="21"/>
  <c r="C10" i="21" l="1"/>
  <c r="C11" i="21" s="1"/>
  <c r="C9" i="21"/>
  <c r="C28" i="21"/>
  <c r="C8" i="21"/>
  <c r="R71" i="2"/>
  <c r="W38" i="2"/>
  <c r="W40" i="2" s="1"/>
  <c r="S38" i="2"/>
  <c r="S40" i="2" s="1"/>
  <c r="T38" i="2"/>
  <c r="T40" i="2" s="1"/>
  <c r="U38" i="2"/>
  <c r="U40" i="2" s="1"/>
  <c r="V38" i="2"/>
  <c r="R38" i="2"/>
  <c r="S30" i="2"/>
  <c r="T30" i="2"/>
  <c r="U30" i="2"/>
  <c r="V30" i="2"/>
  <c r="W30" i="2"/>
  <c r="R30" i="2"/>
  <c r="S27" i="2"/>
  <c r="T27" i="2"/>
  <c r="T28" i="2" s="1"/>
  <c r="U27" i="2"/>
  <c r="V27" i="2"/>
  <c r="V28" i="2" s="1"/>
  <c r="W27" i="2"/>
  <c r="S26" i="2"/>
  <c r="T26" i="2"/>
  <c r="U26" i="2"/>
  <c r="V26" i="2"/>
  <c r="W26" i="2"/>
  <c r="R26" i="2"/>
  <c r="R27" i="2"/>
  <c r="R28" i="2" s="1"/>
  <c r="S20" i="2"/>
  <c r="T20" i="2"/>
  <c r="U20" i="2"/>
  <c r="U21" i="2" s="1"/>
  <c r="V20" i="2"/>
  <c r="W20" i="2"/>
  <c r="W21" i="2" s="1"/>
  <c r="R20" i="2"/>
  <c r="S17" i="2"/>
  <c r="T17" i="2"/>
  <c r="T18" i="2" s="1"/>
  <c r="U17" i="2"/>
  <c r="V17" i="2"/>
  <c r="W17" i="2"/>
  <c r="W18" i="2" s="1"/>
  <c r="R17" i="2"/>
  <c r="R29" i="2" s="1"/>
  <c r="S15" i="2"/>
  <c r="T15" i="2"/>
  <c r="U15" i="2"/>
  <c r="V15" i="2"/>
  <c r="V18" i="2" s="1"/>
  <c r="W15" i="2"/>
  <c r="R15" i="2"/>
  <c r="S13" i="2"/>
  <c r="S31" i="2" s="1"/>
  <c r="T13" i="2"/>
  <c r="U13" i="2"/>
  <c r="V13" i="2"/>
  <c r="V31" i="2" s="1"/>
  <c r="W13" i="2"/>
  <c r="W31" i="2" s="1"/>
  <c r="R13" i="2"/>
  <c r="R31" i="2" s="1"/>
  <c r="S9" i="2"/>
  <c r="T9" i="2"/>
  <c r="U9" i="2"/>
  <c r="V9" i="2"/>
  <c r="W9" i="2"/>
  <c r="R9" i="2"/>
  <c r="R12" i="2" s="1"/>
  <c r="V10" i="2"/>
  <c r="S6" i="2"/>
  <c r="S7" i="2" s="1"/>
  <c r="T6" i="2"/>
  <c r="T12" i="2" s="1"/>
  <c r="U6" i="2"/>
  <c r="V6" i="2"/>
  <c r="W6" i="2"/>
  <c r="R6" i="2"/>
  <c r="S3" i="2"/>
  <c r="S28" i="2" s="1"/>
  <c r="T3" i="2"/>
  <c r="T4" i="2" s="1"/>
  <c r="U3" i="2"/>
  <c r="U4" i="2" s="1"/>
  <c r="V3" i="2"/>
  <c r="W3" i="2"/>
  <c r="R3" i="2"/>
  <c r="S4" i="2" s="1"/>
  <c r="Y52" i="2"/>
  <c r="Z52" i="2" s="1"/>
  <c r="AA52" i="2" s="1"/>
  <c r="AB52" i="2" s="1"/>
  <c r="AC52" i="2" s="1"/>
  <c r="AD52" i="2" s="1"/>
  <c r="AE52" i="2" s="1"/>
  <c r="AF52" i="2" s="1"/>
  <c r="V40" i="2"/>
  <c r="R40" i="2"/>
  <c r="AF31" i="2"/>
  <c r="AE31" i="2"/>
  <c r="AD31" i="2"/>
  <c r="AC31" i="2"/>
  <c r="AB31" i="2"/>
  <c r="AA31" i="2"/>
  <c r="Z31" i="2"/>
  <c r="Y31" i="2"/>
  <c r="X31" i="2"/>
  <c r="W28" i="2"/>
  <c r="U25" i="2"/>
  <c r="R25" i="2"/>
  <c r="T21" i="2"/>
  <c r="S21" i="2"/>
  <c r="Y18" i="2"/>
  <c r="Z18" i="2" s="1"/>
  <c r="AA18" i="2" s="1"/>
  <c r="AB18" i="2" s="1"/>
  <c r="AC18" i="2" s="1"/>
  <c r="AD18" i="2" s="1"/>
  <c r="AE18" i="2" s="1"/>
  <c r="AF18" i="2" s="1"/>
  <c r="U18" i="2"/>
  <c r="T29" i="2"/>
  <c r="U31" i="2"/>
  <c r="T31" i="2"/>
  <c r="Y10" i="2"/>
  <c r="Z10" i="2" s="1"/>
  <c r="AA10" i="2" s="1"/>
  <c r="AB10" i="2" s="1"/>
  <c r="AC10" i="2" s="1"/>
  <c r="AD10" i="2" s="1"/>
  <c r="AE10" i="2" s="1"/>
  <c r="AF10" i="2" s="1"/>
  <c r="W10" i="2"/>
  <c r="U12" i="2"/>
  <c r="AE7" i="2"/>
  <c r="AF7" i="2" s="1"/>
  <c r="AB7" i="2"/>
  <c r="AC7" i="2" s="1"/>
  <c r="Y7" i="2"/>
  <c r="Z7" i="2" s="1"/>
  <c r="U7" i="2"/>
  <c r="T7" i="2"/>
  <c r="W12" i="2"/>
  <c r="T25" i="2"/>
  <c r="AE4" i="2"/>
  <c r="AF4" i="2" s="1"/>
  <c r="AB4" i="2"/>
  <c r="AC4" i="2" s="1"/>
  <c r="Y4" i="2"/>
  <c r="Z4" i="2" s="1"/>
  <c r="W4" i="2"/>
  <c r="V4" i="2"/>
  <c r="X3" i="2"/>
  <c r="X9" i="2" s="1"/>
  <c r="X26" i="2" s="1"/>
  <c r="T42" i="2" l="1"/>
  <c r="V21" i="2"/>
  <c r="R69" i="2"/>
  <c r="R10" i="2"/>
  <c r="R45" i="2"/>
  <c r="R46" i="2" s="1"/>
  <c r="R47" i="2" s="1"/>
  <c r="S12" i="2"/>
  <c r="U45" i="2"/>
  <c r="U46" i="2" s="1"/>
  <c r="U47" i="2" s="1"/>
  <c r="U42" i="2"/>
  <c r="R18" i="2"/>
  <c r="S18" i="2"/>
  <c r="V12" i="2"/>
  <c r="R42" i="2"/>
  <c r="T45" i="2"/>
  <c r="T32" i="2"/>
  <c r="T39" i="2" s="1"/>
  <c r="Y3" i="2"/>
  <c r="U28" i="2"/>
  <c r="X28" i="2" s="1"/>
  <c r="X6" i="2"/>
  <c r="V7" i="2"/>
  <c r="S10" i="2"/>
  <c r="S25" i="2"/>
  <c r="S42" i="2" s="1"/>
  <c r="S29" i="2"/>
  <c r="R60" i="2"/>
  <c r="W7" i="2"/>
  <c r="T10" i="2"/>
  <c r="U29" i="2"/>
  <c r="U32" i="2" s="1"/>
  <c r="U39" i="2" s="1"/>
  <c r="U10" i="2"/>
  <c r="V25" i="2"/>
  <c r="V29" i="2"/>
  <c r="W25" i="2"/>
  <c r="W42" i="2" s="1"/>
  <c r="W29" i="2"/>
  <c r="X38" i="2"/>
  <c r="R32" i="2"/>
  <c r="R39" i="2" s="1"/>
  <c r="R71" i="3"/>
  <c r="M71" i="4"/>
  <c r="R71" i="20"/>
  <c r="T52" i="4"/>
  <c r="U52" i="4" s="1"/>
  <c r="Y28" i="2" l="1"/>
  <c r="Z28" i="2" s="1"/>
  <c r="AA28" i="2" s="1"/>
  <c r="AB28" i="2" s="1"/>
  <c r="AC28" i="2" s="1"/>
  <c r="AD28" i="2" s="1"/>
  <c r="AE28" i="2" s="1"/>
  <c r="AF28" i="2" s="1"/>
  <c r="X27" i="2"/>
  <c r="V45" i="2"/>
  <c r="V32" i="2"/>
  <c r="V39" i="2" s="1"/>
  <c r="V42" i="2"/>
  <c r="Y9" i="2"/>
  <c r="Y26" i="2" s="1"/>
  <c r="Y27" i="2"/>
  <c r="Z3" i="2"/>
  <c r="W45" i="2"/>
  <c r="W32" i="2"/>
  <c r="W39" i="2" s="1"/>
  <c r="S45" i="2"/>
  <c r="S32" i="2"/>
  <c r="S39" i="2" s="1"/>
  <c r="X12" i="2"/>
  <c r="X15" i="2" s="1"/>
  <c r="X25" i="2"/>
  <c r="Y6" i="2"/>
  <c r="T46" i="2"/>
  <c r="T47" i="2" s="1"/>
  <c r="V52" i="4"/>
  <c r="W30" i="3"/>
  <c r="V30" i="3"/>
  <c r="U30" i="3"/>
  <c r="T30" i="3"/>
  <c r="S30" i="3"/>
  <c r="R30" i="3"/>
  <c r="N38" i="4"/>
  <c r="N40" i="4" s="1"/>
  <c r="O38" i="4"/>
  <c r="P38" i="4"/>
  <c r="Q38" i="4"/>
  <c r="R38" i="4"/>
  <c r="M38" i="4"/>
  <c r="N27" i="4"/>
  <c r="N28" i="4" s="1"/>
  <c r="O27" i="4"/>
  <c r="P27" i="4"/>
  <c r="P28" i="4" s="1"/>
  <c r="Q27" i="4"/>
  <c r="R27" i="4"/>
  <c r="M27" i="4"/>
  <c r="N26" i="4"/>
  <c r="O26" i="4"/>
  <c r="P26" i="4"/>
  <c r="Q26" i="4"/>
  <c r="R26" i="4"/>
  <c r="M26" i="4"/>
  <c r="N20" i="4"/>
  <c r="O20" i="4"/>
  <c r="P20" i="4"/>
  <c r="P21" i="4" s="1"/>
  <c r="Q20" i="4"/>
  <c r="R21" i="4" s="1"/>
  <c r="R20" i="4"/>
  <c r="M20" i="4"/>
  <c r="N17" i="4"/>
  <c r="N29" i="4" s="1"/>
  <c r="O17" i="4"/>
  <c r="P17" i="4"/>
  <c r="Q17" i="4"/>
  <c r="R17" i="4"/>
  <c r="R18" i="4" s="1"/>
  <c r="M17" i="4"/>
  <c r="N15" i="4"/>
  <c r="O15" i="4"/>
  <c r="O18" i="4" s="1"/>
  <c r="P15" i="4"/>
  <c r="Q15" i="4"/>
  <c r="R15" i="4"/>
  <c r="M15" i="4"/>
  <c r="N13" i="4"/>
  <c r="O13" i="4"/>
  <c r="P13" i="4"/>
  <c r="P31" i="4" s="1"/>
  <c r="Q13" i="4"/>
  <c r="Q31" i="4" s="1"/>
  <c r="R13" i="4"/>
  <c r="R31" i="4" s="1"/>
  <c r="M13" i="4"/>
  <c r="N9" i="4"/>
  <c r="O9" i="4"/>
  <c r="P9" i="4"/>
  <c r="P10" i="4" s="1"/>
  <c r="Q9" i="4"/>
  <c r="Q10" i="4" s="1"/>
  <c r="R9" i="4"/>
  <c r="R10" i="4" s="1"/>
  <c r="M9" i="4"/>
  <c r="M10" i="4" s="1"/>
  <c r="N6" i="4"/>
  <c r="N25" i="4" s="1"/>
  <c r="N45" i="4" s="1"/>
  <c r="N46" i="4" s="1"/>
  <c r="O6" i="4"/>
  <c r="P6" i="4"/>
  <c r="Q6" i="4"/>
  <c r="R6" i="4"/>
  <c r="M6" i="4"/>
  <c r="M25" i="4" s="1"/>
  <c r="M45" i="4" s="1"/>
  <c r="M46" i="4" s="1"/>
  <c r="N3" i="4"/>
  <c r="O3" i="4"/>
  <c r="O4" i="4" s="1"/>
  <c r="P3" i="4"/>
  <c r="Q28" i="4" s="1"/>
  <c r="Q3" i="4"/>
  <c r="R3" i="4"/>
  <c r="M3" i="4"/>
  <c r="S38" i="3"/>
  <c r="T38" i="3"/>
  <c r="T40" i="3" s="1"/>
  <c r="U38" i="3"/>
  <c r="U40" i="3" s="1"/>
  <c r="V38" i="3"/>
  <c r="V40" i="3" s="1"/>
  <c r="W38" i="3"/>
  <c r="R69" i="3" s="1"/>
  <c r="R38" i="3"/>
  <c r="S29" i="3"/>
  <c r="T29" i="3"/>
  <c r="U29" i="3"/>
  <c r="V29" i="3"/>
  <c r="W29" i="3"/>
  <c r="R29" i="3"/>
  <c r="S27" i="3"/>
  <c r="T27" i="3"/>
  <c r="U27" i="3"/>
  <c r="V27" i="3"/>
  <c r="W27" i="3"/>
  <c r="R27" i="3"/>
  <c r="R28" i="3" s="1"/>
  <c r="S26" i="3"/>
  <c r="T26" i="3"/>
  <c r="U26" i="3"/>
  <c r="V26" i="3"/>
  <c r="W26" i="3"/>
  <c r="R26" i="3"/>
  <c r="S20" i="3"/>
  <c r="S21" i="3" s="1"/>
  <c r="T20" i="3"/>
  <c r="U20" i="3"/>
  <c r="V20" i="3"/>
  <c r="V21" i="3" s="1"/>
  <c r="W20" i="3"/>
  <c r="R20" i="3"/>
  <c r="S6" i="3"/>
  <c r="T6" i="3"/>
  <c r="U6" i="3"/>
  <c r="V6" i="3"/>
  <c r="W6" i="3"/>
  <c r="W25" i="3" s="1"/>
  <c r="R6" i="3"/>
  <c r="R25" i="3" s="1"/>
  <c r="S13" i="3"/>
  <c r="S31" i="3" s="1"/>
  <c r="T13" i="3"/>
  <c r="U13" i="3"/>
  <c r="V13" i="3"/>
  <c r="W13" i="3"/>
  <c r="W31" i="3" s="1"/>
  <c r="R13" i="3"/>
  <c r="S17" i="3"/>
  <c r="T17" i="3"/>
  <c r="T18" i="3" s="1"/>
  <c r="U17" i="3"/>
  <c r="U18" i="3" s="1"/>
  <c r="V17" i="3"/>
  <c r="W17" i="3"/>
  <c r="R17" i="3"/>
  <c r="S15" i="3"/>
  <c r="T15" i="3"/>
  <c r="U15" i="3"/>
  <c r="V15" i="3"/>
  <c r="V18" i="3" s="1"/>
  <c r="W15" i="3"/>
  <c r="W18" i="3" s="1"/>
  <c r="R15" i="3"/>
  <c r="S9" i="3"/>
  <c r="T9" i="3"/>
  <c r="U9" i="3"/>
  <c r="V9" i="3"/>
  <c r="W9" i="3"/>
  <c r="W12" i="3" s="1"/>
  <c r="R9" i="3"/>
  <c r="R10" i="3" s="1"/>
  <c r="O40" i="4"/>
  <c r="Q40" i="4"/>
  <c r="P40" i="4"/>
  <c r="M40" i="4"/>
  <c r="AA31" i="4"/>
  <c r="Z31" i="4"/>
  <c r="Y31" i="4"/>
  <c r="X31" i="4"/>
  <c r="W31" i="4"/>
  <c r="V31" i="4"/>
  <c r="U31" i="4"/>
  <c r="T31" i="4"/>
  <c r="S31" i="4"/>
  <c r="N31" i="4"/>
  <c r="R28" i="4"/>
  <c r="O28" i="4"/>
  <c r="M28" i="4"/>
  <c r="T18" i="4"/>
  <c r="U18" i="4" s="1"/>
  <c r="V18" i="4" s="1"/>
  <c r="W18" i="4" s="1"/>
  <c r="X18" i="4" s="1"/>
  <c r="Y18" i="4" s="1"/>
  <c r="Z18" i="4" s="1"/>
  <c r="AA18" i="4" s="1"/>
  <c r="P18" i="4"/>
  <c r="Q18" i="4"/>
  <c r="P29" i="4"/>
  <c r="O29" i="4"/>
  <c r="M18" i="4"/>
  <c r="AF15" i="4"/>
  <c r="AF19" i="4" s="1"/>
  <c r="AF14" i="4"/>
  <c r="O31" i="4"/>
  <c r="M31" i="4"/>
  <c r="P12" i="4"/>
  <c r="O12" i="4"/>
  <c r="T10" i="4"/>
  <c r="U10" i="4" s="1"/>
  <c r="V10" i="4" s="1"/>
  <c r="W10" i="4" s="1"/>
  <c r="X10" i="4" s="1"/>
  <c r="Y10" i="4" s="1"/>
  <c r="Z10" i="4" s="1"/>
  <c r="AA10" i="4" s="1"/>
  <c r="N10" i="4"/>
  <c r="AF8" i="4"/>
  <c r="Z7" i="4"/>
  <c r="AA7" i="4" s="1"/>
  <c r="W7" i="4"/>
  <c r="X7" i="4" s="1"/>
  <c r="U7" i="4"/>
  <c r="T7" i="4"/>
  <c r="R12" i="4"/>
  <c r="Q12" i="4"/>
  <c r="P25" i="4"/>
  <c r="P45" i="4" s="1"/>
  <c r="P46" i="4" s="1"/>
  <c r="O25" i="4"/>
  <c r="O45" i="4" s="1"/>
  <c r="O46" i="4" s="1"/>
  <c r="Z4" i="4"/>
  <c r="AA4" i="4" s="1"/>
  <c r="W4" i="4"/>
  <c r="X4" i="4" s="1"/>
  <c r="S3" i="4" s="1"/>
  <c r="T4" i="4"/>
  <c r="U4" i="4" s="1"/>
  <c r="P4" i="4"/>
  <c r="N4" i="4"/>
  <c r="Y52" i="3"/>
  <c r="Z52" i="3" s="1"/>
  <c r="AA52" i="3" s="1"/>
  <c r="AB52" i="3" s="1"/>
  <c r="AC52" i="3" s="1"/>
  <c r="AD52" i="3" s="1"/>
  <c r="AE52" i="3" s="1"/>
  <c r="AF52" i="3" s="1"/>
  <c r="S40" i="3"/>
  <c r="R40" i="3"/>
  <c r="AF31" i="3"/>
  <c r="AE31" i="3"/>
  <c r="AD31" i="3"/>
  <c r="AC31" i="3"/>
  <c r="AB31" i="3"/>
  <c r="AA31" i="3"/>
  <c r="Z31" i="3"/>
  <c r="Y31" i="3"/>
  <c r="X31" i="3"/>
  <c r="T31" i="3"/>
  <c r="R31" i="3"/>
  <c r="V28" i="3"/>
  <c r="T28" i="3"/>
  <c r="T25" i="3"/>
  <c r="S25" i="3"/>
  <c r="S45" i="3" s="1"/>
  <c r="U21" i="3"/>
  <c r="T21" i="3"/>
  <c r="Y18" i="3"/>
  <c r="Z18" i="3" s="1"/>
  <c r="AA18" i="3" s="1"/>
  <c r="AB18" i="3" s="1"/>
  <c r="AC18" i="3" s="1"/>
  <c r="AD18" i="3" s="1"/>
  <c r="AE18" i="3" s="1"/>
  <c r="AF18" i="3" s="1"/>
  <c r="R18" i="3"/>
  <c r="AK14" i="3"/>
  <c r="V31" i="3"/>
  <c r="U31" i="3"/>
  <c r="Y10" i="3"/>
  <c r="Z10" i="3" s="1"/>
  <c r="AA10" i="3" s="1"/>
  <c r="AB10" i="3" s="1"/>
  <c r="AC10" i="3" s="1"/>
  <c r="AD10" i="3" s="1"/>
  <c r="AE10" i="3" s="1"/>
  <c r="AF10" i="3" s="1"/>
  <c r="W10" i="3"/>
  <c r="V10" i="3"/>
  <c r="T10" i="3"/>
  <c r="AK8" i="3"/>
  <c r="AE7" i="3"/>
  <c r="AF7" i="3" s="1"/>
  <c r="AB7" i="3"/>
  <c r="AC7" i="3" s="1"/>
  <c r="Y7" i="3"/>
  <c r="Z7" i="3" s="1"/>
  <c r="T7" i="3"/>
  <c r="S7" i="3"/>
  <c r="T12" i="3"/>
  <c r="S12" i="3"/>
  <c r="AE4" i="3"/>
  <c r="AF4" i="3" s="1"/>
  <c r="AB4" i="3"/>
  <c r="AC4" i="3" s="1"/>
  <c r="Y4" i="3"/>
  <c r="Z4" i="3" s="1"/>
  <c r="V4" i="3"/>
  <c r="W3" i="3"/>
  <c r="V3" i="3"/>
  <c r="U3" i="3"/>
  <c r="T3" i="3"/>
  <c r="T4" i="3" s="1"/>
  <c r="S3" i="3"/>
  <c r="R3" i="3"/>
  <c r="S38" i="20"/>
  <c r="T38" i="20"/>
  <c r="U38" i="20"/>
  <c r="U40" i="20" s="1"/>
  <c r="V38" i="20"/>
  <c r="W38" i="20"/>
  <c r="R69" i="20" s="1"/>
  <c r="R38" i="20"/>
  <c r="R40" i="20" s="1"/>
  <c r="S30" i="20"/>
  <c r="T30" i="20"/>
  <c r="U30" i="20"/>
  <c r="V30" i="20"/>
  <c r="W30" i="20"/>
  <c r="R30" i="20"/>
  <c r="S27" i="20"/>
  <c r="S28" i="20" s="1"/>
  <c r="T27" i="20"/>
  <c r="T28" i="20" s="1"/>
  <c r="U27" i="20"/>
  <c r="V27" i="20"/>
  <c r="W27" i="20"/>
  <c r="R27" i="20"/>
  <c r="S26" i="20"/>
  <c r="T26" i="20"/>
  <c r="U26" i="20"/>
  <c r="V26" i="20"/>
  <c r="W26" i="20"/>
  <c r="R26" i="20"/>
  <c r="S20" i="20"/>
  <c r="T20" i="20"/>
  <c r="U20" i="20"/>
  <c r="V20" i="20"/>
  <c r="W20" i="20"/>
  <c r="W21" i="20" s="1"/>
  <c r="R20" i="20"/>
  <c r="S17" i="20"/>
  <c r="S18" i="20" s="1"/>
  <c r="T17" i="20"/>
  <c r="T29" i="20" s="1"/>
  <c r="U17" i="20"/>
  <c r="V17" i="20"/>
  <c r="W17" i="20"/>
  <c r="R17" i="20"/>
  <c r="R18" i="20" s="1"/>
  <c r="S15" i="20"/>
  <c r="T15" i="20"/>
  <c r="U15" i="20"/>
  <c r="V15" i="20"/>
  <c r="W15" i="20"/>
  <c r="R15" i="20"/>
  <c r="S9" i="20"/>
  <c r="T9" i="20"/>
  <c r="U9" i="20"/>
  <c r="V9" i="20"/>
  <c r="V10" i="20" s="1"/>
  <c r="W9" i="20"/>
  <c r="W10" i="20" s="1"/>
  <c r="R9" i="20"/>
  <c r="R10" i="20" s="1"/>
  <c r="S6" i="20"/>
  <c r="T7" i="20" s="1"/>
  <c r="T6" i="20"/>
  <c r="U6" i="20"/>
  <c r="V6" i="20"/>
  <c r="W6" i="20"/>
  <c r="X6" i="20" s="1"/>
  <c r="R6" i="20"/>
  <c r="S3" i="20"/>
  <c r="S10" i="20" s="1"/>
  <c r="T3" i="20"/>
  <c r="T4" i="20" s="1"/>
  <c r="U3" i="20"/>
  <c r="U4" i="20" s="1"/>
  <c r="V3" i="20"/>
  <c r="W3" i="20"/>
  <c r="R3" i="20"/>
  <c r="Y52" i="20"/>
  <c r="Z52" i="20" s="1"/>
  <c r="AA52" i="20" s="1"/>
  <c r="AB52" i="20" s="1"/>
  <c r="AC52" i="20" s="1"/>
  <c r="AD52" i="20" s="1"/>
  <c r="AE52" i="20" s="1"/>
  <c r="AF52" i="20" s="1"/>
  <c r="R60" i="20"/>
  <c r="V40" i="20"/>
  <c r="T40" i="20"/>
  <c r="S40" i="20"/>
  <c r="AF31" i="20"/>
  <c r="AE31" i="20"/>
  <c r="AD31" i="20"/>
  <c r="AC31" i="20"/>
  <c r="AB31" i="20"/>
  <c r="AA31" i="20"/>
  <c r="Z31" i="20"/>
  <c r="Y31" i="20"/>
  <c r="X31" i="20"/>
  <c r="V29" i="20"/>
  <c r="U29" i="20"/>
  <c r="S29" i="20"/>
  <c r="W28" i="20"/>
  <c r="R28" i="20"/>
  <c r="V25" i="20"/>
  <c r="U25" i="20"/>
  <c r="T25" i="20"/>
  <c r="T45" i="20" s="1"/>
  <c r="V21" i="20"/>
  <c r="U21" i="20"/>
  <c r="T21" i="20"/>
  <c r="S21" i="20"/>
  <c r="Y18" i="20"/>
  <c r="Z18" i="20" s="1"/>
  <c r="AA18" i="20" s="1"/>
  <c r="AB18" i="20" s="1"/>
  <c r="AC18" i="20" s="1"/>
  <c r="AD18" i="20" s="1"/>
  <c r="AE18" i="20" s="1"/>
  <c r="AF18" i="20" s="1"/>
  <c r="V18" i="20"/>
  <c r="U18" i="20"/>
  <c r="W13" i="20"/>
  <c r="W31" i="20" s="1"/>
  <c r="V13" i="20"/>
  <c r="V31" i="20" s="1"/>
  <c r="U13" i="20"/>
  <c r="U31" i="20" s="1"/>
  <c r="T13" i="20"/>
  <c r="T31" i="20" s="1"/>
  <c r="S13" i="20"/>
  <c r="S31" i="20" s="1"/>
  <c r="R13" i="20"/>
  <c r="R31" i="20" s="1"/>
  <c r="S12" i="20"/>
  <c r="Y10" i="20"/>
  <c r="Z10" i="20" s="1"/>
  <c r="AA10" i="20" s="1"/>
  <c r="AB10" i="20" s="1"/>
  <c r="AC10" i="20" s="1"/>
  <c r="AD10" i="20" s="1"/>
  <c r="AE10" i="20" s="1"/>
  <c r="AF10" i="20" s="1"/>
  <c r="AE7" i="20"/>
  <c r="AF7" i="20" s="1"/>
  <c r="AB7" i="20"/>
  <c r="AC7" i="20" s="1"/>
  <c r="Y7" i="20"/>
  <c r="Z7" i="20" s="1"/>
  <c r="V7" i="20"/>
  <c r="U7" i="20"/>
  <c r="AE4" i="20"/>
  <c r="AF4" i="20" s="1"/>
  <c r="AB4" i="20"/>
  <c r="AC4" i="20" s="1"/>
  <c r="Y4" i="20"/>
  <c r="Z4" i="20" s="1"/>
  <c r="W4" i="20"/>
  <c r="X3" i="20"/>
  <c r="N42" i="4" l="1"/>
  <c r="S25" i="20"/>
  <c r="S45" i="20" s="1"/>
  <c r="Q4" i="4"/>
  <c r="U45" i="20"/>
  <c r="R12" i="20"/>
  <c r="S4" i="3"/>
  <c r="U28" i="20"/>
  <c r="X28" i="20" s="1"/>
  <c r="Y28" i="20" s="1"/>
  <c r="Z28" i="20" s="1"/>
  <c r="AA28" i="20" s="1"/>
  <c r="AB28" i="20" s="1"/>
  <c r="AC28" i="20" s="1"/>
  <c r="AD28" i="20" s="1"/>
  <c r="AE28" i="20" s="1"/>
  <c r="AF28" i="20" s="1"/>
  <c r="V45" i="20"/>
  <c r="V46" i="20" s="1"/>
  <c r="V47" i="20" s="1"/>
  <c r="U10" i="20"/>
  <c r="T42" i="3"/>
  <c r="V32" i="20"/>
  <c r="V39" i="20" s="1"/>
  <c r="U28" i="3"/>
  <c r="T45" i="3"/>
  <c r="N7" i="4"/>
  <c r="O10" i="4"/>
  <c r="U10" i="3"/>
  <c r="V7" i="3"/>
  <c r="M69" i="4"/>
  <c r="M60" i="4"/>
  <c r="O42" i="4"/>
  <c r="S4" i="20"/>
  <c r="S7" i="20"/>
  <c r="T10" i="20"/>
  <c r="V4" i="20"/>
  <c r="W18" i="20"/>
  <c r="Q21" i="4"/>
  <c r="O21" i="4"/>
  <c r="AF20" i="4"/>
  <c r="L49" i="4" s="1"/>
  <c r="V28" i="20"/>
  <c r="W4" i="3"/>
  <c r="U4" i="3"/>
  <c r="S10" i="3"/>
  <c r="R60" i="3"/>
  <c r="W46" i="2"/>
  <c r="W47" i="2" s="1"/>
  <c r="Z9" i="2"/>
  <c r="Z26" i="2" s="1"/>
  <c r="Z27" i="2"/>
  <c r="AA3" i="2"/>
  <c r="S46" i="2"/>
  <c r="S47" i="2" s="1"/>
  <c r="Y12" i="2"/>
  <c r="Y15" i="2" s="1"/>
  <c r="Y25" i="2"/>
  <c r="Z6" i="2"/>
  <c r="X45" i="2"/>
  <c r="V46" i="2"/>
  <c r="V47" i="2" s="1"/>
  <c r="X17" i="2"/>
  <c r="X29" i="2" s="1"/>
  <c r="W52" i="4"/>
  <c r="S28" i="4"/>
  <c r="T28" i="4" s="1"/>
  <c r="U28" i="4" s="1"/>
  <c r="V28" i="4" s="1"/>
  <c r="W28" i="4" s="1"/>
  <c r="X28" i="4" s="1"/>
  <c r="Y28" i="4" s="1"/>
  <c r="Z28" i="4" s="1"/>
  <c r="AA28" i="4" s="1"/>
  <c r="N21" i="4"/>
  <c r="M42" i="4"/>
  <c r="U25" i="3"/>
  <c r="U32" i="3" s="1"/>
  <c r="U39" i="3" s="1"/>
  <c r="S42" i="3"/>
  <c r="P32" i="4"/>
  <c r="P39" i="4" s="1"/>
  <c r="P42" i="4"/>
  <c r="S27" i="4"/>
  <c r="S9" i="4"/>
  <c r="S26" i="4" s="1"/>
  <c r="T3" i="4"/>
  <c r="N32" i="4"/>
  <c r="N39" i="4" s="1"/>
  <c r="O32" i="4"/>
  <c r="O39" i="4" s="1"/>
  <c r="N18" i="4"/>
  <c r="Q25" i="4"/>
  <c r="Q29" i="4"/>
  <c r="R25" i="4"/>
  <c r="R45" i="4" s="1"/>
  <c r="R46" i="4" s="1"/>
  <c r="R29" i="4"/>
  <c r="O7" i="4"/>
  <c r="R4" i="4"/>
  <c r="P7" i="4"/>
  <c r="S6" i="4"/>
  <c r="Q7" i="4"/>
  <c r="R7" i="4"/>
  <c r="M12" i="4"/>
  <c r="N12" i="4"/>
  <c r="R40" i="4"/>
  <c r="M29" i="4"/>
  <c r="M32" i="4" s="1"/>
  <c r="M39" i="4" s="1"/>
  <c r="S46" i="3"/>
  <c r="S47" i="3" s="1"/>
  <c r="U42" i="3"/>
  <c r="T46" i="3"/>
  <c r="T47" i="3" s="1"/>
  <c r="R42" i="3"/>
  <c r="R45" i="3"/>
  <c r="R32" i="3"/>
  <c r="R39" i="3" s="1"/>
  <c r="X3" i="3"/>
  <c r="V12" i="3"/>
  <c r="W21" i="3"/>
  <c r="S18" i="3"/>
  <c r="V25" i="3"/>
  <c r="W32" i="3"/>
  <c r="W39" i="3" s="1"/>
  <c r="W7" i="3"/>
  <c r="U7" i="3"/>
  <c r="X6" i="3"/>
  <c r="AK15" i="3"/>
  <c r="AK19" i="3" s="1"/>
  <c r="AK20" i="3" s="1"/>
  <c r="Q49" i="3" s="1"/>
  <c r="T32" i="3"/>
  <c r="T39" i="3" s="1"/>
  <c r="W40" i="3"/>
  <c r="R12" i="3"/>
  <c r="S28" i="3"/>
  <c r="S32" i="3"/>
  <c r="S39" i="3" s="1"/>
  <c r="U12" i="3"/>
  <c r="W28" i="3"/>
  <c r="W45" i="3"/>
  <c r="U32" i="20"/>
  <c r="U39" i="20" s="1"/>
  <c r="W29" i="20"/>
  <c r="R29" i="20"/>
  <c r="T18" i="20"/>
  <c r="T12" i="20"/>
  <c r="S42" i="20"/>
  <c r="T42" i="20"/>
  <c r="U42" i="20"/>
  <c r="V42" i="20"/>
  <c r="R25" i="20"/>
  <c r="R45" i="20" s="1"/>
  <c r="R46" i="20" s="1"/>
  <c r="R47" i="20" s="1"/>
  <c r="R42" i="20"/>
  <c r="X9" i="20"/>
  <c r="X26" i="20" s="1"/>
  <c r="Y3" i="20"/>
  <c r="T46" i="20"/>
  <c r="T47" i="20"/>
  <c r="U46" i="20"/>
  <c r="U47" i="20" s="1"/>
  <c r="Y6" i="20"/>
  <c r="X25" i="20"/>
  <c r="S46" i="20"/>
  <c r="S47" i="20" s="1"/>
  <c r="W7" i="20"/>
  <c r="U12" i="20"/>
  <c r="V12" i="20"/>
  <c r="W12" i="20"/>
  <c r="W25" i="20"/>
  <c r="S32" i="20"/>
  <c r="S39" i="20" s="1"/>
  <c r="T32" i="20"/>
  <c r="T39" i="20" s="1"/>
  <c r="W40" i="20"/>
  <c r="Q42" i="4" l="1"/>
  <c r="Q45" i="4"/>
  <c r="Q46" i="4" s="1"/>
  <c r="R32" i="20"/>
  <c r="R39" i="20" s="1"/>
  <c r="U45" i="3"/>
  <c r="T53" i="4"/>
  <c r="S53" i="4"/>
  <c r="U53" i="4"/>
  <c r="V53" i="4"/>
  <c r="W53" i="4"/>
  <c r="X53" i="4"/>
  <c r="X28" i="3"/>
  <c r="Y28" i="3" s="1"/>
  <c r="Z28" i="3" s="1"/>
  <c r="AA28" i="3" s="1"/>
  <c r="AB28" i="3" s="1"/>
  <c r="AC28" i="3" s="1"/>
  <c r="AD28" i="3" s="1"/>
  <c r="AE28" i="3" s="1"/>
  <c r="AF28" i="3" s="1"/>
  <c r="X20" i="2"/>
  <c r="X30" i="2" s="1"/>
  <c r="X32" i="2" s="1"/>
  <c r="X39" i="2" s="1"/>
  <c r="X46" i="2"/>
  <c r="X47" i="2" s="1"/>
  <c r="AB3" i="2"/>
  <c r="AA9" i="2"/>
  <c r="AA26" i="2" s="1"/>
  <c r="AA27" i="2"/>
  <c r="Y45" i="2"/>
  <c r="Z12" i="2"/>
  <c r="Z15" i="2" s="1"/>
  <c r="Z25" i="2"/>
  <c r="AA6" i="2"/>
  <c r="Y17" i="2"/>
  <c r="Y29" i="2" s="1"/>
  <c r="X52" i="4"/>
  <c r="R32" i="4"/>
  <c r="R39" i="4" s="1"/>
  <c r="T27" i="4"/>
  <c r="U3" i="4"/>
  <c r="T9" i="4"/>
  <c r="T26" i="4" s="1"/>
  <c r="R42" i="4"/>
  <c r="S38" i="4"/>
  <c r="Q32" i="4"/>
  <c r="Q39" i="4" s="1"/>
  <c r="T6" i="4"/>
  <c r="S25" i="4"/>
  <c r="S45" i="4" s="1"/>
  <c r="S46" i="4" s="1"/>
  <c r="S12" i="4"/>
  <c r="S15" i="4" s="1"/>
  <c r="X25" i="3"/>
  <c r="Y6" i="3"/>
  <c r="U46" i="3"/>
  <c r="U47" i="3" s="1"/>
  <c r="X53" i="3"/>
  <c r="AF53" i="3"/>
  <c r="AE53" i="3"/>
  <c r="AD53" i="3"/>
  <c r="AC53" i="3"/>
  <c r="AB53" i="3"/>
  <c r="AA53" i="3"/>
  <c r="Z53" i="3"/>
  <c r="Y53" i="3"/>
  <c r="W46" i="3"/>
  <c r="W47" i="3" s="1"/>
  <c r="V45" i="3"/>
  <c r="V32" i="3"/>
  <c r="V39" i="3" s="1"/>
  <c r="Y3" i="3"/>
  <c r="X27" i="3"/>
  <c r="X9" i="3"/>
  <c r="X26" i="3" s="1"/>
  <c r="R46" i="3"/>
  <c r="R47" i="3" s="1"/>
  <c r="W42" i="3"/>
  <c r="X38" i="3"/>
  <c r="V42" i="3"/>
  <c r="X27" i="20"/>
  <c r="Y25" i="20"/>
  <c r="Z6" i="20"/>
  <c r="W42" i="20"/>
  <c r="X38" i="20"/>
  <c r="Y27" i="20"/>
  <c r="Z3" i="20"/>
  <c r="Y9" i="20"/>
  <c r="Y26" i="20" s="1"/>
  <c r="W45" i="20"/>
  <c r="W32" i="20"/>
  <c r="W39" i="20" s="1"/>
  <c r="X45" i="20"/>
  <c r="X12" i="20"/>
  <c r="X15" i="20" s="1"/>
  <c r="C3" i="20"/>
  <c r="C21" i="20" s="1"/>
  <c r="D3" i="20"/>
  <c r="E4" i="20" s="1"/>
  <c r="E3" i="20"/>
  <c r="F3" i="20"/>
  <c r="G3" i="20"/>
  <c r="G4" i="20" s="1"/>
  <c r="H3" i="20"/>
  <c r="H4" i="20" s="1"/>
  <c r="I3" i="20"/>
  <c r="I4" i="20" s="1"/>
  <c r="J3" i="20"/>
  <c r="J21" i="20" s="1"/>
  <c r="K3" i="20"/>
  <c r="L3" i="20"/>
  <c r="L4" i="20" s="1"/>
  <c r="C5" i="20"/>
  <c r="D5" i="20"/>
  <c r="E5" i="20"/>
  <c r="F5" i="20"/>
  <c r="F6" i="20" s="1"/>
  <c r="G5" i="20"/>
  <c r="H5" i="20"/>
  <c r="I5" i="20"/>
  <c r="J5" i="20"/>
  <c r="K5" i="20"/>
  <c r="K6" i="20" s="1"/>
  <c r="L5" i="20"/>
  <c r="H6" i="20"/>
  <c r="C7" i="20"/>
  <c r="C10" i="20" s="1"/>
  <c r="D7" i="20"/>
  <c r="E7" i="20"/>
  <c r="F7" i="20"/>
  <c r="F10" i="20" s="1"/>
  <c r="G7" i="20"/>
  <c r="G8" i="20" s="1"/>
  <c r="H7" i="20"/>
  <c r="I7" i="20"/>
  <c r="I8" i="20" s="1"/>
  <c r="J7" i="20"/>
  <c r="K7" i="20"/>
  <c r="K10" i="20" s="1"/>
  <c r="L7" i="20"/>
  <c r="E8" i="20"/>
  <c r="F8" i="20"/>
  <c r="M8" i="20"/>
  <c r="N8" i="20"/>
  <c r="AK8" i="20"/>
  <c r="D10" i="20"/>
  <c r="E10" i="20"/>
  <c r="L10" i="20"/>
  <c r="C11" i="20"/>
  <c r="D11" i="20"/>
  <c r="D12" i="20" s="1"/>
  <c r="E11" i="20"/>
  <c r="E12" i="20" s="1"/>
  <c r="F11" i="20"/>
  <c r="F12" i="20" s="1"/>
  <c r="G11" i="20"/>
  <c r="H11" i="20"/>
  <c r="H12" i="20" s="1"/>
  <c r="I11" i="20"/>
  <c r="J11" i="20"/>
  <c r="K11" i="20"/>
  <c r="L11" i="20"/>
  <c r="C14" i="20"/>
  <c r="D14" i="20"/>
  <c r="E14" i="20"/>
  <c r="F14" i="20"/>
  <c r="G14" i="20"/>
  <c r="H14" i="20"/>
  <c r="I14" i="20"/>
  <c r="J14" i="20"/>
  <c r="K14" i="20"/>
  <c r="L14" i="20"/>
  <c r="AK14" i="20"/>
  <c r="C15" i="20"/>
  <c r="D15" i="20"/>
  <c r="E15" i="20"/>
  <c r="F15" i="20"/>
  <c r="G15" i="20"/>
  <c r="H15" i="20"/>
  <c r="I15" i="20"/>
  <c r="J15" i="20"/>
  <c r="K15" i="20"/>
  <c r="L15" i="20"/>
  <c r="C18" i="20"/>
  <c r="D18" i="20"/>
  <c r="E18" i="20"/>
  <c r="F18" i="20"/>
  <c r="G18" i="20"/>
  <c r="H18" i="20"/>
  <c r="I18" i="20"/>
  <c r="J18" i="20"/>
  <c r="K18" i="20"/>
  <c r="L18" i="20"/>
  <c r="C20" i="20"/>
  <c r="D20" i="20"/>
  <c r="E20" i="20"/>
  <c r="F20" i="20"/>
  <c r="G20" i="20"/>
  <c r="H20" i="20"/>
  <c r="I20" i="20"/>
  <c r="J20" i="20"/>
  <c r="K20" i="20"/>
  <c r="L20" i="20"/>
  <c r="D21" i="20"/>
  <c r="E21" i="20"/>
  <c r="F21" i="20"/>
  <c r="K21" i="20"/>
  <c r="L21" i="20"/>
  <c r="G6" i="20" l="1"/>
  <c r="E17" i="20"/>
  <c r="H17" i="20"/>
  <c r="J17" i="20"/>
  <c r="N4" i="20"/>
  <c r="F4" i="20"/>
  <c r="G21" i="20"/>
  <c r="L17" i="20"/>
  <c r="G17" i="20"/>
  <c r="I6" i="20"/>
  <c r="L12" i="20"/>
  <c r="X21" i="2"/>
  <c r="Y20" i="2"/>
  <c r="Y30" i="2"/>
  <c r="Y32" i="2" s="1"/>
  <c r="Y39" i="2" s="1"/>
  <c r="Y41" i="2" s="1"/>
  <c r="Y21" i="2"/>
  <c r="Z17" i="2"/>
  <c r="Z29" i="2" s="1"/>
  <c r="AA25" i="2"/>
  <c r="AA12" i="2"/>
  <c r="AA15" i="2" s="1"/>
  <c r="AB6" i="2"/>
  <c r="Y46" i="2"/>
  <c r="Y47" i="2" s="1"/>
  <c r="AB9" i="2"/>
  <c r="AB26" i="2" s="1"/>
  <c r="AB27" i="2"/>
  <c r="AC3" i="2"/>
  <c r="Z45" i="2"/>
  <c r="X41" i="2"/>
  <c r="X40" i="2"/>
  <c r="Y52" i="4"/>
  <c r="Y53" i="4" s="1"/>
  <c r="S17" i="4"/>
  <c r="S29" i="4" s="1"/>
  <c r="U27" i="4"/>
  <c r="V3" i="4"/>
  <c r="U9" i="4"/>
  <c r="U26" i="4" s="1"/>
  <c r="U6" i="4"/>
  <c r="T25" i="4"/>
  <c r="T45" i="4" s="1"/>
  <c r="T46" i="4" s="1"/>
  <c r="T12" i="4"/>
  <c r="T15" i="4" s="1"/>
  <c r="X12" i="3"/>
  <c r="X15" i="3" s="1"/>
  <c r="Y25" i="3"/>
  <c r="Z6" i="3"/>
  <c r="Z3" i="3"/>
  <c r="Y27" i="3"/>
  <c r="Y9" i="3"/>
  <c r="Y26" i="3" s="1"/>
  <c r="V46" i="3"/>
  <c r="V47" i="3" s="1"/>
  <c r="X45" i="3"/>
  <c r="AK15" i="20"/>
  <c r="AK19" i="20" s="1"/>
  <c r="X46" i="20"/>
  <c r="X47" i="20" s="1"/>
  <c r="W46" i="20"/>
  <c r="W47" i="20" s="1"/>
  <c r="Z25" i="20"/>
  <c r="AA6" i="20"/>
  <c r="Z9" i="20"/>
  <c r="Z26" i="20" s="1"/>
  <c r="AA3" i="20"/>
  <c r="Z27" i="20"/>
  <c r="Y45" i="20"/>
  <c r="X17" i="20"/>
  <c r="X29" i="20" s="1"/>
  <c r="Y12" i="20"/>
  <c r="Y15" i="20" s="1"/>
  <c r="AK20" i="20"/>
  <c r="Q49" i="20" s="1"/>
  <c r="K12" i="20"/>
  <c r="F17" i="20"/>
  <c r="I12" i="20"/>
  <c r="L8" i="20"/>
  <c r="L6" i="20"/>
  <c r="N6" i="20"/>
  <c r="O6" i="20"/>
  <c r="G12" i="20"/>
  <c r="K8" i="20"/>
  <c r="M4" i="20"/>
  <c r="H8" i="20"/>
  <c r="K17" i="20"/>
  <c r="I17" i="20"/>
  <c r="D17" i="20"/>
  <c r="M6" i="20"/>
  <c r="D8" i="20"/>
  <c r="J6" i="20"/>
  <c r="D4" i="20"/>
  <c r="K4" i="20"/>
  <c r="J10" i="20"/>
  <c r="J8" i="20"/>
  <c r="D6" i="20"/>
  <c r="J4" i="20"/>
  <c r="I21" i="20"/>
  <c r="I10" i="20"/>
  <c r="J12" i="20"/>
  <c r="E6" i="20"/>
  <c r="H21" i="20"/>
  <c r="H10" i="20"/>
  <c r="C17" i="20"/>
  <c r="G10" i="20"/>
  <c r="N17" i="20" l="1"/>
  <c r="X53" i="20"/>
  <c r="X54" i="20" s="1"/>
  <c r="AC53" i="20"/>
  <c r="AF53" i="20"/>
  <c r="Z53" i="20"/>
  <c r="Y53" i="20"/>
  <c r="AB53" i="20"/>
  <c r="AA53" i="20"/>
  <c r="AD53" i="20"/>
  <c r="AE53" i="20"/>
  <c r="Z20" i="2"/>
  <c r="AA45" i="2"/>
  <c r="Z46" i="2"/>
  <c r="Z47" i="2" s="1"/>
  <c r="AA17" i="2"/>
  <c r="AA29" i="2" s="1"/>
  <c r="Y38" i="2"/>
  <c r="Y40" i="2" s="1"/>
  <c r="X42" i="2"/>
  <c r="AB25" i="2"/>
  <c r="AC6" i="2"/>
  <c r="AB12" i="2"/>
  <c r="AB15" i="2" s="1"/>
  <c r="Z30" i="2"/>
  <c r="Z32" i="2" s="1"/>
  <c r="Z39" i="2" s="1"/>
  <c r="Z41" i="2" s="1"/>
  <c r="Z21" i="2"/>
  <c r="AC9" i="2"/>
  <c r="AC26" i="2" s="1"/>
  <c r="AD3" i="2"/>
  <c r="AC27" i="2"/>
  <c r="Z52" i="4"/>
  <c r="Z53" i="4" s="1"/>
  <c r="T17" i="4"/>
  <c r="T29" i="4" s="1"/>
  <c r="V6" i="4"/>
  <c r="U25" i="4"/>
  <c r="U45" i="4" s="1"/>
  <c r="U46" i="4" s="1"/>
  <c r="U12" i="4"/>
  <c r="U15" i="4" s="1"/>
  <c r="V27" i="4"/>
  <c r="V9" i="4"/>
  <c r="V26" i="4" s="1"/>
  <c r="W3" i="4"/>
  <c r="S20" i="4"/>
  <c r="X46" i="3"/>
  <c r="X47" i="3" s="1"/>
  <c r="X54" i="3" s="1"/>
  <c r="Y12" i="3"/>
  <c r="Y15" i="3" s="1"/>
  <c r="Z9" i="3"/>
  <c r="Z26" i="3" s="1"/>
  <c r="AA3" i="3"/>
  <c r="Z27" i="3"/>
  <c r="Z25" i="3"/>
  <c r="AA6" i="3"/>
  <c r="Y45" i="3"/>
  <c r="X17" i="3"/>
  <c r="X29" i="3" s="1"/>
  <c r="Y17" i="20"/>
  <c r="Y29" i="20" s="1"/>
  <c r="AA9" i="20"/>
  <c r="AA26" i="20" s="1"/>
  <c r="AA27" i="20"/>
  <c r="AB3" i="20"/>
  <c r="Z45" i="20"/>
  <c r="Z12" i="20"/>
  <c r="Z15" i="20" s="1"/>
  <c r="X20" i="20"/>
  <c r="AA25" i="20"/>
  <c r="AB6" i="20"/>
  <c r="Y46" i="20"/>
  <c r="Y47" i="20" s="1"/>
  <c r="Y54" i="20" s="1"/>
  <c r="M17" i="20"/>
  <c r="AA12" i="20" l="1"/>
  <c r="AA15" i="20" s="1"/>
  <c r="Z12" i="3"/>
  <c r="Z15" i="3" s="1"/>
  <c r="AC25" i="2"/>
  <c r="AD6" i="2"/>
  <c r="AC12" i="2"/>
  <c r="AC15" i="2" s="1"/>
  <c r="AA20" i="2"/>
  <c r="AA46" i="2"/>
  <c r="AA47" i="2" s="1"/>
  <c r="Z38" i="2"/>
  <c r="Z40" i="2" s="1"/>
  <c r="Y42" i="2"/>
  <c r="AD9" i="2"/>
  <c r="AD26" i="2" s="1"/>
  <c r="AD27" i="2"/>
  <c r="AE3" i="2"/>
  <c r="AB45" i="2"/>
  <c r="AB17" i="2"/>
  <c r="AB29" i="2" s="1"/>
  <c r="AA52" i="4"/>
  <c r="X20" i="3"/>
  <c r="X21" i="3" s="1"/>
  <c r="W9" i="4"/>
  <c r="W26" i="4" s="1"/>
  <c r="X3" i="4"/>
  <c r="W27" i="4"/>
  <c r="U17" i="4"/>
  <c r="U29" i="4" s="1"/>
  <c r="S21" i="4"/>
  <c r="S30" i="4"/>
  <c r="S32" i="4" s="1"/>
  <c r="S39" i="4" s="1"/>
  <c r="W6" i="4"/>
  <c r="V25" i="4"/>
  <c r="V45" i="4" s="1"/>
  <c r="V46" i="4" s="1"/>
  <c r="V12" i="4"/>
  <c r="V15" i="4" s="1"/>
  <c r="T20" i="4"/>
  <c r="Z17" i="3"/>
  <c r="Z29" i="3" s="1"/>
  <c r="Y46" i="3"/>
  <c r="Y47" i="3" s="1"/>
  <c r="Y54" i="3" s="1"/>
  <c r="AA12" i="3"/>
  <c r="AA15" i="3" s="1"/>
  <c r="AB6" i="3"/>
  <c r="AA25" i="3"/>
  <c r="Z45" i="3"/>
  <c r="AA27" i="3"/>
  <c r="AB3" i="3"/>
  <c r="AA9" i="3"/>
  <c r="AA26" i="3" s="1"/>
  <c r="Y17" i="3"/>
  <c r="Y29" i="3" s="1"/>
  <c r="Z17" i="20"/>
  <c r="Z29" i="20" s="1"/>
  <c r="Z20" i="20"/>
  <c r="AA45" i="20"/>
  <c r="X21" i="20"/>
  <c r="X30" i="20"/>
  <c r="X32" i="20" s="1"/>
  <c r="X39" i="20" s="1"/>
  <c r="AA17" i="20"/>
  <c r="AA29" i="20" s="1"/>
  <c r="Z46" i="20"/>
  <c r="Z47" i="20" s="1"/>
  <c r="Z54" i="20" s="1"/>
  <c r="AB27" i="20"/>
  <c r="AC3" i="20"/>
  <c r="AB9" i="20"/>
  <c r="AB26" i="20" s="1"/>
  <c r="AB25" i="20"/>
  <c r="AC6" i="20"/>
  <c r="Y20" i="20"/>
  <c r="AA53" i="4" l="1"/>
  <c r="X30" i="3"/>
  <c r="X32" i="3" s="1"/>
  <c r="X39" i="3" s="1"/>
  <c r="AB20" i="2"/>
  <c r="AB21" i="2" s="1"/>
  <c r="AA38" i="2"/>
  <c r="Z42" i="2"/>
  <c r="AA21" i="2"/>
  <c r="AA30" i="2"/>
  <c r="AA32" i="2" s="1"/>
  <c r="AA39" i="2" s="1"/>
  <c r="AA41" i="2" s="1"/>
  <c r="AC17" i="2"/>
  <c r="AC29" i="2" s="1"/>
  <c r="AC45" i="2"/>
  <c r="AB30" i="2"/>
  <c r="AB32" i="2" s="1"/>
  <c r="AB39" i="2" s="1"/>
  <c r="AB41" i="2" s="1"/>
  <c r="AB46" i="2"/>
  <c r="AB47" i="2"/>
  <c r="AE6" i="2"/>
  <c r="AD12" i="2"/>
  <c r="AD15" i="2" s="1"/>
  <c r="AD25" i="2"/>
  <c r="AE9" i="2"/>
  <c r="AE26" i="2" s="1"/>
  <c r="AF3" i="2"/>
  <c r="AE27" i="2"/>
  <c r="S41" i="4"/>
  <c r="S40" i="4"/>
  <c r="V17" i="4"/>
  <c r="V29" i="4" s="1"/>
  <c r="U20" i="4"/>
  <c r="Y3" i="4"/>
  <c r="X27" i="4"/>
  <c r="X9" i="4"/>
  <c r="X26" i="4" s="1"/>
  <c r="T21" i="4"/>
  <c r="T30" i="4"/>
  <c r="T32" i="4" s="1"/>
  <c r="T39" i="4" s="1"/>
  <c r="T41" i="4" s="1"/>
  <c r="X6" i="4"/>
  <c r="W25" i="4"/>
  <c r="W45" i="4" s="1"/>
  <c r="W46" i="4" s="1"/>
  <c r="W12" i="4"/>
  <c r="W15" i="4" s="1"/>
  <c r="AA45" i="3"/>
  <c r="Z46" i="3"/>
  <c r="Z47" i="3" s="1"/>
  <c r="Z54" i="3" s="1"/>
  <c r="X41" i="3"/>
  <c r="X40" i="3"/>
  <c r="AC6" i="3"/>
  <c r="AB25" i="3"/>
  <c r="AB9" i="3"/>
  <c r="AB26" i="3" s="1"/>
  <c r="AC3" i="3"/>
  <c r="AB27" i="3"/>
  <c r="Z20" i="3"/>
  <c r="AA17" i="3"/>
  <c r="AA29" i="3" s="1"/>
  <c r="Y20" i="3"/>
  <c r="AB12" i="20"/>
  <c r="AB15" i="20" s="1"/>
  <c r="AB17" i="20" s="1"/>
  <c r="AB29" i="20" s="1"/>
  <c r="AC27" i="20"/>
  <c r="AC9" i="20"/>
  <c r="AC26" i="20" s="1"/>
  <c r="AD3" i="20"/>
  <c r="AA20" i="20"/>
  <c r="Y30" i="20"/>
  <c r="Y32" i="20" s="1"/>
  <c r="Y39" i="20" s="1"/>
  <c r="Y41" i="20" s="1"/>
  <c r="Y21" i="20"/>
  <c r="X41" i="20"/>
  <c r="X40" i="20"/>
  <c r="AC25" i="20"/>
  <c r="AD6" i="20"/>
  <c r="AB45" i="20"/>
  <c r="AA46" i="20"/>
  <c r="AA47" i="20" s="1"/>
  <c r="AA54" i="20" s="1"/>
  <c r="Z30" i="20"/>
  <c r="Z21" i="20"/>
  <c r="Z32" i="20"/>
  <c r="Z39" i="20" s="1"/>
  <c r="Z41" i="20" s="1"/>
  <c r="AC46" i="2" l="1"/>
  <c r="AC47" i="2"/>
  <c r="AD45" i="2"/>
  <c r="AC20" i="2"/>
  <c r="AF6" i="2"/>
  <c r="U65" i="2" s="1"/>
  <c r="AE12" i="2"/>
  <c r="AE15" i="2" s="1"/>
  <c r="AE25" i="2"/>
  <c r="AF27" i="2"/>
  <c r="AF9" i="2"/>
  <c r="AF26" i="2" s="1"/>
  <c r="AD17" i="2"/>
  <c r="AD29" i="2" s="1"/>
  <c r="AA40" i="2"/>
  <c r="Y27" i="4"/>
  <c r="Y9" i="4"/>
  <c r="Y26" i="4" s="1"/>
  <c r="Z3" i="4"/>
  <c r="U21" i="4"/>
  <c r="U30" i="4"/>
  <c r="U32" i="4" s="1"/>
  <c r="U39" i="4" s="1"/>
  <c r="U41" i="4" s="1"/>
  <c r="W17" i="4"/>
  <c r="W29" i="4" s="1"/>
  <c r="S42" i="4"/>
  <c r="T38" i="4"/>
  <c r="T40" i="4" s="1"/>
  <c r="Y6" i="4"/>
  <c r="X25" i="4"/>
  <c r="X45" i="4" s="1"/>
  <c r="X46" i="4" s="1"/>
  <c r="X12" i="4"/>
  <c r="X15" i="4" s="1"/>
  <c r="V20" i="4"/>
  <c r="AD3" i="3"/>
  <c r="AC27" i="3"/>
  <c r="AC9" i="3"/>
  <c r="AC26" i="3" s="1"/>
  <c r="Y30" i="3"/>
  <c r="Y32" i="3" s="1"/>
  <c r="Y39" i="3" s="1"/>
  <c r="Y41" i="3" s="1"/>
  <c r="Y21" i="3"/>
  <c r="AB12" i="3"/>
  <c r="AB15" i="3" s="1"/>
  <c r="AA20" i="3"/>
  <c r="AA46" i="3"/>
  <c r="AA47" i="3" s="1"/>
  <c r="AA54" i="3" s="1"/>
  <c r="AB45" i="3"/>
  <c r="Y38" i="3"/>
  <c r="X42" i="3"/>
  <c r="Z30" i="3"/>
  <c r="Z32" i="3" s="1"/>
  <c r="Z39" i="3" s="1"/>
  <c r="Z41" i="3" s="1"/>
  <c r="Z21" i="3"/>
  <c r="AC25" i="3"/>
  <c r="AD6" i="3"/>
  <c r="AC45" i="20"/>
  <c r="X42" i="20"/>
  <c r="Y38" i="20"/>
  <c r="Y40" i="20" s="1"/>
  <c r="AB20" i="20"/>
  <c r="AA30" i="20"/>
  <c r="AA32" i="20" s="1"/>
  <c r="AA39" i="20" s="1"/>
  <c r="AA41" i="20" s="1"/>
  <c r="AA21" i="20"/>
  <c r="AD9" i="20"/>
  <c r="AD26" i="20" s="1"/>
  <c r="AD27" i="20"/>
  <c r="AE3" i="20"/>
  <c r="AB46" i="20"/>
  <c r="AB47" i="20" s="1"/>
  <c r="AB54" i="20" s="1"/>
  <c r="AC12" i="20"/>
  <c r="AC15" i="20" s="1"/>
  <c r="AE6" i="20"/>
  <c r="AD25" i="20"/>
  <c r="AD20" i="2" l="1"/>
  <c r="AD21" i="2"/>
  <c r="AD30" i="2"/>
  <c r="AD32" i="2" s="1"/>
  <c r="AD39" i="2" s="1"/>
  <c r="AD41" i="2" s="1"/>
  <c r="AE45" i="2"/>
  <c r="AE17" i="2"/>
  <c r="AE29" i="2" s="1"/>
  <c r="AC21" i="2"/>
  <c r="AC30" i="2"/>
  <c r="AC32" i="2" s="1"/>
  <c r="AC39" i="2" s="1"/>
  <c r="AC41" i="2" s="1"/>
  <c r="AD46" i="2"/>
  <c r="AD47" i="2" s="1"/>
  <c r="AB38" i="2"/>
  <c r="AB40" i="2" s="1"/>
  <c r="AA42" i="2"/>
  <c r="AF12" i="2"/>
  <c r="AF15" i="2" s="1"/>
  <c r="AF25" i="2"/>
  <c r="W20" i="4"/>
  <c r="W21" i="4" s="1"/>
  <c r="AC12" i="3"/>
  <c r="AC15" i="3" s="1"/>
  <c r="Z6" i="4"/>
  <c r="Y25" i="4"/>
  <c r="Y45" i="4" s="1"/>
  <c r="Y46" i="4" s="1"/>
  <c r="Y12" i="4"/>
  <c r="Y15" i="4" s="1"/>
  <c r="T42" i="4"/>
  <c r="U38" i="4"/>
  <c r="U40" i="4" s="1"/>
  <c r="V30" i="4"/>
  <c r="V32" i="4" s="1"/>
  <c r="V39" i="4" s="1"/>
  <c r="V41" i="4" s="1"/>
  <c r="V21" i="4"/>
  <c r="AA3" i="4"/>
  <c r="Z27" i="4"/>
  <c r="Z9" i="4"/>
  <c r="Z26" i="4" s="1"/>
  <c r="X17" i="4"/>
  <c r="X29" i="4" s="1"/>
  <c r="AD9" i="3"/>
  <c r="AD26" i="3" s="1"/>
  <c r="AE3" i="3"/>
  <c r="AD27" i="3"/>
  <c r="AB17" i="3"/>
  <c r="AB29" i="3" s="1"/>
  <c r="AB46" i="3"/>
  <c r="AB47" i="3" s="1"/>
  <c r="AB54" i="3" s="1"/>
  <c r="AA30" i="3"/>
  <c r="AA32" i="3" s="1"/>
  <c r="AA39" i="3" s="1"/>
  <c r="AA41" i="3" s="1"/>
  <c r="AA21" i="3"/>
  <c r="AE6" i="3"/>
  <c r="AD25" i="3"/>
  <c r="AC45" i="3"/>
  <c r="Y40" i="3"/>
  <c r="AB21" i="20"/>
  <c r="AB30" i="20"/>
  <c r="AB32" i="20" s="1"/>
  <c r="AB39" i="20" s="1"/>
  <c r="AB41" i="20" s="1"/>
  <c r="Y42" i="20"/>
  <c r="Z38" i="20"/>
  <c r="Z40" i="20" s="1"/>
  <c r="AE9" i="20"/>
  <c r="AE26" i="20" s="1"/>
  <c r="AE27" i="20"/>
  <c r="AF3" i="20"/>
  <c r="AE25" i="20"/>
  <c r="AF6" i="20"/>
  <c r="AC17" i="20"/>
  <c r="AC29" i="20" s="1"/>
  <c r="AC46" i="20"/>
  <c r="AC47" i="20" s="1"/>
  <c r="AC54" i="20" s="1"/>
  <c r="AD12" i="20"/>
  <c r="AD15" i="20" s="1"/>
  <c r="AD45" i="20"/>
  <c r="AC17" i="3" l="1"/>
  <c r="AC29" i="3" s="1"/>
  <c r="AE12" i="20"/>
  <c r="AE15" i="20" s="1"/>
  <c r="W30" i="4"/>
  <c r="W32" i="4" s="1"/>
  <c r="W39" i="4" s="1"/>
  <c r="W41" i="4" s="1"/>
  <c r="AF17" i="2"/>
  <c r="AF29" i="2" s="1"/>
  <c r="AE20" i="2"/>
  <c r="AC38" i="2"/>
  <c r="AC40" i="2" s="1"/>
  <c r="AB42" i="2"/>
  <c r="AE46" i="2"/>
  <c r="AE47" i="2" s="1"/>
  <c r="AF45" i="2"/>
  <c r="AB20" i="3"/>
  <c r="U42" i="4"/>
  <c r="V38" i="4"/>
  <c r="V40" i="4" s="1"/>
  <c r="AA27" i="4"/>
  <c r="AA9" i="4"/>
  <c r="AA26" i="4" s="1"/>
  <c r="Y17" i="4"/>
  <c r="Y29" i="4" s="1"/>
  <c r="Y20" i="4"/>
  <c r="X20" i="4"/>
  <c r="Z25" i="4"/>
  <c r="Z45" i="4" s="1"/>
  <c r="Z46" i="4" s="1"/>
  <c r="Z12" i="4"/>
  <c r="Z15" i="4" s="1"/>
  <c r="AA6" i="4"/>
  <c r="AE25" i="3"/>
  <c r="AF6" i="3"/>
  <c r="AE27" i="3"/>
  <c r="AE9" i="3"/>
  <c r="AE26" i="3" s="1"/>
  <c r="AF3" i="3"/>
  <c r="AB21" i="3"/>
  <c r="AB30" i="3"/>
  <c r="AB32" i="3" s="1"/>
  <c r="AB39" i="3" s="1"/>
  <c r="AB41" i="3" s="1"/>
  <c r="AC46" i="3"/>
  <c r="AC47" i="3" s="1"/>
  <c r="AC54" i="3" s="1"/>
  <c r="AD12" i="3"/>
  <c r="AD15" i="3" s="1"/>
  <c r="Y42" i="3"/>
  <c r="Z38" i="3"/>
  <c r="Z40" i="3" s="1"/>
  <c r="AD45" i="3"/>
  <c r="AC20" i="20"/>
  <c r="AF25" i="20"/>
  <c r="AC30" i="20"/>
  <c r="AC32" i="20" s="1"/>
  <c r="AC39" i="20" s="1"/>
  <c r="AC41" i="20" s="1"/>
  <c r="AC21" i="20"/>
  <c r="AE17" i="20"/>
  <c r="AE29" i="20" s="1"/>
  <c r="AE20" i="20"/>
  <c r="AF9" i="20"/>
  <c r="AF26" i="20" s="1"/>
  <c r="AF27" i="20"/>
  <c r="AD46" i="20"/>
  <c r="AD47" i="20" s="1"/>
  <c r="AD54" i="20" s="1"/>
  <c r="Z42" i="20"/>
  <c r="AA38" i="20"/>
  <c r="AA40" i="20" s="1"/>
  <c r="AE45" i="20"/>
  <c r="AD17" i="20"/>
  <c r="AD29" i="20" s="1"/>
  <c r="AD20" i="20"/>
  <c r="AC20" i="3" l="1"/>
  <c r="AF46" i="2"/>
  <c r="AF47" i="2" s="1"/>
  <c r="AC42" i="2"/>
  <c r="AD38" i="2"/>
  <c r="AD40" i="2" s="1"/>
  <c r="AE21" i="2"/>
  <c r="AE30" i="2"/>
  <c r="AE32" i="2" s="1"/>
  <c r="AE39" i="2" s="1"/>
  <c r="AE41" i="2" s="1"/>
  <c r="AF20" i="2"/>
  <c r="AA25" i="4"/>
  <c r="AA45" i="4" s="1"/>
  <c r="AA46" i="4" s="1"/>
  <c r="AA12" i="4"/>
  <c r="AA15" i="4" s="1"/>
  <c r="X21" i="4"/>
  <c r="X30" i="4"/>
  <c r="X32" i="4" s="1"/>
  <c r="X39" i="4" s="1"/>
  <c r="X41" i="4" s="1"/>
  <c r="Y21" i="4"/>
  <c r="Y30" i="4"/>
  <c r="Y32" i="4" s="1"/>
  <c r="Y39" i="4" s="1"/>
  <c r="Y41" i="4" s="1"/>
  <c r="V42" i="4"/>
  <c r="W38" i="4"/>
  <c r="W40" i="4" s="1"/>
  <c r="Z17" i="4"/>
  <c r="Z29" i="4" s="1"/>
  <c r="AD17" i="3"/>
  <c r="AD29" i="3" s="1"/>
  <c r="AF25" i="3"/>
  <c r="AE12" i="3"/>
  <c r="AE15" i="3" s="1"/>
  <c r="AF9" i="3"/>
  <c r="AF26" i="3" s="1"/>
  <c r="AF27" i="3"/>
  <c r="AD46" i="3"/>
  <c r="AD47" i="3" s="1"/>
  <c r="AD54" i="3" s="1"/>
  <c r="Z42" i="3"/>
  <c r="AA38" i="3"/>
  <c r="AA40" i="3" s="1"/>
  <c r="AE45" i="3"/>
  <c r="AD21" i="20"/>
  <c r="AD30" i="20"/>
  <c r="AD32" i="20" s="1"/>
  <c r="AD39" i="20" s="1"/>
  <c r="AD41" i="20" s="1"/>
  <c r="AA42" i="20"/>
  <c r="AB38" i="20"/>
  <c r="AB40" i="20" s="1"/>
  <c r="AE21" i="20"/>
  <c r="AE30" i="20"/>
  <c r="AE32" i="20" s="1"/>
  <c r="AE39" i="20" s="1"/>
  <c r="AE41" i="20" s="1"/>
  <c r="AE46" i="20"/>
  <c r="AE47" i="20" s="1"/>
  <c r="AE54" i="20" s="1"/>
  <c r="AF45" i="20"/>
  <c r="AF12" i="20"/>
  <c r="AF15" i="20" s="1"/>
  <c r="AK15" i="2"/>
  <c r="AK19" i="2" s="1"/>
  <c r="AK14" i="2"/>
  <c r="AK8" i="2"/>
  <c r="R56" i="20" l="1"/>
  <c r="R65" i="20"/>
  <c r="AC30" i="3"/>
  <c r="AC32" i="3" s="1"/>
  <c r="AC39" i="3" s="1"/>
  <c r="AC41" i="3" s="1"/>
  <c r="AC21" i="3"/>
  <c r="AF21" i="2"/>
  <c r="AF30" i="2"/>
  <c r="AF32" i="2" s="1"/>
  <c r="AF39" i="2" s="1"/>
  <c r="AF41" i="2" s="1"/>
  <c r="AD42" i="2"/>
  <c r="AE38" i="2"/>
  <c r="AE40" i="2" s="1"/>
  <c r="Z20" i="4"/>
  <c r="Z21" i="4"/>
  <c r="Z30" i="4"/>
  <c r="Z32" i="4" s="1"/>
  <c r="Z39" i="4" s="1"/>
  <c r="Z41" i="4" s="1"/>
  <c r="X38" i="4"/>
  <c r="X40" i="4" s="1"/>
  <c r="W42" i="4"/>
  <c r="AA17" i="4"/>
  <c r="AA29" i="4" s="1"/>
  <c r="AA42" i="3"/>
  <c r="AB38" i="3"/>
  <c r="AB40" i="3" s="1"/>
  <c r="AE46" i="3"/>
  <c r="AE47" i="3" s="1"/>
  <c r="AE54" i="3" s="1"/>
  <c r="AE17" i="3"/>
  <c r="AE29" i="3" s="1"/>
  <c r="AF12" i="3"/>
  <c r="AF15" i="3" s="1"/>
  <c r="AF45" i="3"/>
  <c r="AD20" i="3"/>
  <c r="AF46" i="20"/>
  <c r="AF47" i="20" s="1"/>
  <c r="AF54" i="20" s="1"/>
  <c r="AC38" i="20"/>
  <c r="AC40" i="20" s="1"/>
  <c r="AB42" i="20"/>
  <c r="AF17" i="20"/>
  <c r="AF29" i="20" s="1"/>
  <c r="AK20" i="2"/>
  <c r="Q49" i="2" s="1"/>
  <c r="R57" i="20" l="1"/>
  <c r="R58" i="20" s="1"/>
  <c r="R59" i="20" s="1"/>
  <c r="R61" i="20" s="1"/>
  <c r="R63" i="20" s="1"/>
  <c r="R66" i="20"/>
  <c r="R67" i="20" s="1"/>
  <c r="R68" i="20"/>
  <c r="R70" i="20" s="1"/>
  <c r="R72" i="20" s="1"/>
  <c r="R56" i="3"/>
  <c r="R65" i="3"/>
  <c r="AE42" i="2"/>
  <c r="AF38" i="2"/>
  <c r="AF40" i="2" s="1"/>
  <c r="AF42" i="2" s="1"/>
  <c r="AF53" i="2"/>
  <c r="AF54" i="2" s="1"/>
  <c r="R66" i="2" s="1"/>
  <c r="R67" i="2" s="1"/>
  <c r="AE53" i="2"/>
  <c r="AE54" i="2" s="1"/>
  <c r="AD53" i="2"/>
  <c r="AD54" i="2" s="1"/>
  <c r="AC53" i="2"/>
  <c r="AC54" i="2" s="1"/>
  <c r="AB53" i="2"/>
  <c r="AB54" i="2" s="1"/>
  <c r="AA53" i="2"/>
  <c r="AA54" i="2" s="1"/>
  <c r="Z53" i="2"/>
  <c r="Z54" i="2" s="1"/>
  <c r="Y53" i="2"/>
  <c r="Y54" i="2" s="1"/>
  <c r="X53" i="2"/>
  <c r="X54" i="2" s="1"/>
  <c r="R65" i="2" s="1"/>
  <c r="R68" i="2" s="1"/>
  <c r="R70" i="2" s="1"/>
  <c r="R72" i="2" s="1"/>
  <c r="AA20" i="4"/>
  <c r="AE20" i="3"/>
  <c r="Y38" i="4"/>
  <c r="Y40" i="4" s="1"/>
  <c r="X42" i="4"/>
  <c r="AA21" i="4"/>
  <c r="AA30" i="4"/>
  <c r="AA32" i="4" s="1"/>
  <c r="AA39" i="4" s="1"/>
  <c r="AA41" i="4" s="1"/>
  <c r="AF17" i="3"/>
  <c r="AF29" i="3" s="1"/>
  <c r="AD30" i="3"/>
  <c r="AD32" i="3" s="1"/>
  <c r="AD39" i="3" s="1"/>
  <c r="AD41" i="3" s="1"/>
  <c r="AD21" i="3"/>
  <c r="AF46" i="3"/>
  <c r="AF47" i="3"/>
  <c r="AF54" i="3" s="1"/>
  <c r="AE21" i="3"/>
  <c r="AE30" i="3"/>
  <c r="AE32" i="3" s="1"/>
  <c r="AE39" i="3" s="1"/>
  <c r="AE41" i="3" s="1"/>
  <c r="AC38" i="3"/>
  <c r="AC40" i="3" s="1"/>
  <c r="AB42" i="3"/>
  <c r="AF20" i="20"/>
  <c r="AD38" i="20"/>
  <c r="AD40" i="20" s="1"/>
  <c r="AC42" i="20"/>
  <c r="R57" i="3" l="1"/>
  <c r="R58" i="3" s="1"/>
  <c r="R59" i="3" s="1"/>
  <c r="R61" i="3" s="1"/>
  <c r="R63" i="3" s="1"/>
  <c r="R66" i="3"/>
  <c r="R67" i="3" s="1"/>
  <c r="R68" i="3" s="1"/>
  <c r="R70" i="3" s="1"/>
  <c r="R72" i="3" s="1"/>
  <c r="R56" i="2"/>
  <c r="R57" i="2"/>
  <c r="R58" i="2" s="1"/>
  <c r="R59" i="2" s="1"/>
  <c r="R61" i="2" s="1"/>
  <c r="R63" i="2" s="1"/>
  <c r="Z38" i="4"/>
  <c r="Z40" i="4" s="1"/>
  <c r="Y42" i="4"/>
  <c r="AD38" i="3"/>
  <c r="AD40" i="3" s="1"/>
  <c r="AC42" i="3"/>
  <c r="AF20" i="3"/>
  <c r="AE38" i="20"/>
  <c r="AE40" i="20" s="1"/>
  <c r="AD42" i="20"/>
  <c r="AF21" i="20"/>
  <c r="AF30" i="20"/>
  <c r="AF32" i="20" s="1"/>
  <c r="AF39" i="20" s="1"/>
  <c r="AF41" i="20" s="1"/>
  <c r="AA38" i="4" l="1"/>
  <c r="AA40" i="4" s="1"/>
  <c r="AA42" i="4" s="1"/>
  <c r="Z42" i="4"/>
  <c r="AF21" i="3"/>
  <c r="AF30" i="3"/>
  <c r="AF32" i="3" s="1"/>
  <c r="AF39" i="3" s="1"/>
  <c r="AF41" i="3" s="1"/>
  <c r="AE38" i="3"/>
  <c r="AE40" i="3" s="1"/>
  <c r="AD42" i="3"/>
  <c r="AF38" i="20"/>
  <c r="AF40" i="20" s="1"/>
  <c r="AF42" i="20" s="1"/>
  <c r="AE42" i="20"/>
  <c r="R73" i="2" l="1"/>
  <c r="AF38" i="3"/>
  <c r="AF40" i="3" s="1"/>
  <c r="AF42" i="3" s="1"/>
  <c r="AE42" i="3"/>
  <c r="F32" i="5" l="1"/>
  <c r="H17" i="11"/>
  <c r="H16" i="11"/>
  <c r="H15" i="11"/>
  <c r="I23" i="11" s="1"/>
  <c r="H14" i="11"/>
  <c r="I22" i="11" s="1"/>
  <c r="F11" i="17"/>
  <c r="G11" i="17" s="1"/>
  <c r="F10" i="17"/>
  <c r="F9" i="17"/>
  <c r="F8" i="17"/>
  <c r="M55" i="3"/>
  <c r="E11" i="17"/>
  <c r="E10" i="17"/>
  <c r="E9" i="17"/>
  <c r="E8" i="17"/>
  <c r="G9" i="17" l="1"/>
  <c r="G10" i="17"/>
  <c r="G8" i="17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I15" i="3"/>
  <c r="J15" i="3"/>
  <c r="K15" i="3"/>
  <c r="L15" i="3"/>
  <c r="C15" i="3"/>
  <c r="C14" i="3"/>
  <c r="D11" i="3"/>
  <c r="E11" i="3"/>
  <c r="F11" i="3"/>
  <c r="F12" i="3" s="1"/>
  <c r="G11" i="3"/>
  <c r="H11" i="3"/>
  <c r="H12" i="3" s="1"/>
  <c r="I11" i="3"/>
  <c r="I12" i="3" s="1"/>
  <c r="J11" i="3"/>
  <c r="J12" i="3" s="1"/>
  <c r="K11" i="3"/>
  <c r="L11" i="3"/>
  <c r="C11" i="3"/>
  <c r="D7" i="3"/>
  <c r="D10" i="3" s="1"/>
  <c r="E7" i="3"/>
  <c r="E10" i="3" s="1"/>
  <c r="F7" i="3"/>
  <c r="G7" i="3"/>
  <c r="H7" i="3"/>
  <c r="H10" i="3" s="1"/>
  <c r="I7" i="3"/>
  <c r="I8" i="3" s="1"/>
  <c r="J7" i="3"/>
  <c r="J10" i="3" s="1"/>
  <c r="K7" i="3"/>
  <c r="K10" i="3" s="1"/>
  <c r="L7" i="3"/>
  <c r="C7" i="3"/>
  <c r="C10" i="3" s="1"/>
  <c r="D5" i="3"/>
  <c r="E5" i="3"/>
  <c r="F5" i="3"/>
  <c r="G5" i="3"/>
  <c r="G6" i="3" s="1"/>
  <c r="H5" i="3"/>
  <c r="I5" i="3"/>
  <c r="J5" i="3"/>
  <c r="J6" i="3" s="1"/>
  <c r="K5" i="3"/>
  <c r="L5" i="3"/>
  <c r="C5" i="3"/>
  <c r="M6" i="3" s="1"/>
  <c r="E17" i="3"/>
  <c r="G10" i="3"/>
  <c r="F10" i="3"/>
  <c r="G8" i="3"/>
  <c r="F8" i="3"/>
  <c r="F6" i="3"/>
  <c r="D17" i="3"/>
  <c r="L3" i="3"/>
  <c r="K3" i="3"/>
  <c r="J3" i="3"/>
  <c r="I3" i="3"/>
  <c r="I4" i="3" s="1"/>
  <c r="H3" i="3"/>
  <c r="G3" i="3"/>
  <c r="F3" i="3"/>
  <c r="E3" i="3"/>
  <c r="D3" i="3"/>
  <c r="C3" i="3"/>
  <c r="D11" i="2"/>
  <c r="E11" i="2"/>
  <c r="F11" i="2"/>
  <c r="G11" i="2"/>
  <c r="H11" i="2"/>
  <c r="H12" i="2" s="1"/>
  <c r="I11" i="2"/>
  <c r="I12" i="2" s="1"/>
  <c r="J11" i="2"/>
  <c r="K11" i="2"/>
  <c r="L11" i="2"/>
  <c r="C11" i="2"/>
  <c r="L7" i="2"/>
  <c r="D7" i="2"/>
  <c r="E7" i="2"/>
  <c r="E10" i="2" s="1"/>
  <c r="F7" i="2"/>
  <c r="F8" i="2" s="1"/>
  <c r="G7" i="2"/>
  <c r="H8" i="2" s="1"/>
  <c r="H7" i="2"/>
  <c r="H10" i="2" s="1"/>
  <c r="I7" i="2"/>
  <c r="I10" i="2" s="1"/>
  <c r="J7" i="2"/>
  <c r="J10" i="2" s="1"/>
  <c r="K7" i="2"/>
  <c r="K10" i="2" s="1"/>
  <c r="C7" i="2"/>
  <c r="C10" i="2" s="1"/>
  <c r="D5" i="2"/>
  <c r="E5" i="2"/>
  <c r="F5" i="2"/>
  <c r="G5" i="2"/>
  <c r="H5" i="2"/>
  <c r="I5" i="2"/>
  <c r="J5" i="2"/>
  <c r="K5" i="2"/>
  <c r="L5" i="2"/>
  <c r="L17" i="2" s="1"/>
  <c r="C5" i="2"/>
  <c r="L15" i="2"/>
  <c r="K15" i="2"/>
  <c r="J15" i="2"/>
  <c r="I15" i="2"/>
  <c r="H15" i="2"/>
  <c r="G15" i="2"/>
  <c r="F15" i="2"/>
  <c r="E15" i="2"/>
  <c r="D15" i="2"/>
  <c r="C15" i="2"/>
  <c r="L14" i="2"/>
  <c r="K14" i="2"/>
  <c r="J14" i="2"/>
  <c r="I14" i="2"/>
  <c r="H14" i="2"/>
  <c r="G14" i="2"/>
  <c r="F14" i="2"/>
  <c r="E14" i="2"/>
  <c r="D14" i="2"/>
  <c r="C14" i="2"/>
  <c r="L3" i="2"/>
  <c r="K3" i="2"/>
  <c r="J3" i="2"/>
  <c r="I3" i="2"/>
  <c r="H3" i="2"/>
  <c r="G3" i="2"/>
  <c r="F3" i="2"/>
  <c r="E3" i="2"/>
  <c r="D3" i="2"/>
  <c r="C3" i="2"/>
  <c r="D14" i="4"/>
  <c r="E14" i="4"/>
  <c r="F14" i="4"/>
  <c r="G14" i="4"/>
  <c r="H14" i="4"/>
  <c r="D15" i="4"/>
  <c r="D17" i="4" s="1"/>
  <c r="E15" i="4"/>
  <c r="F15" i="4"/>
  <c r="G15" i="4"/>
  <c r="H15" i="4"/>
  <c r="C15" i="4"/>
  <c r="C14" i="4"/>
  <c r="D11" i="4"/>
  <c r="D12" i="4" s="1"/>
  <c r="E11" i="4"/>
  <c r="E12" i="4" s="1"/>
  <c r="F11" i="4"/>
  <c r="F12" i="4" s="1"/>
  <c r="G11" i="4"/>
  <c r="H11" i="4"/>
  <c r="C11" i="4"/>
  <c r="D7" i="4"/>
  <c r="E8" i="4" s="1"/>
  <c r="E7" i="4"/>
  <c r="F7" i="4"/>
  <c r="G7" i="4"/>
  <c r="H7" i="4"/>
  <c r="I8" i="4" s="1"/>
  <c r="C7" i="4"/>
  <c r="D5" i="4"/>
  <c r="E5" i="4"/>
  <c r="F5" i="4"/>
  <c r="F17" i="4" s="1"/>
  <c r="G5" i="4"/>
  <c r="H5" i="4"/>
  <c r="C5" i="4"/>
  <c r="I6" i="4" s="1"/>
  <c r="D3" i="4"/>
  <c r="E4" i="4" s="1"/>
  <c r="E3" i="4"/>
  <c r="F3" i="4"/>
  <c r="G4" i="4" s="1"/>
  <c r="G3" i="4"/>
  <c r="H3" i="4"/>
  <c r="H4" i="4" s="1"/>
  <c r="C3" i="4"/>
  <c r="E10" i="4"/>
  <c r="G10" i="4"/>
  <c r="F8" i="4"/>
  <c r="H12" i="4" l="1"/>
  <c r="K12" i="2"/>
  <c r="H6" i="3"/>
  <c r="L12" i="3"/>
  <c r="G12" i="4"/>
  <c r="I4" i="4"/>
  <c r="I16" i="11" s="1"/>
  <c r="F4" i="3"/>
  <c r="G4" i="3"/>
  <c r="N6" i="3"/>
  <c r="E6" i="3"/>
  <c r="G10" i="2"/>
  <c r="K6" i="3"/>
  <c r="G12" i="3"/>
  <c r="E6" i="4"/>
  <c r="H6" i="2"/>
  <c r="I6" i="3"/>
  <c r="G35" i="5"/>
  <c r="J16" i="11"/>
  <c r="D8" i="4"/>
  <c r="K16" i="11"/>
  <c r="G8" i="5"/>
  <c r="G12" i="2"/>
  <c r="K4" i="3"/>
  <c r="H8" i="3"/>
  <c r="G32" i="5"/>
  <c r="J17" i="11"/>
  <c r="C17" i="2"/>
  <c r="D10" i="4"/>
  <c r="E12" i="3"/>
  <c r="D4" i="3"/>
  <c r="I10" i="3"/>
  <c r="G17" i="4"/>
  <c r="E4" i="3"/>
  <c r="L17" i="3"/>
  <c r="J4" i="3"/>
  <c r="D17" i="2"/>
  <c r="F4" i="4"/>
  <c r="L10" i="3"/>
  <c r="N8" i="3"/>
  <c r="M4" i="3"/>
  <c r="N4" i="3"/>
  <c r="I17" i="11" s="1"/>
  <c r="F12" i="2"/>
  <c r="H4" i="3"/>
  <c r="K12" i="3"/>
  <c r="I4" i="2"/>
  <c r="M6" i="2"/>
  <c r="I8" i="2"/>
  <c r="I17" i="2"/>
  <c r="J4" i="2"/>
  <c r="G4" i="2"/>
  <c r="G17" i="2"/>
  <c r="D8" i="2"/>
  <c r="D12" i="2"/>
  <c r="K4" i="2"/>
  <c r="G8" i="2"/>
  <c r="N8" i="2"/>
  <c r="K15" i="11" s="1"/>
  <c r="L23" i="11" s="1"/>
  <c r="J12" i="2"/>
  <c r="F17" i="2"/>
  <c r="E17" i="2"/>
  <c r="K17" i="2"/>
  <c r="J17" i="2"/>
  <c r="E12" i="2"/>
  <c r="F10" i="2"/>
  <c r="E6" i="2"/>
  <c r="N6" i="2"/>
  <c r="M4" i="2"/>
  <c r="N4" i="2"/>
  <c r="I15" i="11" s="1"/>
  <c r="J23" i="11" s="1"/>
  <c r="F4" i="2"/>
  <c r="D4" i="2"/>
  <c r="E4" i="2"/>
  <c r="H4" i="2"/>
  <c r="D12" i="3"/>
  <c r="C17" i="3"/>
  <c r="F17" i="3"/>
  <c r="G17" i="3"/>
  <c r="H17" i="3"/>
  <c r="I17" i="3"/>
  <c r="L4" i="3"/>
  <c r="D8" i="3"/>
  <c r="L8" i="3"/>
  <c r="J17" i="3"/>
  <c r="K17" i="3"/>
  <c r="J8" i="3"/>
  <c r="K8" i="3"/>
  <c r="E8" i="3"/>
  <c r="M8" i="3"/>
  <c r="D6" i="3"/>
  <c r="L6" i="3"/>
  <c r="L12" i="2"/>
  <c r="L8" i="2"/>
  <c r="F6" i="2"/>
  <c r="K8" i="2"/>
  <c r="L4" i="2"/>
  <c r="I6" i="2"/>
  <c r="M8" i="2"/>
  <c r="J6" i="2"/>
  <c r="J8" i="2"/>
  <c r="H17" i="2"/>
  <c r="K6" i="2"/>
  <c r="D10" i="2"/>
  <c r="L10" i="2"/>
  <c r="G6" i="2"/>
  <c r="E8" i="2"/>
  <c r="D6" i="2"/>
  <c r="L6" i="2"/>
  <c r="C10" i="4"/>
  <c r="H17" i="4"/>
  <c r="D4" i="4"/>
  <c r="G8" i="4"/>
  <c r="C17" i="4"/>
  <c r="D6" i="4"/>
  <c r="H8" i="4"/>
  <c r="F10" i="4"/>
  <c r="E17" i="4"/>
  <c r="F6" i="4"/>
  <c r="G6" i="4"/>
  <c r="H10" i="4"/>
  <c r="H6" i="4"/>
  <c r="N17" i="3" l="1"/>
  <c r="L17" i="11" s="1"/>
  <c r="M17" i="3"/>
  <c r="K17" i="11"/>
  <c r="G5" i="5"/>
  <c r="I17" i="4"/>
  <c r="L16" i="11" s="1"/>
  <c r="G7" i="5"/>
  <c r="M17" i="2"/>
  <c r="N17" i="2"/>
  <c r="L15" i="11" s="1"/>
  <c r="M23" i="11" s="1"/>
  <c r="G34" i="5"/>
  <c r="J15" i="11"/>
  <c r="K23" i="11" s="1"/>
  <c r="L14" i="11" l="1"/>
  <c r="M22" i="11" s="1"/>
  <c r="I14" i="11"/>
  <c r="J22" i="11" s="1"/>
  <c r="G33" i="5"/>
  <c r="J14" i="11"/>
  <c r="K22" i="11" s="1"/>
  <c r="K14" i="11"/>
  <c r="L22" i="11" s="1"/>
  <c r="G6" i="5"/>
  <c r="F55" i="5"/>
  <c r="F56" i="5"/>
  <c r="F57" i="5" s="1"/>
  <c r="F54" i="5"/>
  <c r="F34" i="5"/>
  <c r="F33" i="5"/>
  <c r="F35" i="5"/>
  <c r="E23" i="2" l="1"/>
  <c r="F23" i="2"/>
  <c r="G23" i="2"/>
  <c r="H23" i="2"/>
  <c r="I23" i="2"/>
  <c r="J23" i="2"/>
  <c r="K23" i="2"/>
  <c r="L23" i="2"/>
  <c r="D23" i="2"/>
  <c r="H18" i="14"/>
  <c r="I18" i="14"/>
  <c r="J18" i="14"/>
  <c r="H19" i="14"/>
  <c r="I19" i="14"/>
  <c r="J19" i="14"/>
  <c r="H20" i="14"/>
  <c r="I20" i="14"/>
  <c r="J20" i="14"/>
  <c r="H21" i="14"/>
  <c r="I21" i="14"/>
  <c r="J21" i="14"/>
  <c r="H22" i="14"/>
  <c r="I22" i="14"/>
  <c r="J22" i="14"/>
  <c r="H23" i="14"/>
  <c r="I23" i="14"/>
  <c r="J23" i="14"/>
  <c r="G19" i="14"/>
  <c r="G20" i="14"/>
  <c r="G21" i="14"/>
  <c r="G22" i="14"/>
  <c r="G23" i="14"/>
  <c r="G18" i="14"/>
  <c r="L8" i="11" l="1"/>
  <c r="L7" i="11"/>
  <c r="L5" i="11"/>
  <c r="L6" i="11"/>
  <c r="K8" i="11"/>
  <c r="K7" i="11"/>
  <c r="K5" i="11"/>
  <c r="K6" i="11"/>
  <c r="J7" i="11"/>
  <c r="J5" i="11"/>
  <c r="J6" i="11"/>
  <c r="I8" i="11"/>
  <c r="I7" i="11"/>
  <c r="I5" i="11"/>
  <c r="I6" i="11"/>
  <c r="H8" i="11"/>
  <c r="H7" i="11"/>
  <c r="H5" i="11"/>
  <c r="H6" i="11"/>
  <c r="G6" i="11"/>
  <c r="F8" i="11"/>
  <c r="F7" i="11"/>
  <c r="F5" i="11"/>
  <c r="F6" i="11"/>
  <c r="G8" i="11"/>
  <c r="F8" i="5"/>
  <c r="F7" i="5"/>
  <c r="F6" i="5"/>
  <c r="F5" i="5"/>
  <c r="J8" i="11" l="1"/>
  <c r="C89" i="2"/>
  <c r="C88" i="2"/>
  <c r="G7" i="11" l="1"/>
  <c r="G5" i="11"/>
  <c r="F39" i="5" l="1"/>
  <c r="F40" i="5" s="1"/>
  <c r="F38" i="5"/>
  <c r="F37" i="5"/>
  <c r="F12" i="5" l="1"/>
  <c r="F13" i="5" s="1"/>
  <c r="F11" i="5"/>
  <c r="M47" i="4"/>
  <c r="X47" i="4"/>
  <c r="X54" i="4" s="1"/>
  <c r="AA47" i="4"/>
  <c r="AA54" i="4" s="1"/>
  <c r="Y47" i="4"/>
  <c r="Y54" i="4" s="1"/>
  <c r="Z47" i="4"/>
  <c r="Z54" i="4" s="1"/>
  <c r="R47" i="4"/>
  <c r="W47" i="4"/>
  <c r="W54" i="4" s="1"/>
  <c r="U47" i="4"/>
  <c r="U54" i="4" s="1"/>
  <c r="V47" i="4"/>
  <c r="V54" i="4" s="1"/>
  <c r="P47" i="4"/>
  <c r="N47" i="4"/>
  <c r="Q47" i="4"/>
  <c r="S47" i="4"/>
  <c r="S54" i="4" s="1"/>
  <c r="T47" i="4"/>
  <c r="T54" i="4" s="1"/>
  <c r="O47" i="4"/>
  <c r="M57" i="4" l="1"/>
  <c r="M58" i="4" s="1"/>
  <c r="M66" i="4"/>
  <c r="M67" i="4" s="1"/>
  <c r="M65" i="4"/>
  <c r="M68" i="4" s="1"/>
  <c r="M70" i="4" s="1"/>
  <c r="M72" i="4" s="1"/>
  <c r="M56" i="4"/>
  <c r="M59" i="4" l="1"/>
  <c r="M61" i="4" s="1"/>
  <c r="M63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6" background="1" saveData="1">
    <webPr consecutive="1" xl2000="1" url="https://finance.yahoo.com/quote/V?p=V&amp;.tsrc=fin-srch" htmlTables="1" htmlFormat="all"/>
  </connection>
  <connection id="2" xr16:uid="{00000000-0015-0000-FFFF-FFFF01000000}" name="Connection1" type="4" refreshedVersion="6" background="1" saveData="1">
    <webPr consecutive="1" xl2000="1" url="https://finance.yahoo.com/quote/V/key-statistics?p=V" htmlTables="1" htmlFormat="all"/>
  </connection>
  <connection id="3" xr16:uid="{00000000-0015-0000-FFFF-FFFF02000000}" name="Connection2" type="4" refreshedVersion="6" background="1" saveData="1">
    <webPr consecutive="1" xl2000="1" url="https://finance.yahoo.com/quote/MA?p=MA&amp;.tsrc=fin-srch" htmlTables="1" htmlFormat="all"/>
  </connection>
  <connection id="4" xr16:uid="{00000000-0015-0000-FFFF-FFFF03000000}" name="Connection3" type="4" refreshedVersion="6" background="1" saveData="1">
    <webPr consecutive="1" xl2000="1" url="https://finance.yahoo.com/quote/MA/key-statistics?p=MA" htmlTables="1" htmlFormat="all"/>
  </connection>
  <connection id="5" xr16:uid="{00000000-0015-0000-FFFF-FFFF04000000}" name="Connection4" type="4" refreshedVersion="6" background="1" saveData="1">
    <webPr consecutive="1" xl2000="1" url="https://finance.yahoo.com/quote/PYPL?p=PYPL&amp;.tsrc=fin-srch" htmlTables="1" htmlFormat="all"/>
  </connection>
  <connection id="6" xr16:uid="{00000000-0015-0000-FFFF-FFFF05000000}" name="Connection5" type="4" refreshedVersion="6" background="1" saveData="1">
    <webPr consecutive="1" xl2000="1" url="https://finance.yahoo.com/quote/PYPL/key-statistics?p=PYPL" htmlTables="1" htmlFormat="all"/>
  </connection>
  <connection id="7" xr16:uid="{00000000-0015-0000-FFFF-FFFF06000000}" name="Connection6" type="4" refreshedVersion="6" background="1" saveData="1">
    <webPr consecutive="1" xl2000="1" url="https://finance.yahoo.com/quote/AXP?p=AXP&amp;.tsrc=fin-srch" htmlTables="1" htmlFormat="all"/>
  </connection>
  <connection id="8" xr16:uid="{00000000-0015-0000-FFFF-FFFF07000000}" name="Connection7" type="4" refreshedVersion="6" background="1" saveData="1">
    <webPr consecutive="1" xl2000="1" url="https://finance.yahoo.com/quote/AXP/key-statistics?p=AXP" htmlTables="1" htmlFormat="all"/>
  </connection>
</connections>
</file>

<file path=xl/sharedStrings.xml><?xml version="1.0" encoding="utf-8"?>
<sst xmlns="http://schemas.openxmlformats.org/spreadsheetml/2006/main" count="1964" uniqueCount="536">
  <si>
    <t>Data provided by SimFin</t>
  </si>
  <si>
    <t>Profit &amp; Loss statement</t>
  </si>
  <si>
    <t>in million USD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</si>
  <si>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</si>
  <si>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</si>
  <si>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</si>
  <si>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</si>
  <si>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</si>
  <si>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</si>
  <si>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</si>
  <si>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</si>
  <si>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</si>
  <si>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FY '19</t>
  </si>
  <si>
    <t>Revenue</t>
  </si>
  <si>
    <t>Gross Profit</t>
  </si>
  <si>
    <t>Operating Expenses</t>
  </si>
  <si>
    <t>Operating Income (Loss)</t>
  </si>
  <si>
    <t>Non-Operating Income (Loss)</t>
  </si>
  <si>
    <t>Pretax Income (Loss), Adjusted</t>
  </si>
  <si>
    <t>Abnormal Gains (Losses)</t>
  </si>
  <si>
    <t>Pretax Income (Loss)</t>
  </si>
  <si>
    <t>Income Tax (Expense) Benefit, net</t>
  </si>
  <si>
    <t>Income (Loss) Including Minority Interest</t>
  </si>
  <si>
    <t>Minority Interest</t>
  </si>
  <si>
    <t>Net Income Available to Common Shareholders</t>
  </si>
  <si>
    <t>Balance Sheet</t>
  </si>
  <si>
    <t>Assets</t>
  </si>
  <si>
    <t>Cash, Cash Equivalents &amp; Short Term Investments</t>
  </si>
  <si>
    <t>Accounts &amp; Notes Receivable</t>
  </si>
  <si>
    <t>Other Short Term Assets</t>
  </si>
  <si>
    <t>Total Current Assets</t>
  </si>
  <si>
    <t>Property, Plant &amp; Equipment, Net</t>
  </si>
  <si>
    <t>Long Term Investments &amp; Receivables</t>
  </si>
  <si>
    <t>Other Long Term Assets</t>
  </si>
  <si>
    <t>Total Noncurrent Assets</t>
  </si>
  <si>
    <t>Total Assets</t>
  </si>
  <si>
    <t>Liabilities</t>
  </si>
  <si>
    <t>Payables &amp; Accruals</t>
  </si>
  <si>
    <t>Short Term Debt</t>
  </si>
  <si>
    <t>Other Short Term Liabilities</t>
  </si>
  <si>
    <t>Total Current Liabilities</t>
  </si>
  <si>
    <t>Long Term Debt</t>
  </si>
  <si>
    <t>Other Long Term Liabilities</t>
  </si>
  <si>
    <t>Total Noncurrent Liabilities</t>
  </si>
  <si>
    <t>Total Liabilities</t>
  </si>
  <si>
    <t>Preferred Equity</t>
  </si>
  <si>
    <t>Share Capital &amp; Additional Paid-In Capital</t>
  </si>
  <si>
    <t>Treasury Stock</t>
  </si>
  <si>
    <t>Retained Earnings</t>
  </si>
  <si>
    <t>Other Equity</t>
  </si>
  <si>
    <t>Equity Before Minority Interest</t>
  </si>
  <si>
    <t>Total Equity</t>
  </si>
  <si>
    <t>Total Liabilities &amp; Equity</t>
  </si>
  <si>
    <t>Cash Flow statement</t>
  </si>
  <si>
    <t>Net Income/Starting Line</t>
  </si>
  <si>
    <t>Depreciation &amp; Amortization</t>
  </si>
  <si>
    <t>Non-Cash Items</t>
  </si>
  <si>
    <t>Change in Working Capital</t>
  </si>
  <si>
    <t>Cash from Operating Activities</t>
  </si>
  <si>
    <t>Change in Fixed Assets &amp; Intangibles</t>
  </si>
  <si>
    <t>Net Change in Long Term Investment</t>
  </si>
  <si>
    <t>Net Cash From Acquisitions &amp; Divestitures</t>
  </si>
  <si>
    <t>Other Investing Activities</t>
  </si>
  <si>
    <t>Cash from Investing Activities</t>
  </si>
  <si>
    <t>Dividends Paid</t>
  </si>
  <si>
    <t>Cash From (Repayment of) Debt</t>
  </si>
  <si>
    <t>Cash From (Repurchase of) Equity</t>
  </si>
  <si>
    <t>Other Financing Activities</t>
  </si>
  <si>
    <t>Cash from Financing Activities</t>
  </si>
  <si>
    <t>Net Cash Before FX</t>
  </si>
  <si>
    <t>Effect of Foreign Exchange Rates</t>
  </si>
  <si>
    <t>Net Changes in Cash</t>
  </si>
  <si>
    <t>Net Revenue</t>
  </si>
  <si>
    <t>Provision for Loan Losses</t>
  </si>
  <si>
    <t>Net Revenue after Provisions</t>
  </si>
  <si>
    <t>Total Non-Interest Expense</t>
  </si>
  <si>
    <t>Income (Loss) from Continuing Operations</t>
  </si>
  <si>
    <t>Net Extraordinary Gains (Losses)</t>
  </si>
  <si>
    <t>Cash &amp; Cash Equivalents</t>
  </si>
  <si>
    <t>Interbank assets</t>
  </si>
  <si>
    <t>Short and Long Term Investments</t>
  </si>
  <si>
    <t>Net Receivables</t>
  </si>
  <si>
    <t>Net Loans</t>
  </si>
  <si>
    <t>Net Fixed Assets</t>
  </si>
  <si>
    <t>Customer Acceptances &amp; Liabilities</t>
  </si>
  <si>
    <t>Other Assets</t>
  </si>
  <si>
    <t>Total Deposits</t>
  </si>
  <si>
    <t>Short Term Borrowings &amp; Repos</t>
  </si>
  <si>
    <t>Other Liabilities</t>
  </si>
  <si>
    <t>Net Change in Operating Capital</t>
  </si>
  <si>
    <t>Net Change in Investments</t>
  </si>
  <si>
    <t>Net Change in Loans &amp; Interbank</t>
  </si>
  <si>
    <t>Net Change In Deposits</t>
  </si>
  <si>
    <t>Cash Conversion</t>
  </si>
  <si>
    <t>Net Debt</t>
  </si>
  <si>
    <t>EBITDA CAGR</t>
  </si>
  <si>
    <t>EBIT CAGR</t>
  </si>
  <si>
    <t>Net Income CAGR</t>
  </si>
  <si>
    <t>Shares</t>
  </si>
  <si>
    <t xml:space="preserve">Shares </t>
  </si>
  <si>
    <t>PE</t>
  </si>
  <si>
    <t>slope</t>
  </si>
  <si>
    <t>intercept</t>
  </si>
  <si>
    <t>correl</t>
  </si>
  <si>
    <t>R2</t>
  </si>
  <si>
    <t>AMEX</t>
  </si>
  <si>
    <t>VISA</t>
  </si>
  <si>
    <t>MasterCard</t>
  </si>
  <si>
    <t>PayPal</t>
  </si>
  <si>
    <t>EV/Ebitda</t>
  </si>
  <si>
    <t>Previous Close</t>
  </si>
  <si>
    <t>Open</t>
  </si>
  <si>
    <t>Bid</t>
  </si>
  <si>
    <t>Ask</t>
  </si>
  <si>
    <t>Day's Range</t>
  </si>
  <si>
    <t>52 Week Range</t>
  </si>
  <si>
    <t>133.93 - 214.17</t>
  </si>
  <si>
    <t>Volume</t>
  </si>
  <si>
    <t>Avg. Volume</t>
  </si>
  <si>
    <t>Market Cap</t>
  </si>
  <si>
    <t>Beta (5Y Monthly)</t>
  </si>
  <si>
    <t>PE Ratio (TTM)</t>
  </si>
  <si>
    <t>EPS (TTM)</t>
  </si>
  <si>
    <t>Earnings Date</t>
  </si>
  <si>
    <t>Apr 21, 2020 - Apr 26, 2020</t>
  </si>
  <si>
    <t>Forward Dividend &amp; Yield</t>
  </si>
  <si>
    <t>1.20 (0.71%)</t>
  </si>
  <si>
    <t>Ex-Dividend Date</t>
  </si>
  <si>
    <t>1y Target Est</t>
  </si>
  <si>
    <t>Current</t>
  </si>
  <si>
    <r>
      <t xml:space="preserve">Market Cap (intraday) </t>
    </r>
    <r>
      <rPr>
        <vertAlign val="superscript"/>
        <sz val="8.25"/>
        <color rgb="FF000000"/>
        <rFont val="Helvetica Neue"/>
        <family val="2"/>
      </rPr>
      <t>5</t>
    </r>
  </si>
  <si>
    <t>416.79B</t>
  </si>
  <si>
    <t>383.09B</t>
  </si>
  <si>
    <t>391.00B</t>
  </si>
  <si>
    <t>353.71B</t>
  </si>
  <si>
    <r>
      <t xml:space="preserve">Enterprise Value </t>
    </r>
    <r>
      <rPr>
        <vertAlign val="superscript"/>
        <sz val="8.25"/>
        <color rgb="FF000000"/>
        <rFont val="Helvetica Neue"/>
        <family val="2"/>
      </rPr>
      <t>3</t>
    </r>
  </si>
  <si>
    <t>426.91B</t>
  </si>
  <si>
    <t>394.07B</t>
  </si>
  <si>
    <t>401.57B</t>
  </si>
  <si>
    <t>364.06B</t>
  </si>
  <si>
    <t xml:space="preserve">Trailing P/E </t>
  </si>
  <si>
    <r>
      <t xml:space="preserve">Forward P/E </t>
    </r>
    <r>
      <rPr>
        <vertAlign val="superscript"/>
        <sz val="8.25"/>
        <color rgb="FF000000"/>
        <rFont val="Helvetica Neue"/>
        <family val="2"/>
      </rPr>
      <t>1</t>
    </r>
  </si>
  <si>
    <r>
      <t xml:space="preserve">PEG Ratio (5 yr expected) </t>
    </r>
    <r>
      <rPr>
        <vertAlign val="superscript"/>
        <sz val="8.25"/>
        <color rgb="FF000000"/>
        <rFont val="Helvetica Neue"/>
        <family val="2"/>
      </rPr>
      <t>1</t>
    </r>
  </si>
  <si>
    <t>Price/Sales (ttm)</t>
  </si>
  <si>
    <t>Price/Book (mrq)</t>
  </si>
  <si>
    <r>
      <t xml:space="preserve">Enterprise Value/Revenue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</si>
  <si>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Enterprise Value/EBITDA </t>
    </r>
    <r>
      <rPr>
        <vertAlign val="superscript"/>
        <sz val="8.25"/>
        <color rgb="FF000000"/>
        <rFont val="Helvetica Neue"/>
        <family val="2"/>
      </rPr>
      <t>6</t>
    </r>
  </si>
  <si>
    <t xml:space="preserve">Beta (5Y Monthly) </t>
  </si>
  <si>
    <r>
      <t xml:space="preserve">52-Week Change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</si>
  <si>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S&amp;P500 52-Week Change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</si>
  <si>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52 Week High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</si>
  <si>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52 Week Low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</si>
  <si>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50-Day Moving Average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</si>
  <si>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200-Day Moving Average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</si>
  <si>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Avg Vol (3 month)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</si>
  <si>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Avg Vol (10 day)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</si>
  <si>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Shares Outstanding </t>
    </r>
    <r>
      <rPr>
        <vertAlign val="superscript"/>
        <sz val="8.25"/>
        <color rgb="FF000000"/>
        <rFont val="Helvetica Neue"/>
        <family val="2"/>
      </rPr>
      <t>5</t>
    </r>
  </si>
  <si>
    <t>1.71B</t>
  </si>
  <si>
    <t xml:space="preserve">Float </t>
  </si>
  <si>
    <t>1.7B</t>
  </si>
  <si>
    <r>
      <t xml:space="preserve">% Held by Insiders </t>
    </r>
    <r>
      <rPr>
        <vertAlign val="superscript"/>
        <sz val="8.25"/>
        <color rgb="FF000000"/>
        <rFont val="Helvetica Neue"/>
        <family val="2"/>
      </rPr>
      <t>1</t>
    </r>
  </si>
  <si>
    <r>
      <t xml:space="preserve">% Held by Institutions </t>
    </r>
    <r>
      <rPr>
        <vertAlign val="superscript"/>
        <sz val="8.25"/>
        <color rgb="FF000000"/>
        <rFont val="Helvetica Neue"/>
        <family val="2"/>
      </rPr>
      <t>1</t>
    </r>
  </si>
  <si>
    <r>
      <t xml:space="preserve">Shares Short (Mar 12, 2020) </t>
    </r>
    <r>
      <rPr>
        <vertAlign val="superscript"/>
        <sz val="8.25"/>
        <color rgb="FF000000"/>
        <rFont val="Helvetica Neue"/>
        <family val="2"/>
      </rPr>
      <t>4</t>
    </r>
  </si>
  <si>
    <t>30.03M</t>
  </si>
  <si>
    <r>
      <t xml:space="preserve">Short Ratio (Mar 12, 2020) </t>
    </r>
    <r>
      <rPr>
        <vertAlign val="superscript"/>
        <sz val="8.25"/>
        <color rgb="FF000000"/>
        <rFont val="Helvetica Neue"/>
        <family val="2"/>
      </rPr>
      <t>4</t>
    </r>
  </si>
  <si>
    <r>
      <t xml:space="preserve">Short % of Float (Mar 12, 2020) </t>
    </r>
    <r>
      <rPr>
        <vertAlign val="superscript"/>
        <sz val="8.25"/>
        <color rgb="FF000000"/>
        <rFont val="Helvetica Neue"/>
        <family val="2"/>
      </rPr>
      <t>4</t>
    </r>
  </si>
  <si>
    <r>
      <t xml:space="preserve">Short % of Shares Outstanding (Mar 12, 2020) </t>
    </r>
    <r>
      <rPr>
        <vertAlign val="superscript"/>
        <sz val="8.25"/>
        <color rgb="FF000000"/>
        <rFont val="Helvetica Neue"/>
        <family val="2"/>
      </rPr>
      <t>4</t>
    </r>
  </si>
  <si>
    <r>
      <t xml:space="preserve">Shares Short (prior month Feb 13, 2020) </t>
    </r>
    <r>
      <rPr>
        <vertAlign val="superscript"/>
        <sz val="8.25"/>
        <color rgb="FF000000"/>
        <rFont val="Helvetica Neue"/>
        <family val="2"/>
      </rPr>
      <t>4</t>
    </r>
  </si>
  <si>
    <t>25.4M</t>
  </si>
  <si>
    <r>
      <t xml:space="preserve">Forward Annual Dividend Rate </t>
    </r>
    <r>
      <rPr>
        <vertAlign val="superscript"/>
        <sz val="8.25"/>
        <color rgb="FF000000"/>
        <rFont val="Helvetica Neue"/>
        <family val="2"/>
      </rPr>
      <t>4</t>
    </r>
  </si>
  <si>
    <r>
      <t xml:space="preserve">Forward Annual Dividend Yield </t>
    </r>
    <r>
      <rPr>
        <vertAlign val="superscript"/>
        <sz val="8.25"/>
        <color rgb="FF000000"/>
        <rFont val="Helvetica Neue"/>
        <family val="2"/>
      </rPr>
      <t>4</t>
    </r>
  </si>
  <si>
    <r>
      <t xml:space="preserve">Trailing Annual Dividend Rate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</si>
  <si>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Trailing Annual Dividend Yield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</si>
  <si>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5 Year Average Dividend Yield </t>
    </r>
    <r>
      <rPr>
        <vertAlign val="superscript"/>
        <sz val="8.25"/>
        <color rgb="FF000000"/>
        <rFont val="Helvetica Neue"/>
        <family val="2"/>
      </rPr>
      <t>4</t>
    </r>
  </si>
  <si>
    <r>
      <t xml:space="preserve">Payout Ratio </t>
    </r>
    <r>
      <rPr>
        <vertAlign val="superscript"/>
        <sz val="8.25"/>
        <color rgb="FF000000"/>
        <rFont val="Helvetica Neue"/>
        <family val="2"/>
      </rPr>
      <t>4</t>
    </r>
  </si>
  <si>
    <r>
      <t xml:space="preserve">Dividend Date </t>
    </r>
    <r>
      <rPr>
        <vertAlign val="superscript"/>
        <sz val="8.25"/>
        <color rgb="FF000000"/>
        <rFont val="Helvetica Neue"/>
        <family val="2"/>
      </rPr>
      <t>3</t>
    </r>
  </si>
  <si>
    <r>
      <t xml:space="preserve">Ex-Dividend Date </t>
    </r>
    <r>
      <rPr>
        <vertAlign val="superscript"/>
        <sz val="8.25"/>
        <color rgb="FF000000"/>
        <rFont val="Helvetica Neue"/>
        <family val="2"/>
      </rPr>
      <t>4</t>
    </r>
  </si>
  <si>
    <r>
      <t xml:space="preserve">Last Split Factor </t>
    </r>
    <r>
      <rPr>
        <vertAlign val="superscript"/>
        <sz val="8.25"/>
        <color rgb="FF000000"/>
        <rFont val="Helvetica Neue"/>
        <family val="2"/>
      </rPr>
      <t>2</t>
    </r>
  </si>
  <si>
    <r>
      <t xml:space="preserve">Last Split Date </t>
    </r>
    <r>
      <rPr>
        <vertAlign val="superscript"/>
        <sz val="8.25"/>
        <color rgb="FF000000"/>
        <rFont val="Helvetica Neue"/>
        <family val="2"/>
      </rPr>
      <t>3</t>
    </r>
  </si>
  <si>
    <t xml:space="preserve">Fiscal Year Ends </t>
  </si>
  <si>
    <t>Most Recent Quarter (mrq)</t>
  </si>
  <si>
    <t xml:space="preserve">Profit Margin </t>
  </si>
  <si>
    <t>Operating Margin (ttm)</t>
  </si>
  <si>
    <t>Return on Assets (ttm)</t>
  </si>
  <si>
    <t>Return on Equity (ttm)</t>
  </si>
  <si>
    <t>Revenue (ttm)</t>
  </si>
  <si>
    <t>23.52B</t>
  </si>
  <si>
    <t>Revenue Per Share (ttm)</t>
  </si>
  <si>
    <t>Quarterly Revenue Growth (yoy)</t>
  </si>
  <si>
    <t>Gross Profit (ttm)</t>
  </si>
  <si>
    <t>22.26B</t>
  </si>
  <si>
    <t xml:space="preserve">EBITDA </t>
  </si>
  <si>
    <t>16.05B</t>
  </si>
  <si>
    <t>Net Income Avi to Common (ttm)</t>
  </si>
  <si>
    <t>11.93B</t>
  </si>
  <si>
    <t>Diluted EPS (ttm)</t>
  </si>
  <si>
    <t>Quarterly Earnings Growth (yoy)</t>
  </si>
  <si>
    <t>Total Cash (mrq)</t>
  </si>
  <si>
    <t>12.67B</t>
  </si>
  <si>
    <t>Total Cash Per Share (mrq)</t>
  </si>
  <si>
    <t>Total Debt (mrq)</t>
  </si>
  <si>
    <t>17.26B</t>
  </si>
  <si>
    <t>Total Debt/Equity (mrq)</t>
  </si>
  <si>
    <t>Current Ratio (mrq)</t>
  </si>
  <si>
    <t>Book Value Per Share (mrq)</t>
  </si>
  <si>
    <t>Operating Cash Flow (ttm)</t>
  </si>
  <si>
    <t>13.37B</t>
  </si>
  <si>
    <t>Levered Free Cash Flow (ttm)</t>
  </si>
  <si>
    <t>9.65B</t>
  </si>
  <si>
    <t>199.99 - 347.25</t>
  </si>
  <si>
    <t>Apr 27, 2020 - May 03, 2020</t>
  </si>
  <si>
    <t>300.68B</t>
  </si>
  <si>
    <t>274.29B</t>
  </si>
  <si>
    <t>270.20B</t>
  </si>
  <si>
    <t>241.55B</t>
  </si>
  <si>
    <t>302.56B</t>
  </si>
  <si>
    <t>275.59B</t>
  </si>
  <si>
    <t>269.32B</t>
  </si>
  <si>
    <t>239.51B</t>
  </si>
  <si>
    <t>992.79M</t>
  </si>
  <si>
    <t>8.22M</t>
  </si>
  <si>
    <t>6.43M</t>
  </si>
  <si>
    <t>16.88B</t>
  </si>
  <si>
    <t>10.19B</t>
  </si>
  <si>
    <t>8.12B</t>
  </si>
  <si>
    <t>7.68B</t>
  </si>
  <si>
    <t>9.29B</t>
  </si>
  <si>
    <t>8.18B</t>
  </si>
  <si>
    <t>6.46B</t>
  </si>
  <si>
    <t>126.88B</t>
  </si>
  <si>
    <t>121.61B</t>
  </si>
  <si>
    <t>134.48B</t>
  </si>
  <si>
    <t>121.72B</t>
  </si>
  <si>
    <t>121.39B</t>
  </si>
  <si>
    <t>115.70B</t>
  </si>
  <si>
    <t>128.63B</t>
  </si>
  <si>
    <t>114.61B</t>
  </si>
  <si>
    <t>1.17B</t>
  </si>
  <si>
    <t>16.12M</t>
  </si>
  <si>
    <t>13.07M</t>
  </si>
  <si>
    <t>N/A</t>
  </si>
  <si>
    <t>17.77B</t>
  </si>
  <si>
    <t>7.99B</t>
  </si>
  <si>
    <t>3.4B</t>
  </si>
  <si>
    <t>2.46B</t>
  </si>
  <si>
    <t>10.76B</t>
  </si>
  <si>
    <t>5.47B</t>
  </si>
  <si>
    <t>4.56B</t>
  </si>
  <si>
    <t>1.96B</t>
  </si>
  <si>
    <t>100.84B</t>
  </si>
  <si>
    <t>97.11B</t>
  </si>
  <si>
    <t>103.08B</t>
  </si>
  <si>
    <t>91.68B</t>
  </si>
  <si>
    <t>805.78M</t>
  </si>
  <si>
    <t>653.92M</t>
  </si>
  <si>
    <t>11.84M</t>
  </si>
  <si>
    <t>7.84M</t>
  </si>
  <si>
    <t>10000:8753</t>
  </si>
  <si>
    <t>39.98B</t>
  </si>
  <si>
    <t>27.32B</t>
  </si>
  <si>
    <t>6.63B</t>
  </si>
  <si>
    <t>24B</t>
  </si>
  <si>
    <t>65.4B</t>
  </si>
  <si>
    <t>13.63B</t>
  </si>
  <si>
    <t>67.00 - 138.13</t>
  </si>
  <si>
    <t>82.07 - 124.45</t>
  </si>
  <si>
    <t>N/A (N/A)</t>
  </si>
  <si>
    <t>EBITDA</t>
  </si>
  <si>
    <t>Amex</t>
  </si>
  <si>
    <t>Visa</t>
  </si>
  <si>
    <t>P/E Ratio</t>
  </si>
  <si>
    <t>Rev. CAGR</t>
  </si>
  <si>
    <t>Revenue (B$)</t>
  </si>
  <si>
    <t>EV/EBITDA</t>
  </si>
  <si>
    <t>PEG Ratio (5y)</t>
  </si>
  <si>
    <t>Forward PE</t>
  </si>
  <si>
    <t>Market Cap (B$)</t>
  </si>
  <si>
    <t>Company</t>
  </si>
  <si>
    <t>Date</t>
  </si>
  <si>
    <t>Mastercard Stock Price</t>
  </si>
  <si>
    <t>Mastercard Earnings (m)</t>
  </si>
  <si>
    <t>Mastercard EPS</t>
  </si>
  <si>
    <t>Mastercard P/E Ratio</t>
  </si>
  <si>
    <t>2014-12-19</t>
  </si>
  <si>
    <t>2015-12-21</t>
  </si>
  <si>
    <t>2016-12-19</t>
  </si>
  <si>
    <t>2017-12-19</t>
  </si>
  <si>
    <t>2018-12-19</t>
  </si>
  <si>
    <t>2019-12-19</t>
  </si>
  <si>
    <t>2020-04-06</t>
  </si>
  <si>
    <t>Visa Stock Price</t>
  </si>
  <si>
    <t>VISA Earnings (m)</t>
  </si>
  <si>
    <t>VISA EPS</t>
  </si>
  <si>
    <t>VISA P/E Ratio</t>
  </si>
  <si>
    <t>PayPal Stock Price</t>
  </si>
  <si>
    <t>American Express Stock Price</t>
  </si>
  <si>
    <t>PayPal Earnings (m)</t>
  </si>
  <si>
    <t>American Express Earnings (m)</t>
  </si>
  <si>
    <t>PayPal EPS</t>
  </si>
  <si>
    <t>American Express EPS</t>
  </si>
  <si>
    <t>PayPal P/E Ratio</t>
  </si>
  <si>
    <t>American Express P/E Ratio</t>
  </si>
  <si>
    <t>Visa EV/EBITDA</t>
  </si>
  <si>
    <t>Mastercard EV/EBITDA</t>
  </si>
  <si>
    <t>PayPal EV/EBITDA</t>
  </si>
  <si>
    <t>Visa Market Cap.</t>
  </si>
  <si>
    <t>Mastercard Market Cap.</t>
  </si>
  <si>
    <t>PayPal Market Cap.</t>
  </si>
  <si>
    <t>American Express Market Cap.</t>
  </si>
  <si>
    <t>Visa Enterprise Value</t>
  </si>
  <si>
    <t>Mastercard Enterprise Value</t>
  </si>
  <si>
    <t>PayPal Enterprise Value</t>
  </si>
  <si>
    <t>Visa EBITDA</t>
  </si>
  <si>
    <t>Mastercard EBITDA</t>
  </si>
  <si>
    <t>PayPal EBITDA</t>
  </si>
  <si>
    <t>American Express EBITDA</t>
  </si>
  <si>
    <t>Amex P/E Ratio</t>
  </si>
  <si>
    <t>Amex EPS</t>
  </si>
  <si>
    <t>Amex Stock Price</t>
  </si>
  <si>
    <t>Ameex Earnings (m)</t>
  </si>
  <si>
    <t>Amex EV/EBITDA</t>
  </si>
  <si>
    <t>Amex Enterprise Value</t>
  </si>
  <si>
    <t>Visa Cash Con.</t>
  </si>
  <si>
    <t>Mastercard Cash Con.</t>
  </si>
  <si>
    <t>PayPal Cash Con.</t>
  </si>
  <si>
    <t>Amex Cash Con.</t>
  </si>
  <si>
    <t>Revenue Growth</t>
  </si>
  <si>
    <t>As of Date: 4/7/2020</t>
  </si>
  <si>
    <t>997.45M</t>
  </si>
  <si>
    <t>1.60 (0.62%)</t>
  </si>
  <si>
    <t>1.72 (1.96%)</t>
  </si>
  <si>
    <t>EPS  CAGR</t>
  </si>
  <si>
    <t>EBITDA  CAGR</t>
  </si>
  <si>
    <t>175.50 x 1000</t>
  </si>
  <si>
    <t>176.41 x 1200</t>
  </si>
  <si>
    <t>167.93 - 176.00</t>
  </si>
  <si>
    <t>387.648B</t>
  </si>
  <si>
    <t>As of Date: 4/8/2020</t>
  </si>
  <si>
    <t>373.58B</t>
  </si>
  <si>
    <t>383.06B</t>
  </si>
  <si>
    <t>13.49M</t>
  </si>
  <si>
    <t>14.75M</t>
  </si>
  <si>
    <t>271.10 x 800</t>
  </si>
  <si>
    <t>277.03 x 1200</t>
  </si>
  <si>
    <t>258.91 - 271.88</t>
  </si>
  <si>
    <t>272.335B</t>
  </si>
  <si>
    <t>260.40B</t>
  </si>
  <si>
    <t>261.25B</t>
  </si>
  <si>
    <t>6.76M</t>
  </si>
  <si>
    <t>7.04M</t>
  </si>
  <si>
    <t>117.62B</t>
  </si>
  <si>
    <t>111.83B</t>
  </si>
  <si>
    <t>9.69M</t>
  </si>
  <si>
    <t>9.36M</t>
  </si>
  <si>
    <t>0.00 x 900</t>
  </si>
  <si>
    <t>104.90 x 900</t>
  </si>
  <si>
    <t>100.75 - 105.50</t>
  </si>
  <si>
    <t>123.231B</t>
  </si>
  <si>
    <t>92.00 x 2200</t>
  </si>
  <si>
    <t>93.00 x 1000</t>
  </si>
  <si>
    <t>88.12 - 93.00</t>
  </si>
  <si>
    <t>74.196B</t>
  </si>
  <si>
    <t>70.57B</t>
  </si>
  <si>
    <t>6.26M</t>
  </si>
  <si>
    <t>7.82M</t>
  </si>
  <si>
    <t>Net Income  CAGR</t>
  </si>
  <si>
    <t>EV/Net Income</t>
  </si>
  <si>
    <t>2017 Revenue</t>
  </si>
  <si>
    <t>2019 Revenue</t>
  </si>
  <si>
    <t>2017-19 Rev. CAGR</t>
  </si>
  <si>
    <t>2017 EBITDA</t>
  </si>
  <si>
    <t>2019 EBITDA</t>
  </si>
  <si>
    <t>2017-19 EBITDA CAGR</t>
  </si>
  <si>
    <t>2017 EBIT</t>
  </si>
  <si>
    <t>2019 EBIT</t>
  </si>
  <si>
    <t>2017-19 EBIT CAGR</t>
  </si>
  <si>
    <t>2017 Net Income</t>
  </si>
  <si>
    <t>2019 Net Income</t>
  </si>
  <si>
    <t>2017-19 Net Income CAGR</t>
  </si>
  <si>
    <t>7.77%</t>
  </si>
  <si>
    <t>8.19%</t>
  </si>
  <si>
    <t>8.37%</t>
  </si>
  <si>
    <t>6.07%</t>
  </si>
  <si>
    <t>10.55%</t>
  </si>
  <si>
    <t>13.34%</t>
  </si>
  <si>
    <t>14.27%</t>
  </si>
  <si>
    <t>7.57%</t>
  </si>
  <si>
    <t>American Express</t>
  </si>
  <si>
    <t>4.53%</t>
  </si>
  <si>
    <t>5.15%</t>
  </si>
  <si>
    <t>2.99%</t>
  </si>
  <si>
    <t>8.89%</t>
  </si>
  <si>
    <t>10.72%</t>
  </si>
  <si>
    <t>7.29%</t>
  </si>
  <si>
    <t>10.87%</t>
  </si>
  <si>
    <t>3.2%</t>
  </si>
  <si>
    <t>2012 Revenue</t>
  </si>
  <si>
    <t>2012-17 Rev. CAGR</t>
  </si>
  <si>
    <t>2012 EBIT</t>
  </si>
  <si>
    <t>2012-17 EBIT CAGR</t>
  </si>
  <si>
    <t>2012 Net Income</t>
  </si>
  <si>
    <t>2012-17 Net Income CAGR</t>
  </si>
  <si>
    <t>2012 EBITDA</t>
  </si>
  <si>
    <t>2012-17 EBITDA CAGR</t>
  </si>
  <si>
    <t>7.33%</t>
  </si>
  <si>
    <t>26.94%</t>
  </si>
  <si>
    <t>24.12%</t>
  </si>
  <si>
    <t>11.96%</t>
  </si>
  <si>
    <t>6.79%</t>
  </si>
  <si>
    <t>11.99%</t>
  </si>
  <si>
    <t>14.44%</t>
  </si>
  <si>
    <t>11.81%</t>
  </si>
  <si>
    <t>1.97%</t>
  </si>
  <si>
    <t>2.9%</t>
  </si>
  <si>
    <t>4.63%</t>
  </si>
  <si>
    <t>3.62%</t>
  </si>
  <si>
    <t>13.02%</t>
  </si>
  <si>
    <t>24.17%</t>
  </si>
  <si>
    <t>55.65%</t>
  </si>
  <si>
    <t>21.79%</t>
  </si>
  <si>
    <t>9.9%</t>
  </si>
  <si>
    <t>16.25%</t>
  </si>
  <si>
    <t>32.04%</t>
  </si>
  <si>
    <t>20.91%</t>
  </si>
  <si>
    <t>9.15%</t>
  </si>
  <si>
    <t>16.05%</t>
  </si>
  <si>
    <t>8.8%</t>
  </si>
  <si>
    <t>6.01%</t>
  </si>
  <si>
    <t>2.63%</t>
  </si>
  <si>
    <t>4.86%</t>
  </si>
  <si>
    <t>2.37%</t>
  </si>
  <si>
    <t>-7.83%</t>
  </si>
  <si>
    <t>14.93%</t>
  </si>
  <si>
    <t>43.87%</t>
  </si>
  <si>
    <t>11.77%</t>
  </si>
  <si>
    <t>9.0%</t>
  </si>
  <si>
    <t>2.26%</t>
  </si>
  <si>
    <t>8.5%</t>
  </si>
  <si>
    <t>9.72%</t>
  </si>
  <si>
    <t>27.44%</t>
  </si>
  <si>
    <t>10.1%</t>
  </si>
  <si>
    <t>2010-19 Rev. CAGR</t>
  </si>
  <si>
    <t>2010-19 EBITDA CAGR</t>
  </si>
  <si>
    <t>2010-19 EBIT CAGR</t>
  </si>
  <si>
    <t>2010-19 Net Income CAGR</t>
  </si>
  <si>
    <t>+</t>
  </si>
  <si>
    <t>Growth %</t>
  </si>
  <si>
    <t>Sales Revenue</t>
  </si>
  <si>
    <t>Net Income</t>
  </si>
  <si>
    <t>CAPEX</t>
  </si>
  <si>
    <t>Working Capital</t>
  </si>
  <si>
    <t>Debt to Cash</t>
  </si>
  <si>
    <t>Debt-Cash</t>
  </si>
  <si>
    <t>Debt ($B)</t>
  </si>
  <si>
    <t>Equity ($B)</t>
  </si>
  <si>
    <t>Security</t>
  </si>
  <si>
    <t>5 Years</t>
  </si>
  <si>
    <t>2 Years</t>
  </si>
  <si>
    <t>1 Year</t>
  </si>
  <si>
    <t>6 Months</t>
  </si>
  <si>
    <t>3 Months</t>
  </si>
  <si>
    <t>1 Month</t>
  </si>
  <si>
    <t>nan%</t>
  </si>
  <si>
    <t>Nasdaq Index</t>
  </si>
  <si>
    <t>Revenue CAGR</t>
  </si>
  <si>
    <t>2014-2019</t>
  </si>
  <si>
    <t>CAGR (6Y)</t>
  </si>
  <si>
    <t>CAGR (10Y)</t>
  </si>
  <si>
    <t>EPS</t>
  </si>
  <si>
    <t>Profit Margin</t>
  </si>
  <si>
    <t>Mean (10Y)</t>
  </si>
  <si>
    <t>Mean (6Y)</t>
  </si>
  <si>
    <t>Cash Conversion MEAN</t>
  </si>
  <si>
    <t>As of 06/04/2020</t>
  </si>
  <si>
    <t>FY '20</t>
  </si>
  <si>
    <t>FY '21</t>
  </si>
  <si>
    <t>FY '22</t>
  </si>
  <si>
    <t>% Growth</t>
  </si>
  <si>
    <t>EBIT</t>
  </si>
  <si>
    <t>Interest Expense</t>
  </si>
  <si>
    <t>Pre-Tax Income</t>
  </si>
  <si>
    <t>Taxes</t>
  </si>
  <si>
    <t>Income Statement</t>
  </si>
  <si>
    <t>Cash Flow</t>
  </si>
  <si>
    <t>Capital Expenditures</t>
  </si>
  <si>
    <t>Dividends</t>
  </si>
  <si>
    <t>Free Cash Flow</t>
  </si>
  <si>
    <t>Leverage</t>
  </si>
  <si>
    <t>Net Debt BoP</t>
  </si>
  <si>
    <t>Net Cash Flow</t>
  </si>
  <si>
    <t>FY '23</t>
  </si>
  <si>
    <t>FY '24</t>
  </si>
  <si>
    <t>Net Debt EoP</t>
  </si>
  <si>
    <t>Change</t>
  </si>
  <si>
    <t>EBITDA X</t>
  </si>
  <si>
    <t>Valuation</t>
  </si>
  <si>
    <t>Operating Cash Flow</t>
  </si>
  <si>
    <t>Tax on UCFC</t>
  </si>
  <si>
    <t>NOPAT</t>
  </si>
  <si>
    <t>Market Assumptions</t>
  </si>
  <si>
    <t>Riskfree Rate</t>
  </si>
  <si>
    <t>Market Risk Premium</t>
  </si>
  <si>
    <t>Equity Assumptions</t>
  </si>
  <si>
    <t>Beta</t>
  </si>
  <si>
    <t>Cost of Equity</t>
  </si>
  <si>
    <t>MV of Equity est($M)</t>
  </si>
  <si>
    <t>Debt Assumptions</t>
  </si>
  <si>
    <t>Pre-Tax Cost of Debt</t>
  </si>
  <si>
    <t>Effective Tax Rate</t>
  </si>
  <si>
    <t>After-Tax Cost of Debt</t>
  </si>
  <si>
    <t>MV of Debt est ($M)</t>
  </si>
  <si>
    <t>Firm Assumptions</t>
  </si>
  <si>
    <t>Firm Value est ($M)</t>
  </si>
  <si>
    <t>Debt-to-MV Ratio</t>
  </si>
  <si>
    <t>WACC</t>
  </si>
  <si>
    <t xml:space="preserve"> </t>
  </si>
  <si>
    <t>G Perpetual Growth Rate</t>
  </si>
  <si>
    <t>Years</t>
  </si>
  <si>
    <t>Discount Factor</t>
  </si>
  <si>
    <t>Discounted NOPAT</t>
  </si>
  <si>
    <t>Terminal Value</t>
  </si>
  <si>
    <t>Discounted Terminal Value</t>
  </si>
  <si>
    <t>Total Enterprise Value</t>
  </si>
  <si>
    <t>Less Net Debt FY'19</t>
  </si>
  <si>
    <t>Equity Value</t>
  </si>
  <si>
    <t>NOSH</t>
  </si>
  <si>
    <t>Share Price</t>
  </si>
  <si>
    <t>Total Forecast Period</t>
  </si>
  <si>
    <t>NWC</t>
  </si>
  <si>
    <t>NWC % Sales</t>
  </si>
  <si>
    <t xml:space="preserve">  </t>
  </si>
  <si>
    <t>FY '25</t>
  </si>
  <si>
    <t>FY '26</t>
  </si>
  <si>
    <t>FY '27</t>
  </si>
  <si>
    <t>FY '28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</si>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</sst>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#,##0.0"/>
  </numFmts>
  <fonts count="47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FFFF"/>
      <name val="Helvetic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vertAlign val="superscript"/>
      <sz val="8.25"/>
      <color rgb="FF000000"/>
      <name val="Helvetica Neue"/>
      <family val="2"/>
    </font>
    <font>
      <b/>
      <i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i/>
      <sz val="11"/>
      <color rgb="FF000000"/>
      <name val="Calibri"/>
      <family val="2"/>
    </font>
    <font>
      <sz val="14"/>
      <color rgb="FF000000"/>
      <name val="Calibri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sz val="10"/>
      <color rgb="FF000000"/>
      <name val="Helvetica"/>
      <family val="2"/>
    </font>
    <font>
      <b/>
      <sz val="10"/>
      <color rgb="FF000000"/>
      <name val="Helvetica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2060"/>
      <name val="Calibri"/>
      <family val="2"/>
    </font>
    <font>
      <b/>
      <sz val="12"/>
      <color theme="1"/>
      <name val="Calibri"/>
      <family val="2"/>
    </font>
    <font>
      <b/>
      <sz val="12"/>
      <color rgb="FF0045B7"/>
      <name val="Calibri"/>
      <family val="2"/>
    </font>
    <font>
      <b/>
      <sz val="12"/>
      <name val="Calibri"/>
      <family val="2"/>
    </font>
    <font>
      <i/>
      <sz val="12"/>
      <color theme="1"/>
      <name val="Calibri"/>
      <family val="2"/>
    </font>
    <font>
      <sz val="12"/>
      <color rgb="FF0045B7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color rgb="FF002060"/>
      <name val="Calibri"/>
      <family val="2"/>
    </font>
    <font>
      <sz val="12"/>
      <color rgb="FF1A0A56"/>
      <name val="Calibri"/>
      <family val="2"/>
    </font>
    <font>
      <sz val="12"/>
      <color rgb="FF0000FF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5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2" fillId="2" borderId="0"/>
    <xf numFmtId="43" fontId="2" fillId="2" borderId="0" applyFont="0" applyFill="0" applyBorder="0" applyAlignment="0" applyProtection="0"/>
    <xf numFmtId="9" fontId="2" fillId="2" borderId="0" applyFont="0" applyFill="0" applyBorder="0" applyAlignment="0" applyProtection="0"/>
  </cellStyleXfs>
  <cellXfs count="267">
    <xf numFmtId="0" fontId="0" fillId="2" borderId="0" xfId="0" applyFill="1"/>
    <xf numFmtId="3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3" fontId="2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6" fillId="2" borderId="0" xfId="0" applyFont="1" applyFill="1" applyAlignment="1">
      <alignment vertical="center" wrapText="1"/>
    </xf>
    <xf numFmtId="3" fontId="6" fillId="2" borderId="0" xfId="0" applyNumberFormat="1" applyFont="1" applyFill="1" applyAlignment="1">
      <alignment vertical="center" wrapText="1"/>
    </xf>
    <xf numFmtId="15" fontId="6" fillId="2" borderId="0" xfId="0" applyNumberFormat="1" applyFont="1" applyFill="1" applyAlignment="1">
      <alignment vertical="center" wrapText="1"/>
    </xf>
    <xf numFmtId="10" fontId="6" fillId="2" borderId="0" xfId="0" applyNumberFormat="1" applyFont="1" applyFill="1" applyAlignment="1">
      <alignment vertical="center" wrapText="1"/>
    </xf>
    <xf numFmtId="20" fontId="6" fillId="2" borderId="0" xfId="0" applyNumberFormat="1" applyFont="1" applyFill="1" applyAlignment="1">
      <alignment vertical="center" wrapText="1"/>
    </xf>
    <xf numFmtId="0" fontId="0" fillId="0" borderId="0" xfId="0" applyFill="1"/>
    <xf numFmtId="3" fontId="0" fillId="0" borderId="0" xfId="0" applyNumberFormat="1" applyFill="1" applyAlignment="1">
      <alignment horizontal="left" vertical="center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top"/>
    </xf>
    <xf numFmtId="0" fontId="11" fillId="2" borderId="0" xfId="0" applyFont="1" applyFill="1"/>
    <xf numFmtId="0" fontId="0" fillId="2" borderId="0" xfId="0" applyFill="1" applyBorder="1"/>
    <xf numFmtId="165" fontId="11" fillId="2" borderId="0" xfId="0" applyNumberFormat="1" applyFont="1" applyFill="1"/>
    <xf numFmtId="0" fontId="12" fillId="2" borderId="2" xfId="0" applyFont="1" applyFill="1" applyBorder="1" applyAlignment="1">
      <alignment horizontal="center" vertical="top"/>
    </xf>
    <xf numFmtId="165" fontId="13" fillId="2" borderId="0" xfId="0" applyNumberFormat="1" applyFont="1" applyFill="1" applyAlignment="1">
      <alignment horizontal="left"/>
    </xf>
    <xf numFmtId="0" fontId="14" fillId="2" borderId="2" xfId="0" applyFont="1" applyFill="1" applyBorder="1" applyAlignment="1">
      <alignment horizontal="center" vertical="top"/>
    </xf>
    <xf numFmtId="0" fontId="15" fillId="2" borderId="2" xfId="0" applyFont="1" applyFill="1" applyBorder="1" applyAlignment="1">
      <alignment horizontal="center" vertical="top"/>
    </xf>
    <xf numFmtId="165" fontId="14" fillId="2" borderId="2" xfId="0" applyNumberFormat="1" applyFont="1" applyFill="1" applyBorder="1" applyAlignment="1">
      <alignment horizontal="center" vertical="top"/>
    </xf>
    <xf numFmtId="165" fontId="12" fillId="2" borderId="2" xfId="0" applyNumberFormat="1" applyFont="1" applyFill="1" applyBorder="1" applyAlignment="1">
      <alignment horizontal="center" vertical="top"/>
    </xf>
    <xf numFmtId="165" fontId="10" fillId="2" borderId="2" xfId="0" applyNumberFormat="1" applyFont="1" applyFill="1" applyBorder="1" applyAlignment="1">
      <alignment horizontal="center" vertical="top"/>
    </xf>
    <xf numFmtId="165" fontId="15" fillId="2" borderId="2" xfId="0" applyNumberFormat="1" applyFont="1" applyFill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top"/>
    </xf>
    <xf numFmtId="1" fontId="13" fillId="2" borderId="0" xfId="0" applyNumberFormat="1" applyFont="1" applyFill="1" applyAlignment="1">
      <alignment horizontal="left"/>
    </xf>
    <xf numFmtId="0" fontId="15" fillId="2" borderId="3" xfId="0" applyFont="1" applyFill="1" applyBorder="1" applyAlignment="1">
      <alignment horizontal="center" vertical="top"/>
    </xf>
    <xf numFmtId="1" fontId="16" fillId="2" borderId="0" xfId="0" applyNumberFormat="1" applyFont="1" applyFill="1"/>
    <xf numFmtId="164" fontId="2" fillId="2" borderId="0" xfId="1" applyNumberFormat="1" applyFont="1" applyFill="1" applyAlignment="1">
      <alignment horizontal="left"/>
    </xf>
    <xf numFmtId="0" fontId="17" fillId="2" borderId="0" xfId="0" applyFont="1" applyFill="1" applyAlignment="1">
      <alignment horizontal="left"/>
    </xf>
    <xf numFmtId="3" fontId="17" fillId="2" borderId="0" xfId="0" applyNumberFormat="1" applyFont="1" applyFill="1" applyAlignment="1">
      <alignment horizontal="left"/>
    </xf>
    <xf numFmtId="9" fontId="17" fillId="2" borderId="0" xfId="1" applyFont="1" applyFill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 readingOrder="1"/>
    </xf>
    <xf numFmtId="1" fontId="0" fillId="2" borderId="0" xfId="0" applyNumberFormat="1" applyFill="1"/>
    <xf numFmtId="165" fontId="0" fillId="0" borderId="0" xfId="0" applyNumberFormat="1"/>
    <xf numFmtId="164" fontId="0" fillId="2" borderId="0" xfId="1" applyNumberFormat="1" applyFont="1" applyFill="1"/>
    <xf numFmtId="164" fontId="0" fillId="0" borderId="0" xfId="0" applyNumberFormat="1"/>
    <xf numFmtId="0" fontId="10" fillId="2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10" fontId="11" fillId="2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9" fontId="11" fillId="2" borderId="0" xfId="1" applyFont="1" applyFill="1" applyAlignment="1">
      <alignment horizontal="left" vertical="center"/>
    </xf>
    <xf numFmtId="164" fontId="11" fillId="2" borderId="0" xfId="1" applyNumberFormat="1" applyFont="1" applyFill="1" applyAlignment="1">
      <alignment horizontal="left" vertical="center"/>
    </xf>
    <xf numFmtId="0" fontId="17" fillId="2" borderId="0" xfId="0" applyFont="1" applyFill="1"/>
    <xf numFmtId="9" fontId="17" fillId="2" borderId="0" xfId="1" applyFont="1" applyFill="1"/>
    <xf numFmtId="0" fontId="0" fillId="2" borderId="5" xfId="0" applyFill="1" applyBorder="1"/>
    <xf numFmtId="0" fontId="17" fillId="2" borderId="0" xfId="0" applyFont="1" applyFill="1" applyAlignment="1">
      <alignment horizontal="left" indent="4"/>
    </xf>
    <xf numFmtId="3" fontId="17" fillId="0" borderId="0" xfId="0" applyNumberFormat="1" applyFont="1" applyFill="1"/>
    <xf numFmtId="9" fontId="17" fillId="0" borderId="0" xfId="1" applyFont="1" applyFill="1"/>
    <xf numFmtId="3" fontId="17" fillId="0" borderId="0" xfId="0" applyNumberFormat="1" applyFont="1" applyFill="1" applyBorder="1"/>
    <xf numFmtId="3" fontId="9" fillId="0" borderId="0" xfId="0" applyNumberFormat="1" applyFont="1" applyFill="1" applyBorder="1"/>
    <xf numFmtId="0" fontId="1" fillId="2" borderId="6" xfId="0" applyFont="1" applyFill="1" applyBorder="1" applyAlignment="1">
      <alignment horizontal="left" vertical="top"/>
    </xf>
    <xf numFmtId="165" fontId="1" fillId="0" borderId="6" xfId="0" applyNumberFormat="1" applyFont="1" applyFill="1" applyBorder="1" applyAlignment="1">
      <alignment horizontal="left" vertical="top"/>
    </xf>
    <xf numFmtId="3" fontId="1" fillId="0" borderId="6" xfId="0" applyNumberFormat="1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3" fontId="1" fillId="0" borderId="7" xfId="0" applyNumberFormat="1" applyFont="1" applyFill="1" applyBorder="1" applyAlignment="1">
      <alignment horizontal="left" vertical="top"/>
    </xf>
    <xf numFmtId="164" fontId="1" fillId="2" borderId="6" xfId="1" applyNumberFormat="1" applyFont="1" applyFill="1" applyBorder="1" applyAlignment="1">
      <alignment horizontal="left" vertical="top"/>
    </xf>
    <xf numFmtId="0" fontId="9" fillId="2" borderId="8" xfId="0" applyFont="1" applyFill="1" applyBorder="1"/>
    <xf numFmtId="0" fontId="0" fillId="0" borderId="9" xfId="0" applyFill="1" applyBorder="1"/>
    <xf numFmtId="9" fontId="17" fillId="2" borderId="9" xfId="1" applyFont="1" applyFill="1" applyBorder="1" applyAlignment="1">
      <alignment horizontal="left"/>
    </xf>
    <xf numFmtId="0" fontId="0" fillId="0" borderId="9" xfId="0" applyFill="1" applyBorder="1" applyAlignment="1">
      <alignment horizontal="left"/>
    </xf>
    <xf numFmtId="165" fontId="0" fillId="2" borderId="0" xfId="0" applyNumberFormat="1" applyFill="1"/>
    <xf numFmtId="165" fontId="10" fillId="2" borderId="4" xfId="0" applyNumberFormat="1" applyFont="1" applyFill="1" applyBorder="1" applyAlignment="1">
      <alignment horizontal="center" vertical="top"/>
    </xf>
    <xf numFmtId="9" fontId="17" fillId="2" borderId="11" xfId="1" applyFont="1" applyFill="1" applyBorder="1" applyAlignment="1">
      <alignment horizontal="left"/>
    </xf>
    <xf numFmtId="0" fontId="9" fillId="2" borderId="2" xfId="0" applyFont="1" applyFill="1" applyBorder="1"/>
    <xf numFmtId="0" fontId="1" fillId="2" borderId="2" xfId="0" applyFont="1" applyFill="1" applyBorder="1"/>
    <xf numFmtId="0" fontId="1" fillId="2" borderId="13" xfId="0" applyFont="1" applyFill="1" applyBorder="1"/>
    <xf numFmtId="3" fontId="0" fillId="2" borderId="0" xfId="0" applyNumberFormat="1" applyFill="1" applyAlignment="1">
      <alignment horizontal="left"/>
    </xf>
    <xf numFmtId="2" fontId="17" fillId="2" borderId="0" xfId="0" applyNumberFormat="1" applyFont="1" applyFill="1" applyAlignment="1">
      <alignment horizontal="left"/>
    </xf>
    <xf numFmtId="0" fontId="10" fillId="2" borderId="14" xfId="0" applyFont="1" applyFill="1" applyBorder="1" applyAlignment="1">
      <alignment horizontal="center" vertical="top"/>
    </xf>
    <xf numFmtId="0" fontId="19" fillId="2" borderId="14" xfId="0" applyFont="1" applyFill="1" applyBorder="1" applyAlignment="1">
      <alignment horizontal="center" vertical="top"/>
    </xf>
    <xf numFmtId="166" fontId="0" fillId="0" borderId="0" xfId="0" applyNumberForma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0" fillId="2" borderId="9" xfId="0" applyFill="1" applyBorder="1"/>
    <xf numFmtId="164" fontId="17" fillId="2" borderId="9" xfId="1" applyNumberFormat="1" applyFont="1" applyFill="1" applyBorder="1" applyAlignment="1">
      <alignment horizontal="left"/>
    </xf>
    <xf numFmtId="164" fontId="17" fillId="2" borderId="9" xfId="0" applyNumberFormat="1" applyFont="1" applyFill="1" applyBorder="1"/>
    <xf numFmtId="164" fontId="0" fillId="0" borderId="9" xfId="0" applyNumberFormat="1" applyFill="1" applyBorder="1" applyAlignment="1">
      <alignment horizontal="left"/>
    </xf>
    <xf numFmtId="164" fontId="0" fillId="2" borderId="9" xfId="0" applyNumberFormat="1" applyFill="1" applyBorder="1"/>
    <xf numFmtId="164" fontId="17" fillId="2" borderId="10" xfId="1" applyNumberFormat="1" applyFont="1" applyFill="1" applyBorder="1" applyAlignment="1">
      <alignment horizontal="left"/>
    </xf>
    <xf numFmtId="164" fontId="17" fillId="2" borderId="10" xfId="0" applyNumberFormat="1" applyFont="1" applyFill="1" applyBorder="1"/>
    <xf numFmtId="9" fontId="1" fillId="2" borderId="6" xfId="1" applyNumberFormat="1" applyFont="1" applyFill="1" applyBorder="1" applyAlignment="1">
      <alignment horizontal="left" vertical="top"/>
    </xf>
    <xf numFmtId="164" fontId="0" fillId="0" borderId="0" xfId="1" applyNumberFormat="1" applyFont="1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0" fontId="9" fillId="2" borderId="17" xfId="0" applyFont="1" applyFill="1" applyBorder="1"/>
    <xf numFmtId="164" fontId="0" fillId="2" borderId="10" xfId="0" applyNumberFormat="1" applyFill="1" applyBorder="1" applyAlignment="1">
      <alignment horizontal="left"/>
    </xf>
    <xf numFmtId="164" fontId="0" fillId="2" borderId="19" xfId="0" applyNumberFormat="1" applyFill="1" applyBorder="1"/>
    <xf numFmtId="164" fontId="17" fillId="2" borderId="18" xfId="1" applyNumberFormat="1" applyFont="1" applyFill="1" applyBorder="1" applyAlignment="1">
      <alignment horizontal="left"/>
    </xf>
    <xf numFmtId="0" fontId="9" fillId="2" borderId="15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0" fillId="2" borderId="0" xfId="0" applyFill="1" applyBorder="1" applyAlignment="1"/>
    <xf numFmtId="0" fontId="29" fillId="2" borderId="0" xfId="0" applyFont="1" applyFill="1"/>
    <xf numFmtId="10" fontId="28" fillId="2" borderId="0" xfId="0" applyNumberFormat="1" applyFont="1" applyFill="1"/>
    <xf numFmtId="164" fontId="28" fillId="2" borderId="0" xfId="0" applyNumberFormat="1" applyFont="1" applyFill="1" applyAlignment="1">
      <alignment horizontal="left"/>
    </xf>
    <xf numFmtId="0" fontId="0" fillId="2" borderId="12" xfId="0" applyFill="1" applyBorder="1"/>
    <xf numFmtId="0" fontId="1" fillId="2" borderId="12" xfId="0" applyFont="1" applyFill="1" applyBorder="1"/>
    <xf numFmtId="9" fontId="17" fillId="2" borderId="0" xfId="1" applyNumberFormat="1" applyFont="1" applyFill="1"/>
    <xf numFmtId="0" fontId="1" fillId="2" borderId="21" xfId="0" applyFont="1" applyFill="1" applyBorder="1"/>
    <xf numFmtId="0" fontId="0" fillId="2" borderId="21" xfId="0" applyFill="1" applyBorder="1"/>
    <xf numFmtId="10" fontId="1" fillId="2" borderId="12" xfId="1" applyNumberFormat="1" applyFont="1" applyFill="1" applyBorder="1"/>
    <xf numFmtId="0" fontId="31" fillId="2" borderId="0" xfId="0" applyFont="1" applyFill="1"/>
    <xf numFmtId="0" fontId="32" fillId="0" borderId="0" xfId="0" applyFont="1"/>
    <xf numFmtId="0" fontId="31" fillId="0" borderId="5" xfId="0" applyFont="1" applyBorder="1"/>
    <xf numFmtId="0" fontId="31" fillId="0" borderId="0" xfId="0" applyFont="1"/>
    <xf numFmtId="0" fontId="31" fillId="0" borderId="0" xfId="0" applyFont="1" applyAlignment="1">
      <alignment horizontal="left" vertical="top"/>
    </xf>
    <xf numFmtId="0" fontId="31" fillId="2" borderId="0" xfId="0" applyFont="1" applyFill="1" applyAlignment="1">
      <alignment horizontal="left" vertical="top"/>
    </xf>
    <xf numFmtId="0" fontId="33" fillId="2" borderId="12" xfId="0" applyFont="1" applyFill="1" applyBorder="1"/>
    <xf numFmtId="164" fontId="33" fillId="2" borderId="12" xfId="0" applyNumberFormat="1" applyFont="1" applyFill="1" applyBorder="1" applyAlignment="1">
      <alignment horizontal="left" vertical="top"/>
    </xf>
    <xf numFmtId="0" fontId="32" fillId="2" borderId="0" xfId="0" applyFont="1" applyFill="1"/>
    <xf numFmtId="0" fontId="32" fillId="2" borderId="0" xfId="0" applyFont="1" applyFill="1" applyAlignment="1">
      <alignment horizontal="left" vertical="top"/>
    </xf>
    <xf numFmtId="9" fontId="31" fillId="2" borderId="0" xfId="1" applyFont="1" applyFill="1" applyAlignment="1">
      <alignment horizontal="left" indent="1"/>
    </xf>
    <xf numFmtId="0" fontId="31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horizontal="left" vertical="top"/>
    </xf>
    <xf numFmtId="0" fontId="33" fillId="2" borderId="20" xfId="0" applyFont="1" applyFill="1" applyBorder="1" applyAlignment="1">
      <alignment vertical="center"/>
    </xf>
    <xf numFmtId="0" fontId="33" fillId="2" borderId="20" xfId="0" applyFont="1" applyFill="1" applyBorder="1" applyAlignment="1">
      <alignment horizontal="left" vertical="top"/>
    </xf>
    <xf numFmtId="0" fontId="31" fillId="2" borderId="12" xfId="0" applyFont="1" applyFill="1" applyBorder="1" applyAlignment="1">
      <alignment vertical="center"/>
    </xf>
    <xf numFmtId="0" fontId="31" fillId="2" borderId="12" xfId="0" applyFont="1" applyFill="1" applyBorder="1" applyAlignment="1">
      <alignment horizontal="left" vertical="top"/>
    </xf>
    <xf numFmtId="0" fontId="33" fillId="2" borderId="0" xfId="0" applyFont="1" applyFill="1" applyBorder="1" applyAlignment="1">
      <alignment vertical="center"/>
    </xf>
    <xf numFmtId="0" fontId="33" fillId="2" borderId="0" xfId="0" applyFont="1" applyFill="1" applyBorder="1" applyAlignment="1">
      <alignment horizontal="left" vertical="top"/>
    </xf>
    <xf numFmtId="0" fontId="31" fillId="2" borderId="0" xfId="0" applyFont="1" applyFill="1" applyBorder="1" applyAlignment="1">
      <alignment horizontal="left"/>
    </xf>
    <xf numFmtId="164" fontId="31" fillId="2" borderId="0" xfId="0" applyNumberFormat="1" applyFont="1" applyFill="1" applyBorder="1" applyAlignment="1">
      <alignment horizontal="left"/>
    </xf>
    <xf numFmtId="0" fontId="35" fillId="0" borderId="12" xfId="0" applyFont="1" applyBorder="1"/>
    <xf numFmtId="3" fontId="36" fillId="0" borderId="12" xfId="0" applyNumberFormat="1" applyFont="1" applyBorder="1" applyAlignment="1">
      <alignment horizontal="left" vertical="top"/>
    </xf>
    <xf numFmtId="3" fontId="37" fillId="0" borderId="12" xfId="0" applyNumberFormat="1" applyFont="1" applyBorder="1" applyAlignment="1">
      <alignment horizontal="left" vertical="top"/>
    </xf>
    <xf numFmtId="0" fontId="38" fillId="0" borderId="0" xfId="0" applyFont="1" applyAlignment="1">
      <alignment horizontal="left" vertical="center"/>
    </xf>
    <xf numFmtId="0" fontId="38" fillId="0" borderId="0" xfId="0" applyFont="1" applyAlignment="1">
      <alignment horizontal="left" vertical="top"/>
    </xf>
    <xf numFmtId="0" fontId="38" fillId="0" borderId="0" xfId="0" applyFont="1" applyAlignment="1">
      <alignment horizontal="left" vertical="center" indent="1"/>
    </xf>
    <xf numFmtId="164" fontId="38" fillId="0" borderId="0" xfId="1" applyNumberFormat="1" applyFont="1" applyAlignment="1">
      <alignment horizontal="left" vertical="center" indent="1"/>
    </xf>
    <xf numFmtId="0" fontId="38" fillId="0" borderId="0" xfId="0" applyFont="1" applyAlignment="1">
      <alignment horizontal="left" vertical="top" indent="1"/>
    </xf>
    <xf numFmtId="164" fontId="38" fillId="0" borderId="0" xfId="1" applyNumberFormat="1" applyFont="1" applyAlignment="1">
      <alignment horizontal="left" vertical="top" indent="1"/>
    </xf>
    <xf numFmtId="3" fontId="39" fillId="0" borderId="0" xfId="0" applyNumberFormat="1" applyFont="1" applyAlignment="1">
      <alignment horizontal="left" vertical="top"/>
    </xf>
    <xf numFmtId="3" fontId="35" fillId="0" borderId="12" xfId="0" applyNumberFormat="1" applyFont="1" applyBorder="1" applyAlignment="1">
      <alignment horizontal="left" vertical="top"/>
    </xf>
    <xf numFmtId="3" fontId="40" fillId="0" borderId="0" xfId="0" applyNumberFormat="1" applyFont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3" fontId="41" fillId="0" borderId="0" xfId="0" applyNumberFormat="1" applyFont="1" applyAlignment="1">
      <alignment horizontal="left" vertical="top"/>
    </xf>
    <xf numFmtId="3" fontId="35" fillId="0" borderId="20" xfId="0" applyNumberFormat="1" applyFont="1" applyBorder="1" applyAlignment="1">
      <alignment horizontal="left" vertical="top"/>
    </xf>
    <xf numFmtId="3" fontId="41" fillId="0" borderId="12" xfId="0" applyNumberFormat="1" applyFont="1" applyBorder="1" applyAlignment="1">
      <alignment horizontal="left" vertical="top"/>
    </xf>
    <xf numFmtId="3" fontId="35" fillId="0" borderId="0" xfId="0" applyNumberFormat="1" applyFont="1" applyAlignment="1">
      <alignment horizontal="left" vertical="top"/>
    </xf>
    <xf numFmtId="166" fontId="41" fillId="0" borderId="0" xfId="0" applyNumberFormat="1" applyFont="1" applyAlignment="1">
      <alignment horizontal="left" vertical="top"/>
    </xf>
    <xf numFmtId="9" fontId="34" fillId="5" borderId="2" xfId="1" applyFont="1" applyFill="1" applyBorder="1" applyAlignment="1">
      <alignment horizontal="left" vertical="top"/>
    </xf>
    <xf numFmtId="164" fontId="42" fillId="5" borderId="2" xfId="1" applyNumberFormat="1" applyFont="1" applyFill="1" applyBorder="1" applyAlignment="1">
      <alignment horizontal="left" vertical="top"/>
    </xf>
    <xf numFmtId="10" fontId="2" fillId="2" borderId="0" xfId="1" applyNumberFormat="1" applyFont="1" applyFill="1"/>
    <xf numFmtId="0" fontId="2" fillId="2" borderId="21" xfId="0" applyFont="1" applyFill="1" applyBorder="1"/>
    <xf numFmtId="9" fontId="2" fillId="2" borderId="0" xfId="1" applyFont="1" applyFill="1"/>
    <xf numFmtId="164" fontId="2" fillId="2" borderId="0" xfId="0" applyNumberFormat="1" applyFont="1" applyFill="1"/>
    <xf numFmtId="43" fontId="2" fillId="2" borderId="0" xfId="2" applyFont="1" applyFill="1"/>
    <xf numFmtId="0" fontId="2" fillId="2" borderId="0" xfId="3"/>
    <xf numFmtId="3" fontId="1" fillId="2" borderId="1" xfId="3" applyNumberFormat="1" applyFont="1" applyBorder="1"/>
    <xf numFmtId="0" fontId="1" fillId="2" borderId="1" xfId="3" applyFont="1" applyBorder="1"/>
    <xf numFmtId="3" fontId="2" fillId="2" borderId="0" xfId="3" applyNumberFormat="1"/>
    <xf numFmtId="0" fontId="31" fillId="2" borderId="0" xfId="3" applyFont="1"/>
    <xf numFmtId="0" fontId="31" fillId="2" borderId="0" xfId="3" applyFont="1" applyAlignment="1">
      <alignment horizontal="left"/>
    </xf>
    <xf numFmtId="0" fontId="31" fillId="2" borderId="20" xfId="3" applyFont="1" applyBorder="1"/>
    <xf numFmtId="0" fontId="31" fillId="2" borderId="20" xfId="3" applyFont="1" applyBorder="1" applyAlignment="1">
      <alignment horizontal="left"/>
    </xf>
    <xf numFmtId="3" fontId="31" fillId="2" borderId="0" xfId="3" applyNumberFormat="1" applyFont="1"/>
    <xf numFmtId="3" fontId="41" fillId="2" borderId="12" xfId="3" applyNumberFormat="1" applyFont="1" applyBorder="1" applyAlignment="1">
      <alignment horizontal="left" vertical="top"/>
    </xf>
    <xf numFmtId="0" fontId="31" fillId="2" borderId="12" xfId="3" applyFont="1" applyBorder="1"/>
    <xf numFmtId="0" fontId="31" fillId="2" borderId="12" xfId="3" applyFont="1" applyBorder="1" applyAlignment="1">
      <alignment horizontal="left"/>
    </xf>
    <xf numFmtId="9" fontId="31" fillId="2" borderId="0" xfId="5" applyFont="1" applyAlignment="1">
      <alignment horizontal="left"/>
    </xf>
    <xf numFmtId="0" fontId="40" fillId="2" borderId="0" xfId="3" applyFont="1"/>
    <xf numFmtId="0" fontId="37" fillId="2" borderId="0" xfId="3" applyFont="1" applyAlignment="1">
      <alignment horizontal="left" vertical="top"/>
    </xf>
    <xf numFmtId="0" fontId="40" fillId="2" borderId="0" xfId="3" applyFont="1" applyAlignment="1">
      <alignment horizontal="left" vertical="top"/>
    </xf>
    <xf numFmtId="0" fontId="40" fillId="2" borderId="12" xfId="3" applyFont="1" applyBorder="1"/>
    <xf numFmtId="0" fontId="37" fillId="2" borderId="12" xfId="3" applyFont="1" applyBorder="1" applyAlignment="1">
      <alignment horizontal="left" vertical="top"/>
    </xf>
    <xf numFmtId="0" fontId="40" fillId="2" borderId="12" xfId="3" applyFont="1" applyBorder="1" applyAlignment="1">
      <alignment horizontal="left" vertical="top"/>
    </xf>
    <xf numFmtId="164" fontId="31" fillId="2" borderId="0" xfId="3" applyNumberFormat="1" applyFont="1"/>
    <xf numFmtId="0" fontId="37" fillId="2" borderId="0" xfId="3" applyFont="1" applyAlignment="1">
      <alignment horizontal="center" vertical="top"/>
    </xf>
    <xf numFmtId="9" fontId="34" fillId="5" borderId="2" xfId="5" applyFont="1" applyFill="1" applyBorder="1" applyAlignment="1">
      <alignment horizontal="left" vertical="top"/>
    </xf>
    <xf numFmtId="164" fontId="37" fillId="2" borderId="0" xfId="5" applyNumberFormat="1" applyFont="1" applyAlignment="1">
      <alignment horizontal="center" vertical="top"/>
    </xf>
    <xf numFmtId="0" fontId="31" fillId="2" borderId="0" xfId="3" applyFont="1" applyAlignment="1">
      <alignment horizontal="left" vertical="top"/>
    </xf>
    <xf numFmtId="3" fontId="41" fillId="2" borderId="0" xfId="3" applyNumberFormat="1" applyFont="1" applyAlignment="1">
      <alignment horizontal="left" vertical="top"/>
    </xf>
    <xf numFmtId="0" fontId="31" fillId="2" borderId="0" xfId="3" applyFont="1" applyAlignment="1">
      <alignment vertical="center"/>
    </xf>
    <xf numFmtId="0" fontId="31" fillId="2" borderId="5" xfId="3" applyFont="1" applyBorder="1"/>
    <xf numFmtId="0" fontId="32" fillId="2" borderId="0" xfId="3" applyFont="1" applyAlignment="1">
      <alignment horizontal="left" vertical="top"/>
    </xf>
    <xf numFmtId="0" fontId="32" fillId="2" borderId="0" xfId="3" applyFont="1"/>
    <xf numFmtId="9" fontId="31" fillId="2" borderId="0" xfId="5" applyFont="1" applyAlignment="1">
      <alignment horizontal="left" indent="1"/>
    </xf>
    <xf numFmtId="9" fontId="0" fillId="2" borderId="0" xfId="5" applyFont="1"/>
    <xf numFmtId="10" fontId="1" fillId="2" borderId="12" xfId="5" applyNumberFormat="1" applyFont="1" applyBorder="1"/>
    <xf numFmtId="0" fontId="2" fillId="2" borderId="12" xfId="3" applyBorder="1"/>
    <xf numFmtId="0" fontId="1" fillId="2" borderId="12" xfId="3" applyFont="1" applyBorder="1"/>
    <xf numFmtId="10" fontId="0" fillId="2" borderId="0" xfId="5" applyNumberFormat="1" applyFont="1"/>
    <xf numFmtId="43" fontId="0" fillId="2" borderId="0" xfId="4" applyFont="1"/>
    <xf numFmtId="0" fontId="2" fillId="2" borderId="21" xfId="3" applyBorder="1"/>
    <xf numFmtId="0" fontId="1" fillId="2" borderId="21" xfId="3" applyFont="1" applyBorder="1"/>
    <xf numFmtId="164" fontId="2" fillId="2" borderId="19" xfId="3" applyNumberFormat="1" applyBorder="1"/>
    <xf numFmtId="164" fontId="17" fillId="2" borderId="18" xfId="5" applyNumberFormat="1" applyFont="1" applyBorder="1" applyAlignment="1">
      <alignment horizontal="left"/>
    </xf>
    <xf numFmtId="164" fontId="1" fillId="2" borderId="6" xfId="5" applyNumberFormat="1" applyFont="1" applyBorder="1" applyAlignment="1">
      <alignment horizontal="left" vertical="top"/>
    </xf>
    <xf numFmtId="0" fontId="1" fillId="2" borderId="6" xfId="3" applyFont="1" applyBorder="1" applyAlignment="1">
      <alignment horizontal="left" vertical="top"/>
    </xf>
    <xf numFmtId="0" fontId="9" fillId="2" borderId="17" xfId="3" applyFont="1" applyBorder="1"/>
    <xf numFmtId="0" fontId="9" fillId="2" borderId="15" xfId="3" applyFont="1" applyBorder="1"/>
    <xf numFmtId="0" fontId="2" fillId="2" borderId="6" xfId="3" applyBorder="1"/>
    <xf numFmtId="164" fontId="2" fillId="2" borderId="0" xfId="3" applyNumberFormat="1"/>
    <xf numFmtId="9" fontId="17" fillId="2" borderId="0" xfId="5" applyFont="1"/>
    <xf numFmtId="0" fontId="17" fillId="2" borderId="0" xfId="3" applyFont="1" applyAlignment="1">
      <alignment horizontal="left" indent="4"/>
    </xf>
    <xf numFmtId="164" fontId="0" fillId="2" borderId="0" xfId="5" applyNumberFormat="1" applyFont="1"/>
    <xf numFmtId="165" fontId="1" fillId="2" borderId="6" xfId="3" applyNumberFormat="1" applyFont="1" applyBorder="1" applyAlignment="1">
      <alignment horizontal="left" vertical="top"/>
    </xf>
    <xf numFmtId="3" fontId="30" fillId="2" borderId="0" xfId="3" applyNumberFormat="1" applyFont="1" applyAlignment="1">
      <alignment horizontal="left" vertical="top"/>
    </xf>
    <xf numFmtId="0" fontId="2" fillId="2" borderId="16" xfId="3" applyBorder="1"/>
    <xf numFmtId="0" fontId="17" fillId="2" borderId="0" xfId="3" applyFont="1"/>
    <xf numFmtId="164" fontId="17" fillId="2" borderId="10" xfId="3" applyNumberFormat="1" applyFont="1" applyBorder="1"/>
    <xf numFmtId="164" fontId="17" fillId="2" borderId="10" xfId="5" applyNumberFormat="1" applyFont="1" applyBorder="1" applyAlignment="1">
      <alignment horizontal="left"/>
    </xf>
    <xf numFmtId="3" fontId="9" fillId="2" borderId="0" xfId="3" applyNumberFormat="1" applyFont="1"/>
    <xf numFmtId="164" fontId="2" fillId="2" borderId="9" xfId="3" applyNumberFormat="1" applyBorder="1"/>
    <xf numFmtId="164" fontId="17" fillId="2" borderId="9" xfId="5" applyNumberFormat="1" applyFont="1" applyBorder="1" applyAlignment="1">
      <alignment horizontal="left"/>
    </xf>
    <xf numFmtId="3" fontId="1" fillId="2" borderId="6" xfId="3" applyNumberFormat="1" applyFont="1" applyBorder="1" applyAlignment="1">
      <alignment horizontal="left" vertical="top"/>
    </xf>
    <xf numFmtId="164" fontId="17" fillId="2" borderId="9" xfId="3" applyNumberFormat="1" applyFont="1" applyBorder="1"/>
    <xf numFmtId="3" fontId="17" fillId="2" borderId="0" xfId="3" applyNumberFormat="1" applyFont="1"/>
    <xf numFmtId="164" fontId="2" fillId="2" borderId="9" xfId="3" applyNumberFormat="1" applyBorder="1" applyAlignment="1">
      <alignment horizontal="left"/>
    </xf>
    <xf numFmtId="10" fontId="17" fillId="2" borderId="0" xfId="5" applyNumberFormat="1" applyFont="1"/>
    <xf numFmtId="0" fontId="2" fillId="2" borderId="9" xfId="3" applyBorder="1"/>
    <xf numFmtId="3" fontId="1" fillId="2" borderId="7" xfId="3" applyNumberFormat="1" applyFont="1" applyBorder="1" applyAlignment="1">
      <alignment horizontal="left" vertical="top"/>
    </xf>
    <xf numFmtId="0" fontId="1" fillId="2" borderId="7" xfId="3" applyFont="1" applyBorder="1" applyAlignment="1">
      <alignment horizontal="left" vertical="top"/>
    </xf>
    <xf numFmtId="0" fontId="9" fillId="2" borderId="8" xfId="3" applyFont="1" applyBorder="1"/>
    <xf numFmtId="0" fontId="2" fillId="2" borderId="5" xfId="3" applyBorder="1"/>
    <xf numFmtId="3" fontId="31" fillId="2" borderId="20" xfId="4" applyNumberFormat="1" applyFont="1" applyBorder="1"/>
    <xf numFmtId="0" fontId="31" fillId="0" borderId="0" xfId="0" applyFont="1" applyBorder="1"/>
    <xf numFmtId="3" fontId="35" fillId="0" borderId="0" xfId="0" applyNumberFormat="1" applyFont="1" applyBorder="1" applyAlignment="1">
      <alignment horizontal="left" vertical="top"/>
    </xf>
    <xf numFmtId="10" fontId="17" fillId="6" borderId="0" xfId="1" applyNumberFormat="1" applyFont="1" applyFill="1"/>
    <xf numFmtId="164" fontId="34" fillId="6" borderId="2" xfId="5" applyNumberFormat="1" applyFont="1" applyFill="1" applyBorder="1" applyAlignment="1">
      <alignment horizontal="left" vertical="top"/>
    </xf>
    <xf numFmtId="164" fontId="34" fillId="5" borderId="2" xfId="5" applyNumberFormat="1" applyFont="1" applyFill="1" applyBorder="1" applyAlignment="1">
      <alignment horizontal="left" vertical="top"/>
    </xf>
    <xf numFmtId="3" fontId="43" fillId="0" borderId="0" xfId="0" applyNumberFormat="1" applyFont="1" applyAlignment="1">
      <alignment horizontal="left" vertical="top"/>
    </xf>
    <xf numFmtId="0" fontId="33" fillId="2" borderId="0" xfId="0" applyFont="1" applyFill="1" applyBorder="1"/>
    <xf numFmtId="3" fontId="36" fillId="0" borderId="0" xfId="0" applyNumberFormat="1" applyFont="1" applyBorder="1" applyAlignment="1">
      <alignment horizontal="left" vertical="top"/>
    </xf>
    <xf numFmtId="0" fontId="44" fillId="2" borderId="12" xfId="3" applyFont="1" applyBorder="1" applyAlignment="1">
      <alignment horizontal="left"/>
    </xf>
    <xf numFmtId="3" fontId="44" fillId="2" borderId="0" xfId="3" applyNumberFormat="1" applyFont="1"/>
    <xf numFmtId="0" fontId="44" fillId="2" borderId="0" xfId="3" applyFont="1"/>
    <xf numFmtId="3" fontId="41" fillId="2" borderId="0" xfId="3" applyNumberFormat="1" applyFont="1"/>
    <xf numFmtId="3" fontId="41" fillId="2" borderId="20" xfId="3" applyNumberFormat="1" applyFont="1" applyBorder="1"/>
    <xf numFmtId="0" fontId="45" fillId="7" borderId="0" xfId="0" applyFont="1" applyFill="1"/>
    <xf numFmtId="0" fontId="45" fillId="7" borderId="0" xfId="0" applyFont="1" applyFill="1" applyAlignment="1">
      <alignment horizontal="center"/>
    </xf>
    <xf numFmtId="0" fontId="45" fillId="8" borderId="0" xfId="0" applyFont="1" applyFill="1"/>
    <xf numFmtId="2" fontId="0" fillId="0" borderId="0" xfId="0" applyNumberFormat="1"/>
    <xf numFmtId="0" fontId="46" fillId="8" borderId="0" xfId="0" applyFont="1" applyFill="1"/>
    <xf numFmtId="0" fontId="22" fillId="2" borderId="0" xfId="3" applyFont="1" applyAlignment="1">
      <alignment horizontal="center"/>
    </xf>
    <xf numFmtId="0" fontId="25" fillId="2" borderId="0" xfId="3" applyFont="1" applyAlignment="1">
      <alignment horizontal="center"/>
    </xf>
    <xf numFmtId="0" fontId="24" fillId="2" borderId="0" xfId="0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0" fontId="17" fillId="2" borderId="6" xfId="0" applyFont="1" applyFill="1" applyBorder="1" applyAlignment="1">
      <alignment horizontal="center"/>
    </xf>
    <xf numFmtId="0" fontId="27" fillId="2" borderId="14" xfId="0" applyFont="1" applyFill="1" applyBorder="1" applyAlignment="1">
      <alignment horizontal="center"/>
    </xf>
  </cellXfs>
  <cellStyles count="6">
    <cellStyle name="Comma" xfId="2" builtinId="3"/>
    <cellStyle name="Migliaia 2" xfId="4" xr:uid="{00000000-0005-0000-0000-000001000000}"/>
    <cellStyle name="Normal" xfId="0" builtinId="0"/>
    <cellStyle name="Normale 2" xfId="3" xr:uid="{00000000-0005-0000-0000-000003000000}"/>
    <cellStyle name="Percent" xfId="1" builtinId="5"/>
    <cellStyle name="Percentuale 2" xfId="5" xr:uid="{00000000-0005-0000-0000-000005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0000FF"/>
      <color rgb="FF1A0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i="1" baseline="0">
                <a:solidFill>
                  <a:schemeClr val="tx1"/>
                </a:solidFill>
              </a:rPr>
              <a:t>Company 1, 2, 3, 4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sz="1200" b="1" baseline="0">
                <a:solidFill>
                  <a:schemeClr val="tx1"/>
                </a:solidFill>
              </a:rPr>
              <a:t>P/E Ratio to EPS CAGR (x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06813627254511E-2"/>
                  <c:y val="-5.86411077628475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EC-4B4F-B559-2E7FC1BA8891}"/>
                </c:ext>
              </c:extLst>
            </c:dLbl>
            <c:dLbl>
              <c:idx val="1"/>
              <c:layout>
                <c:manualLayout>
                  <c:x val="-6.4326902225957744E-2"/>
                  <c:y val="4.37203492693623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EC-4B4F-B559-2E7FC1BA8891}"/>
                </c:ext>
              </c:extLst>
            </c:dLbl>
            <c:dLbl>
              <c:idx val="2"/>
              <c:layout>
                <c:manualLayout>
                  <c:x val="1.2024048096192385E-2"/>
                  <c:y val="3.29856231166017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EC-4B4F-B559-2E7FC1BA8891}"/>
                </c:ext>
              </c:extLst>
            </c:dLbl>
            <c:dLbl>
              <c:idx val="3"/>
              <c:layout>
                <c:manualLayout>
                  <c:x val="-2.004008016032064E-2"/>
                  <c:y val="7.33013847035593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EC-4B4F-B559-2E7FC1BA889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017136635475674E-2"/>
                  <c:y val="1.92606035769692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(2)'!$C$3:$C$6</c:f>
              <c:numCache>
                <c:formatCode>0.0</c:formatCode>
                <c:ptCount val="4"/>
                <c:pt idx="0">
                  <c:v>20.03</c:v>
                </c:pt>
                <c:pt idx="1">
                  <c:v>37.42</c:v>
                </c:pt>
                <c:pt idx="2">
                  <c:v>45.17</c:v>
                </c:pt>
                <c:pt idx="3">
                  <c:v>83.42</c:v>
                </c:pt>
              </c:numCache>
            </c:numRef>
          </c:xVal>
          <c:yVal>
            <c:numRef>
              <c:f>'CORRELATION (2)'!$D$3:$D$6</c:f>
              <c:numCache>
                <c:formatCode>0.0%</c:formatCode>
                <c:ptCount val="4"/>
                <c:pt idx="0">
                  <c:v>4.8599999999999997E-2</c:v>
                </c:pt>
                <c:pt idx="1">
                  <c:v>5.2600000000000001E-2</c:v>
                </c:pt>
                <c:pt idx="2">
                  <c:v>7.2300000000000003E-2</c:v>
                </c:pt>
                <c:pt idx="3">
                  <c:v>2.18E-2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EC-4B4F-B559-2E7FC1BA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12176"/>
        <c:axId val="511620728"/>
      </c:scatterChart>
      <c:valAx>
        <c:axId val="22771217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tx1"/>
                    </a:solidFill>
                  </a:rPr>
                  <a:t>Price-Earnings</a:t>
                </a:r>
              </a:p>
              <a:p>
                <a:pPr>
                  <a:defRPr i="1">
                    <a:solidFill>
                      <a:schemeClr val="tx1"/>
                    </a:solidFill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 Multiple</a:t>
                </a:r>
              </a:p>
            </c:rich>
          </c:tx>
          <c:layout>
            <c:manualLayout>
              <c:xMode val="edge"/>
              <c:yMode val="edge"/>
              <c:x val="0.47210319732108857"/>
              <c:y val="0.88497815756336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0728"/>
        <c:crosses val="autoZero"/>
        <c:crossBetween val="midCat"/>
      </c:valAx>
      <c:valAx>
        <c:axId val="5116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EPS Growth % (2014-2019)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i="1" baseline="0">
                <a:solidFill>
                  <a:schemeClr val="tx1"/>
                </a:solidFill>
              </a:rPr>
              <a:t>Company 1, 2, 3, 4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 sz="1200" b="1" baseline="0">
                <a:solidFill>
                  <a:schemeClr val="tx1"/>
                </a:solidFill>
              </a:rPr>
              <a:t>EV/EBITDA Ratio to EBITDA CAGR (x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4399822355663"/>
          <c:y val="0.18220193973143614"/>
          <c:w val="0.84467021965870615"/>
          <c:h val="0.608586372990892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038863727172174E-2"/>
                  <c:y val="2.95662376846142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88-B94C-BCE8-F664E75A65EF}"/>
                </c:ext>
              </c:extLst>
            </c:dLbl>
            <c:dLbl>
              <c:idx val="1"/>
              <c:layout>
                <c:manualLayout>
                  <c:x val="-0.11824470839012427"/>
                  <c:y val="-3.64921870634905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88-B94C-BCE8-F664E75A65EF}"/>
                </c:ext>
              </c:extLst>
            </c:dLbl>
            <c:dLbl>
              <c:idx val="2"/>
              <c:layout>
                <c:manualLayout>
                  <c:x val="6.0142181824443981E-3"/>
                  <c:y val="1.83654061050788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88-B94C-BCE8-F664E75A65EF}"/>
                </c:ext>
              </c:extLst>
            </c:dLbl>
            <c:dLbl>
              <c:idx val="3"/>
              <c:layout>
                <c:manualLayout>
                  <c:x val="-3.6085679336591778E-2"/>
                  <c:y val="4.4689631389715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88-B94C-BCE8-F664E75A65E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719795804937172E-3"/>
                  <c:y val="0.31915845084155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(2)'!$C$22:$C$25</c:f>
              <c:numCache>
                <c:formatCode>0.0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'CORRELATION (2)'!$D$22:$D$25</c:f>
              <c:numCache>
                <c:formatCode>0.0%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8-B94C-BCE8-F664E75A6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21120"/>
        <c:axId val="511617984"/>
      </c:scatterChart>
      <c:valAx>
        <c:axId val="51162112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Enterprise Value / EBITDA</a:t>
                </a:r>
              </a:p>
              <a:p>
                <a:pPr>
                  <a:defRPr i="1">
                    <a:solidFill>
                      <a:schemeClr val="tx1"/>
                    </a:solidFill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Mutliple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7984"/>
        <c:crosses val="autoZero"/>
        <c:crossBetween val="midCat"/>
      </c:valAx>
      <c:valAx>
        <c:axId val="5116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EBITDA Growth % (2014-2019)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 baseline="0">
                <a:solidFill>
                  <a:sysClr val="windowText" lastClr="000000"/>
                </a:solidFill>
                <a:effectLst/>
              </a:rPr>
              <a:t>Company 1, 2, 3, 4</a:t>
            </a:r>
            <a:endParaRPr lang="en-US" sz="1200" i="1" baseline="0">
              <a:solidFill>
                <a:schemeClr val="tx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 sz="1200" b="1" baseline="0">
                <a:solidFill>
                  <a:schemeClr val="tx1"/>
                </a:solidFill>
              </a:rPr>
              <a:t>EV/Net Income Ratio to Net Income CAGR (x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8.4136272753025765E-2"/>
                  <c:y val="4.07238526005543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31-9D45-A41B-6B4932EB164C}"/>
                </c:ext>
              </c:extLst>
            </c:dLbl>
            <c:dLbl>
              <c:idx val="2"/>
              <c:layout>
                <c:manualLayout>
                  <c:x val="6.014279889431963E-3"/>
                  <c:y val="-1.48965437965718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31-9D45-A41B-6B4932EB164C}"/>
                </c:ext>
              </c:extLst>
            </c:dLbl>
            <c:dLbl>
              <c:idx val="3"/>
              <c:layout>
                <c:manualLayout>
                  <c:x val="-0.10237491440998207"/>
                  <c:y val="-1.08571475224943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31-9D45-A41B-6B4932EB164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719795804937172E-3"/>
                  <c:y val="0.31915845084155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(2)'!$C$41:$C$44</c:f>
              <c:numCache>
                <c:formatCode>0.0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</c:numCache>
            </c:numRef>
          </c:xVal>
          <c:yVal>
            <c:numRef>
              <c:f>'CORRELATION (2)'!$D$41:$D$44</c:f>
              <c:numCache>
                <c:formatCode>0.0%</c:formatCode>
                <c:ptCount val="4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31-9D45-A41B-6B4932EB1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17200"/>
        <c:axId val="511617592"/>
      </c:scatterChart>
      <c:valAx>
        <c:axId val="511617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Enterprise Value / Net Income</a:t>
                </a:r>
              </a:p>
              <a:p>
                <a:pPr>
                  <a:defRPr i="1">
                    <a:solidFill>
                      <a:schemeClr val="tx1"/>
                    </a:solidFill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Mutliple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7592"/>
        <c:crosses val="autoZero"/>
        <c:crossBetween val="midCat"/>
      </c:valAx>
      <c:valAx>
        <c:axId val="5116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Net</a:t>
                </a:r>
                <a:r>
                  <a:rPr lang="en-US" baseline="0">
                    <a:solidFill>
                      <a:schemeClr val="tx1"/>
                    </a:solidFill>
                  </a:rPr>
                  <a:t> Income</a:t>
                </a:r>
                <a:r>
                  <a:rPr lang="en-US">
                    <a:solidFill>
                      <a:schemeClr val="tx1"/>
                    </a:solidFill>
                  </a:rPr>
                  <a:t> Growth % (2014-2019)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i="1" baseline="0">
                <a:solidFill>
                  <a:schemeClr val="tx1"/>
                </a:solidFill>
              </a:rPr>
              <a:t>MasterCard, Visa, PayPal, American Express</a:t>
            </a:r>
          </a:p>
          <a:p>
            <a:pPr>
              <a:defRPr>
                <a:solidFill>
                  <a:schemeClr val="tx1"/>
                </a:solidFill>
              </a:defRPr>
            </a:pPr>
            <a:r>
              <a:rPr lang="en-US" sz="1200" b="1" baseline="0">
                <a:solidFill>
                  <a:schemeClr val="tx1"/>
                </a:solidFill>
              </a:rPr>
              <a:t>P/E Ratio to EPS CAGR (6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06813627254511E-2"/>
                  <c:y val="-5.86411077628475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66-9949-AB0B-4AD9998CCDAA}"/>
                </c:ext>
              </c:extLst>
            </c:dLbl>
            <c:dLbl>
              <c:idx val="1"/>
              <c:layout>
                <c:manualLayout>
                  <c:x val="-6.4326902225957744E-2"/>
                  <c:y val="4.372034926936239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66-9949-AB0B-4AD9998CCDAA}"/>
                </c:ext>
              </c:extLst>
            </c:dLbl>
            <c:dLbl>
              <c:idx val="2"/>
              <c:layout>
                <c:manualLayout>
                  <c:x val="1.2024048096192385E-2"/>
                  <c:y val="3.29856231166017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66-9949-AB0B-4AD9998CCDAA}"/>
                </c:ext>
              </c:extLst>
            </c:dLbl>
            <c:dLbl>
              <c:idx val="3"/>
              <c:layout>
                <c:manualLayout>
                  <c:x val="-2.004008016032064E-2"/>
                  <c:y val="7.330138470355938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66-9949-AB0B-4AD9998CCDA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017136635475674E-2"/>
                  <c:y val="1.926060357696923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CORRELATION!$F$5:$F$8</c:f>
              <c:numCache>
                <c:formatCode>0.0</c:formatCode>
                <c:ptCount val="4"/>
                <c:pt idx="0">
                  <c:v>11.52</c:v>
                </c:pt>
                <c:pt idx="1">
                  <c:v>31.94</c:v>
                </c:pt>
                <c:pt idx="2">
                  <c:v>34.119999999999997</c:v>
                </c:pt>
                <c:pt idx="3">
                  <c:v>50.75</c:v>
                </c:pt>
              </c:numCache>
            </c:numRef>
          </c:xVal>
          <c:yVal>
            <c:numRef>
              <c:f>CORRELATION!$G$5:$G$8</c:f>
              <c:numCache>
                <c:formatCode>0.0%</c:formatCode>
                <c:ptCount val="4"/>
                <c:pt idx="0">
                  <c:v>1.5133671519258263E-2</c:v>
                </c:pt>
                <c:pt idx="1">
                  <c:v>0.14227662187979639</c:v>
                </c:pt>
                <c:pt idx="2">
                  <c:v>0.14423902710266812</c:v>
                </c:pt>
                <c:pt idx="3">
                  <c:v>0.34304557705580563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1-7B44-BCA8-B9C27B21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712176"/>
        <c:axId val="511620728"/>
      </c:scatterChart>
      <c:valAx>
        <c:axId val="227712176"/>
        <c:scaling>
          <c:orientation val="minMax"/>
          <c:min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tx1"/>
                    </a:solidFill>
                  </a:rPr>
                  <a:t>Price-Earnings</a:t>
                </a:r>
              </a:p>
              <a:p>
                <a:pPr>
                  <a:defRPr i="1">
                    <a:solidFill>
                      <a:schemeClr val="tx1"/>
                    </a:solidFill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 Multiple</a:t>
                </a:r>
              </a:p>
            </c:rich>
          </c:tx>
          <c:layout>
            <c:manualLayout>
              <c:xMode val="edge"/>
              <c:yMode val="edge"/>
              <c:x val="0.47210319732108857"/>
              <c:y val="0.88497815756336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0728"/>
        <c:crosses val="autoZero"/>
        <c:crossBetween val="midCat"/>
      </c:valAx>
      <c:valAx>
        <c:axId val="51162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EPS Growth % (2014-2019)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 baseline="0">
                <a:effectLst/>
              </a:rPr>
              <a:t>MasterCard, Visa, PayPal, American Express</a:t>
            </a:r>
            <a:endParaRPr lang="en-US" sz="1200" i="1" baseline="0">
              <a:solidFill>
                <a:schemeClr val="tx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 sz="1200" b="1" baseline="0">
                <a:solidFill>
                  <a:schemeClr val="tx1"/>
                </a:solidFill>
              </a:rPr>
              <a:t>EV/EBITDA Ratio to EBITDA CAGR (6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4399822355663"/>
          <c:y val="0.18220193973143614"/>
          <c:w val="0.84467021965870615"/>
          <c:h val="0.6085863729908926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2038863727172174E-2"/>
                  <c:y val="2.956623768461424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4-3E49-9818-A06CEB105D39}"/>
                </c:ext>
              </c:extLst>
            </c:dLbl>
            <c:dLbl>
              <c:idx val="1"/>
              <c:layout>
                <c:manualLayout>
                  <c:x val="-0.11824470839012427"/>
                  <c:y val="-3.64921870634905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17-3345-AE8F-84F482054C21}"/>
                </c:ext>
              </c:extLst>
            </c:dLbl>
            <c:dLbl>
              <c:idx val="2"/>
              <c:layout>
                <c:manualLayout>
                  <c:x val="6.0142181824443981E-3"/>
                  <c:y val="1.836540610507887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17-3345-AE8F-84F482054C21}"/>
                </c:ext>
              </c:extLst>
            </c:dLbl>
            <c:dLbl>
              <c:idx val="3"/>
              <c:layout>
                <c:manualLayout>
                  <c:x val="-3.6085679336591778E-2"/>
                  <c:y val="4.46896313897155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17-3345-AE8F-84F482054C2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719795804937172E-3"/>
                  <c:y val="0.31915845084155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CORRELATION!$F$32:$F$35</c:f>
              <c:numCache>
                <c:formatCode>0.0</c:formatCode>
                <c:ptCount val="4"/>
                <c:pt idx="0">
                  <c:v>3.4822373400000002</c:v>
                </c:pt>
                <c:pt idx="1">
                  <c:v>24.329474399999999</c:v>
                </c:pt>
                <c:pt idx="2">
                  <c:v>27.115352399999999</c:v>
                </c:pt>
                <c:pt idx="3">
                  <c:v>34.899130200000002</c:v>
                </c:pt>
              </c:numCache>
            </c:numRef>
          </c:xVal>
          <c:yVal>
            <c:numRef>
              <c:f>CORRELATION!$G$32:$G$35</c:f>
              <c:numCache>
                <c:formatCode>0.0%</c:formatCode>
                <c:ptCount val="4"/>
                <c:pt idx="0">
                  <c:v>3.5400885452471664E-2</c:v>
                </c:pt>
                <c:pt idx="1">
                  <c:v>0.1099941364909276</c:v>
                </c:pt>
                <c:pt idx="2">
                  <c:v>0.11064169907960064</c:v>
                </c:pt>
                <c:pt idx="3">
                  <c:v>0.12938043716453462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7-3345-AE8F-84F482054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21120"/>
        <c:axId val="511617984"/>
      </c:scatterChart>
      <c:valAx>
        <c:axId val="511621120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Enterprise Value / EBITDA</a:t>
                </a:r>
              </a:p>
              <a:p>
                <a:pPr>
                  <a:defRPr i="1">
                    <a:solidFill>
                      <a:schemeClr val="tx1"/>
                    </a:solidFill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Mutliple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7984"/>
        <c:crosses val="autoZero"/>
        <c:crossBetween val="midCat"/>
      </c:valAx>
      <c:valAx>
        <c:axId val="5116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EBITDA Growth % (2014-2019)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1" baseline="0">
                <a:effectLst/>
              </a:rPr>
              <a:t>MasterCard, Visa, PayPal, American Express</a:t>
            </a:r>
            <a:endParaRPr lang="en-US" sz="1200" i="1" baseline="0">
              <a:solidFill>
                <a:schemeClr val="tx1"/>
              </a:solidFill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/>
                </a:solidFill>
              </a:defRPr>
            </a:pPr>
            <a:r>
              <a:rPr lang="en-US" sz="1200" b="1" baseline="0">
                <a:solidFill>
                  <a:schemeClr val="tx1"/>
                </a:solidFill>
              </a:rPr>
              <a:t>EV/Net Income Ratio to Net Income CAGR (6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8.4136272753025765E-2"/>
                  <c:y val="4.072385260055436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2A-6241-97E1-CAE18FBE715B}"/>
                </c:ext>
              </c:extLst>
            </c:dLbl>
            <c:dLbl>
              <c:idx val="2"/>
              <c:layout>
                <c:manualLayout>
                  <c:x val="6.014279889431963E-3"/>
                  <c:y val="-1.48965437965718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2A-6241-97E1-CAE18FBE715B}"/>
                </c:ext>
              </c:extLst>
            </c:dLbl>
            <c:dLbl>
              <c:idx val="3"/>
              <c:layout>
                <c:manualLayout>
                  <c:x val="-0.10237491440998207"/>
                  <c:y val="-1.085714752249431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2A-6241-97E1-CAE18FBE715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719795804937172E-3"/>
                  <c:y val="0.319158450841552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1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CORRELATION!$F$49:$F$52</c:f>
              <c:numCache>
                <c:formatCode>0</c:formatCode>
                <c:ptCount val="4"/>
                <c:pt idx="0">
                  <c:v>3</c:v>
                </c:pt>
                <c:pt idx="1">
                  <c:v>24</c:v>
                </c:pt>
                <c:pt idx="2">
                  <c:v>27</c:v>
                </c:pt>
                <c:pt idx="3">
                  <c:v>35</c:v>
                </c:pt>
              </c:numCache>
            </c:numRef>
          </c:xVal>
          <c:yVal>
            <c:numRef>
              <c:f>CORRELATION!$G$49:$G$52</c:f>
              <c:numCache>
                <c:formatCode>0.0</c:formatCode>
                <c:ptCount val="4"/>
                <c:pt idx="0">
                  <c:v>11.5</c:v>
                </c:pt>
                <c:pt idx="1">
                  <c:v>31.9</c:v>
                </c:pt>
                <c:pt idx="2">
                  <c:v>34.1</c:v>
                </c:pt>
                <c:pt idx="3">
                  <c:v>50.8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2A-6241-97E1-CAE18FBE7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17200"/>
        <c:axId val="511617592"/>
      </c:scatterChart>
      <c:valAx>
        <c:axId val="5116172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Enterprise Value / Net Income</a:t>
                </a:r>
              </a:p>
              <a:p>
                <a:pPr>
                  <a:defRPr i="1">
                    <a:solidFill>
                      <a:schemeClr val="tx1"/>
                    </a:solidFill>
                  </a:defRPr>
                </a:pPr>
                <a:r>
                  <a:rPr lang="en-US" i="1" baseline="0">
                    <a:solidFill>
                      <a:schemeClr val="tx1"/>
                    </a:solidFill>
                  </a:rPr>
                  <a:t>Mutliple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7592"/>
        <c:crosses val="autoZero"/>
        <c:crossBetween val="midCat"/>
      </c:valAx>
      <c:valAx>
        <c:axId val="5116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Net</a:t>
                </a:r>
                <a:r>
                  <a:rPr lang="en-US" baseline="0">
                    <a:solidFill>
                      <a:schemeClr val="tx1"/>
                    </a:solidFill>
                  </a:rPr>
                  <a:t> Income</a:t>
                </a:r>
                <a:r>
                  <a:rPr lang="en-US">
                    <a:solidFill>
                      <a:schemeClr val="tx1"/>
                    </a:solidFill>
                  </a:rPr>
                  <a:t> Growth % (2014-2019)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1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175011</xdr:colOff>
      <xdr:row>54</xdr:row>
      <xdr:rowOff>112257</xdr:rowOff>
    </xdr:from>
    <xdr:to>
      <xdr:col>30</xdr:col>
      <xdr:colOff>354786</xdr:colOff>
      <xdr:row>55</xdr:row>
      <xdr:rowOff>69778</xdr:rowOff>
    </xdr:to>
    <xdr:sp macro="" textlink="">
      <xdr:nvSpPr>
        <xdr:cNvPr id="4" name="Parentesi graffa chiusa 3">
          <a:extLst>
            <a:ext uri="{FF2B5EF4-FFF2-40B4-BE49-F238E27FC236}">
              <a16:creationId xmlns:a16="http://schemas.microsoft.com/office/drawing/2014/main" id="{6EC36828-EEA6-4E69-86B9-F66C7D9EAB23}"/>
            </a:ext>
          </a:extLst>
        </xdr:cNvPr>
        <xdr:cNvSpPr/>
      </xdr:nvSpPr>
      <xdr:spPr>
        <a:xfrm rot="5400000">
          <a:off x="25058522" y="8721304"/>
          <a:ext cx="156882" cy="4779833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5" name="Connettore a gomito 4">
          <a:extLst>
            <a:ext uri="{FF2B5EF4-FFF2-40B4-BE49-F238E27FC236}">
              <a16:creationId xmlns:a16="http://schemas.microsoft.com/office/drawing/2014/main" id="{1FED89E6-E6AE-461A-9ADE-BB9AB9D8F401}"/>
            </a:ext>
          </a:extLst>
        </xdr:cNvPr>
        <xdr:cNvCxnSpPr/>
      </xdr:nvCxnSpPr>
      <xdr:spPr>
        <a:xfrm flipV="1">
          <a:off x="17590185" y="10962503"/>
          <a:ext cx="480884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7" name="Connettore a gomito 6">
          <a:extLst>
            <a:ext uri="{FF2B5EF4-FFF2-40B4-BE49-F238E27FC236}">
              <a16:creationId xmlns:a16="http://schemas.microsoft.com/office/drawing/2014/main" id="{2CEC6A7C-35F1-4E56-9CB7-59B7D1CA5D62}"/>
            </a:ext>
          </a:extLst>
        </xdr:cNvPr>
        <xdr:cNvCxnSpPr/>
      </xdr:nvCxnSpPr>
      <xdr:spPr>
        <a:xfrm flipV="1">
          <a:off x="17590185" y="10962503"/>
          <a:ext cx="480884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8" name="Connettore a gomito 7">
          <a:extLst>
            <a:ext uri="{FF2B5EF4-FFF2-40B4-BE49-F238E27FC236}">
              <a16:creationId xmlns:a16="http://schemas.microsoft.com/office/drawing/2014/main" id="{F48D4CFF-C0F4-46A2-B6FE-686B50693A40}"/>
            </a:ext>
          </a:extLst>
        </xdr:cNvPr>
        <xdr:cNvCxnSpPr/>
      </xdr:nvCxnSpPr>
      <xdr:spPr>
        <a:xfrm flipV="1">
          <a:off x="17590185" y="10962503"/>
          <a:ext cx="480884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554449</xdr:colOff>
      <xdr:row>3</xdr:row>
      <xdr:rowOff>34903</xdr:rowOff>
    </xdr:from>
    <xdr:to>
      <xdr:col>15</xdr:col>
      <xdr:colOff>287304</xdr:colOff>
      <xdr:row>21</xdr:row>
      <xdr:rowOff>22203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06094-C4CE-B443-B65F-D99BCAE02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108266</xdr:colOff>
      <xdr:row>23</xdr:row>
      <xdr:rowOff>39391</xdr:rowOff>
    </xdr:from>
    <xdr:to>
      <xdr:col>14</xdr:col>
      <xdr:colOff>665744</xdr:colOff>
      <xdr:row>41</xdr:row>
      <xdr:rowOff>26690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BF7ADB-B9AE-7C4C-8EC3-88CCFF7CB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801692</xdr:colOff>
      <xdr:row>46</xdr:row>
      <xdr:rowOff>183834</xdr:rowOff>
    </xdr:from>
    <xdr:to>
      <xdr:col>15</xdr:col>
      <xdr:colOff>533713</xdr:colOff>
      <xdr:row>64</xdr:row>
      <xdr:rowOff>171133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0F1D3-4288-B741-9D93-CE15C10B3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0.16839</cdr:x>
      <cdr:y>0.61094</cdr:y>
    </cdr:from>
    <cdr:to>
      <cdr:x>0.30077</cdr:x>
      <cdr:y>0.68282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8F657E-AED4-EC49-8CD3-B875C2C73926}"/>
            </a:ext>
          </a:extLst>
        </cdr:cNvPr>
        <cdr:cNvSpPr txBox="1"/>
      </cdr:nvSpPr>
      <cdr:spPr>
        <a:xfrm xmlns:a="http://schemas.openxmlformats.org/drawingml/2006/main">
          <a:off x="1067113" y="2117006"/>
          <a:ext cx="838979" cy="24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Amex</a:t>
          </a:r>
        </a:p>
      </cdr:txBody>
    </cdr:sp>
  </cdr:relSizeAnchor>
  <cdr:relSizeAnchor xmlns:cdr="http://schemas.openxmlformats.org/drawingml/2006/chartDrawing">
    <cdr:from>
      <cdr:x>0.46409</cdr:x>
      <cdr:y>0.47446</cdr:y>
    </cdr:from>
    <cdr:to>
      <cdr:x>0.59647</cdr:x>
      <cdr:y>0.54634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E95595-3C42-D447-9422-C791BB94627E}"/>
            </a:ext>
          </a:extLst>
        </cdr:cNvPr>
        <cdr:cNvSpPr txBox="1"/>
      </cdr:nvSpPr>
      <cdr:spPr>
        <a:xfrm xmlns:a="http://schemas.openxmlformats.org/drawingml/2006/main">
          <a:off x="2950883" y="1669685"/>
          <a:ext cx="841782" cy="252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Visa</a:t>
          </a:r>
        </a:p>
      </cdr:txBody>
    </cdr:sp>
  </cdr:relSizeAnchor>
  <cdr:relSizeAnchor xmlns:cdr="http://schemas.openxmlformats.org/drawingml/2006/chartDrawing">
    <cdr:from>
      <cdr:x>0.60604</cdr:x>
      <cdr:y>0.49795</cdr:y>
    </cdr:from>
    <cdr:to>
      <cdr:x>0.74257</cdr:x>
      <cdr:y>0.56983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E3D60B0-2F4F-0B44-89BC-8C4E7A63999D}"/>
            </a:ext>
          </a:extLst>
        </cdr:cNvPr>
        <cdr:cNvSpPr txBox="1"/>
      </cdr:nvSpPr>
      <cdr:spPr>
        <a:xfrm xmlns:a="http://schemas.openxmlformats.org/drawingml/2006/main">
          <a:off x="3835933" y="1735543"/>
          <a:ext cx="864167" cy="250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MasterCard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0.83632</cdr:x>
      <cdr:y>0.18338</cdr:y>
    </cdr:from>
    <cdr:to>
      <cdr:x>0.96871</cdr:x>
      <cdr:y>0.25526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3D60B0-2F4F-0B44-89BC-8C4E7A63999D}"/>
            </a:ext>
          </a:extLst>
        </cdr:cNvPr>
        <cdr:cNvSpPr txBox="1"/>
      </cdr:nvSpPr>
      <cdr:spPr>
        <a:xfrm xmlns:a="http://schemas.openxmlformats.org/drawingml/2006/main">
          <a:off x="5301330" y="629704"/>
          <a:ext cx="839187" cy="246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PayPal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0.12748</cdr:x>
      <cdr:y>0.54589</cdr:y>
    </cdr:from>
    <cdr:to>
      <cdr:x>0.25987</cdr:x>
      <cdr:y>0.61877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82F78F-7C66-8F4E-B385-F20AB57AABB5}"/>
            </a:ext>
          </a:extLst>
        </cdr:cNvPr>
        <cdr:cNvSpPr txBox="1"/>
      </cdr:nvSpPr>
      <cdr:spPr>
        <a:xfrm xmlns:a="http://schemas.openxmlformats.org/drawingml/2006/main">
          <a:off x="806883" y="1875863"/>
          <a:ext cx="837963" cy="250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Amex</a:t>
          </a:r>
        </a:p>
      </cdr:txBody>
    </cdr:sp>
  </cdr:relSizeAnchor>
  <cdr:relSizeAnchor xmlns:cdr="http://schemas.openxmlformats.org/drawingml/2006/chartDrawing">
    <cdr:from>
      <cdr:x>0.55402</cdr:x>
      <cdr:y>0.24486</cdr:y>
    </cdr:from>
    <cdr:to>
      <cdr:x>0.68641</cdr:x>
      <cdr:y>0.31775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7B9E3A6-6356-864F-99C0-76215E5D5CDE}"/>
            </a:ext>
          </a:extLst>
        </cdr:cNvPr>
        <cdr:cNvSpPr txBox="1"/>
      </cdr:nvSpPr>
      <cdr:spPr>
        <a:xfrm xmlns:a="http://schemas.openxmlformats.org/drawingml/2006/main">
          <a:off x="3506673" y="841442"/>
          <a:ext cx="837963" cy="250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Visa</a:t>
          </a:r>
        </a:p>
      </cdr:txBody>
    </cdr:sp>
  </cdr:relSizeAnchor>
  <cdr:relSizeAnchor xmlns:cdr="http://schemas.openxmlformats.org/drawingml/2006/chartDrawing">
    <cdr:from>
      <cdr:x>0.86761</cdr:x>
      <cdr:y>0.3589</cdr:y>
    </cdr:from>
    <cdr:to>
      <cdr:x>1</cdr:x>
      <cdr:y>0.43178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393B2D3-4930-294C-A118-345D106905A9}"/>
            </a:ext>
          </a:extLst>
        </cdr:cNvPr>
        <cdr:cNvSpPr txBox="1"/>
      </cdr:nvSpPr>
      <cdr:spPr>
        <a:xfrm xmlns:a="http://schemas.openxmlformats.org/drawingml/2006/main">
          <a:off x="5496259" y="1223921"/>
          <a:ext cx="838664" cy="24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PayPal</a:t>
          </a:r>
        </a:p>
      </cdr:txBody>
    </cdr:sp>
  </cdr:relSizeAnchor>
  <cdr:relSizeAnchor xmlns:cdr="http://schemas.openxmlformats.org/drawingml/2006/chartDrawing">
    <cdr:from>
      <cdr:x>0.70826</cdr:x>
      <cdr:y>0.23792</cdr:y>
    </cdr:from>
    <cdr:to>
      <cdr:x>0.84065</cdr:x>
      <cdr:y>0.31081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AA080E3-66B1-B048-A6F0-E6577E2BCBDA}"/>
            </a:ext>
          </a:extLst>
        </cdr:cNvPr>
        <cdr:cNvSpPr txBox="1"/>
      </cdr:nvSpPr>
      <cdr:spPr>
        <a:xfrm xmlns:a="http://schemas.openxmlformats.org/drawingml/2006/main">
          <a:off x="4486275" y="812800"/>
          <a:ext cx="838583" cy="249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Mastercard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0.1781</cdr:x>
      <cdr:y>0.56944</cdr:y>
    </cdr:from>
    <cdr:to>
      <cdr:x>0.31049</cdr:x>
      <cdr:y>0.64232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82F78F-7C66-8F4E-B385-F20AB57AABB5}"/>
            </a:ext>
          </a:extLst>
        </cdr:cNvPr>
        <cdr:cNvSpPr txBox="1"/>
      </cdr:nvSpPr>
      <cdr:spPr>
        <a:xfrm xmlns:a="http://schemas.openxmlformats.org/drawingml/2006/main">
          <a:off x="1133763" y="1983664"/>
          <a:ext cx="842782" cy="25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Amex</a:t>
          </a:r>
        </a:p>
      </cdr:txBody>
    </cdr:sp>
  </cdr:relSizeAnchor>
  <cdr:relSizeAnchor xmlns:cdr="http://schemas.openxmlformats.org/drawingml/2006/chartDrawing">
    <cdr:from>
      <cdr:x>0.5375</cdr:x>
      <cdr:y>0.39013</cdr:y>
    </cdr:from>
    <cdr:to>
      <cdr:x>0.66989</cdr:x>
      <cdr:y>0.46302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7B9E3A6-6356-864F-99C0-76215E5D5CDE}"/>
            </a:ext>
          </a:extLst>
        </cdr:cNvPr>
        <cdr:cNvSpPr txBox="1"/>
      </cdr:nvSpPr>
      <cdr:spPr>
        <a:xfrm xmlns:a="http://schemas.openxmlformats.org/drawingml/2006/main">
          <a:off x="3421693" y="1359022"/>
          <a:ext cx="842782" cy="25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Visa</a:t>
          </a:r>
        </a:p>
      </cdr:txBody>
    </cdr:sp>
  </cdr:relSizeAnchor>
  <cdr:relSizeAnchor xmlns:cdr="http://schemas.openxmlformats.org/drawingml/2006/chartDrawing">
    <cdr:from>
      <cdr:x>0.69929</cdr:x>
      <cdr:y>0.46599</cdr:y>
    </cdr:from>
    <cdr:to>
      <cdr:x>0.83582</cdr:x>
      <cdr:y>0.53888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0078684-85E1-F848-9BAF-303FBCDA486D}"/>
            </a:ext>
          </a:extLst>
        </cdr:cNvPr>
        <cdr:cNvSpPr txBox="1"/>
      </cdr:nvSpPr>
      <cdr:spPr>
        <a:xfrm xmlns:a="http://schemas.openxmlformats.org/drawingml/2006/main">
          <a:off x="4451612" y="1623305"/>
          <a:ext cx="869136" cy="25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MasterCard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0.75007</cdr:x>
      <cdr:y>0.16874</cdr:y>
    </cdr:from>
    <cdr:to>
      <cdr:x>0.88246</cdr:x>
      <cdr:y>0.24162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393B2D3-4930-294C-A118-345D106905A9}"/>
            </a:ext>
          </a:extLst>
        </cdr:cNvPr>
        <cdr:cNvSpPr txBox="1"/>
      </cdr:nvSpPr>
      <cdr:spPr>
        <a:xfrm xmlns:a="http://schemas.openxmlformats.org/drawingml/2006/main">
          <a:off x="4774873" y="587822"/>
          <a:ext cx="842782" cy="25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PayPal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3" name="Connettore a gomito 2">
          <a:extLst>
            <a:ext uri="{FF2B5EF4-FFF2-40B4-BE49-F238E27FC236}">
              <a16:creationId xmlns:a16="http://schemas.microsoft.com/office/drawing/2014/main" id="{2FF6EA6B-C3F7-4C79-BC2E-4DF3060374D7}"/>
            </a:ext>
          </a:extLst>
        </xdr:cNvPr>
        <xdr:cNvCxnSpPr/>
      </xdr:nvCxnSpPr>
      <xdr:spPr>
        <a:xfrm flipV="1">
          <a:off x="17126635" y="9794103"/>
          <a:ext cx="546289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248850</xdr:colOff>
      <xdr:row>54</xdr:row>
      <xdr:rowOff>90104</xdr:rowOff>
    </xdr:from>
    <xdr:to>
      <xdr:col>31</xdr:col>
      <xdr:colOff>285750</xdr:colOff>
      <xdr:row>55</xdr:row>
      <xdr:rowOff>71438</xdr:rowOff>
    </xdr:to>
    <xdr:sp macro="" textlink="">
      <xdr:nvSpPr>
        <xdr:cNvPr id="4" name="Parentesi graffa chiusa 3">
          <a:extLst>
            <a:ext uri="{FF2B5EF4-FFF2-40B4-BE49-F238E27FC236}">
              <a16:creationId xmlns:a16="http://schemas.microsoft.com/office/drawing/2014/main" id="{87E411C6-97E5-4B16-A3FF-F3E7EAFED7FC}"/>
            </a:ext>
          </a:extLst>
        </xdr:cNvPr>
        <xdr:cNvSpPr/>
      </xdr:nvSpPr>
      <xdr:spPr>
        <a:xfrm rot="5400000">
          <a:off x="22140477" y="7979978"/>
          <a:ext cx="179771" cy="6132900"/>
        </a:xfrm>
        <a:prstGeom prst="rightBrace">
          <a:avLst>
            <a:gd name="adj1" fmla="val 0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6" name="Connettore a gomito 5">
          <a:extLst>
            <a:ext uri="{FF2B5EF4-FFF2-40B4-BE49-F238E27FC236}">
              <a16:creationId xmlns:a16="http://schemas.microsoft.com/office/drawing/2014/main" id="{C5D30C23-A000-46D4-8969-8353E87F1531}"/>
            </a:ext>
          </a:extLst>
        </xdr:cNvPr>
        <xdr:cNvCxnSpPr/>
      </xdr:nvCxnSpPr>
      <xdr:spPr>
        <a:xfrm flipV="1">
          <a:off x="16466235" y="10975203"/>
          <a:ext cx="363409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7" name="Connettore a gomito 6">
          <a:extLst>
            <a:ext uri="{FF2B5EF4-FFF2-40B4-BE49-F238E27FC236}">
              <a16:creationId xmlns:a16="http://schemas.microsoft.com/office/drawing/2014/main" id="{C48161BA-37C5-43A6-98F7-4BE080E0DDC8}"/>
            </a:ext>
          </a:extLst>
        </xdr:cNvPr>
        <xdr:cNvCxnSpPr/>
      </xdr:nvCxnSpPr>
      <xdr:spPr>
        <a:xfrm flipV="1">
          <a:off x="16466235" y="10975203"/>
          <a:ext cx="363409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8" name="Connettore a gomito 7">
          <a:extLst>
            <a:ext uri="{FF2B5EF4-FFF2-40B4-BE49-F238E27FC236}">
              <a16:creationId xmlns:a16="http://schemas.microsoft.com/office/drawing/2014/main" id="{DFAB0BE2-2B8D-4E36-AD78-D444C4D2EDF6}"/>
            </a:ext>
          </a:extLst>
        </xdr:cNvPr>
        <xdr:cNvCxnSpPr/>
      </xdr:nvCxnSpPr>
      <xdr:spPr>
        <a:xfrm flipV="1">
          <a:off x="16466235" y="10975203"/>
          <a:ext cx="363409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248849</xdr:colOff>
      <xdr:row>54</xdr:row>
      <xdr:rowOff>90104</xdr:rowOff>
    </xdr:from>
    <xdr:to>
      <xdr:col>25</xdr:col>
      <xdr:colOff>428624</xdr:colOff>
      <xdr:row>55</xdr:row>
      <xdr:rowOff>47625</xdr:rowOff>
    </xdr:to>
    <xdr:sp macro="" textlink="">
      <xdr:nvSpPr>
        <xdr:cNvPr id="2" name="Parentesi graffa chiusa 1">
          <a:extLst>
            <a:ext uri="{FF2B5EF4-FFF2-40B4-BE49-F238E27FC236}">
              <a16:creationId xmlns:a16="http://schemas.microsoft.com/office/drawing/2014/main" id="{8749C0C7-3C7F-4F74-AB2D-79BC66E40575}"/>
            </a:ext>
          </a:extLst>
        </xdr:cNvPr>
        <xdr:cNvSpPr/>
      </xdr:nvSpPr>
      <xdr:spPr>
        <a:xfrm rot="5400000">
          <a:off x="25293251" y="8192702"/>
          <a:ext cx="154371" cy="5513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51485</xdr:colOff>
      <xdr:row>54</xdr:row>
      <xdr:rowOff>180203</xdr:rowOff>
    </xdr:from>
    <xdr:to>
      <xdr:col>18</xdr:col>
      <xdr:colOff>34325</xdr:colOff>
      <xdr:row>55</xdr:row>
      <xdr:rowOff>120135</xdr:rowOff>
    </xdr:to>
    <xdr:cxnSp macro="">
      <xdr:nvCxnSpPr>
        <xdr:cNvPr id="3" name="Connettore a gomito 2">
          <a:extLst>
            <a:ext uri="{FF2B5EF4-FFF2-40B4-BE49-F238E27FC236}">
              <a16:creationId xmlns:a16="http://schemas.microsoft.com/office/drawing/2014/main" id="{AE66FE8C-B3A8-41AB-8087-74B1EAED08D1}"/>
            </a:ext>
          </a:extLst>
        </xdr:cNvPr>
        <xdr:cNvCxnSpPr/>
      </xdr:nvCxnSpPr>
      <xdr:spPr>
        <a:xfrm flipV="1">
          <a:off x="17590185" y="10962503"/>
          <a:ext cx="480884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248849</xdr:colOff>
      <xdr:row>54</xdr:row>
      <xdr:rowOff>90104</xdr:rowOff>
    </xdr:from>
    <xdr:to>
      <xdr:col>30</xdr:col>
      <xdr:colOff>428624</xdr:colOff>
      <xdr:row>55</xdr:row>
      <xdr:rowOff>47625</xdr:rowOff>
    </xdr:to>
    <xdr:sp macro="" textlink="">
      <xdr:nvSpPr>
        <xdr:cNvPr id="2" name="Parentesi graffa chiusa 1">
          <a:extLst>
            <a:ext uri="{FF2B5EF4-FFF2-40B4-BE49-F238E27FC236}">
              <a16:creationId xmlns:a16="http://schemas.microsoft.com/office/drawing/2014/main" id="{47574485-0FAA-468F-A1DC-320170CA4026}"/>
            </a:ext>
          </a:extLst>
        </xdr:cNvPr>
        <xdr:cNvSpPr/>
      </xdr:nvSpPr>
      <xdr:spPr>
        <a:xfrm rot="5400000">
          <a:off x="25293251" y="8192702"/>
          <a:ext cx="154371" cy="5513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3" name="Connettore a gomito 2">
          <a:extLst>
            <a:ext uri="{FF2B5EF4-FFF2-40B4-BE49-F238E27FC236}">
              <a16:creationId xmlns:a16="http://schemas.microsoft.com/office/drawing/2014/main" id="{45034DFE-0CBA-4109-884C-359AD19ADDB7}"/>
            </a:ext>
          </a:extLst>
        </xdr:cNvPr>
        <xdr:cNvCxnSpPr/>
      </xdr:nvCxnSpPr>
      <xdr:spPr>
        <a:xfrm flipV="1">
          <a:off x="17590185" y="10962503"/>
          <a:ext cx="480884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5" name="Connettore a gomito 4">
          <a:extLst>
            <a:ext uri="{FF2B5EF4-FFF2-40B4-BE49-F238E27FC236}">
              <a16:creationId xmlns:a16="http://schemas.microsoft.com/office/drawing/2014/main" id="{E86F1570-288A-4E0E-8544-66A8C5A1CFB4}"/>
            </a:ext>
          </a:extLst>
        </xdr:cNvPr>
        <xdr:cNvCxnSpPr/>
      </xdr:nvCxnSpPr>
      <xdr:spPr>
        <a:xfrm flipV="1">
          <a:off x="17590185" y="10962503"/>
          <a:ext cx="480884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51485</xdr:colOff>
      <xdr:row>54</xdr:row>
      <xdr:rowOff>180203</xdr:rowOff>
    </xdr:from>
    <xdr:to>
      <xdr:col>23</xdr:col>
      <xdr:colOff>34325</xdr:colOff>
      <xdr:row>55</xdr:row>
      <xdr:rowOff>120135</xdr:rowOff>
    </xdr:to>
    <xdr:cxnSp macro="">
      <xdr:nvCxnSpPr>
        <xdr:cNvPr id="6" name="Connettore a gomito 5">
          <a:extLst>
            <a:ext uri="{FF2B5EF4-FFF2-40B4-BE49-F238E27FC236}">
              <a16:creationId xmlns:a16="http://schemas.microsoft.com/office/drawing/2014/main" id="{4CFD0577-21B5-4EFF-B196-4DE73B0B5E69}"/>
            </a:ext>
          </a:extLst>
        </xdr:cNvPr>
        <xdr:cNvCxnSpPr/>
      </xdr:nvCxnSpPr>
      <xdr:spPr>
        <a:xfrm flipV="1">
          <a:off x="17590185" y="10962503"/>
          <a:ext cx="4808840" cy="13678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609600</xdr:colOff>
      <xdr:row>20</xdr:row>
      <xdr:rowOff>88900</xdr:rowOff>
    </xdr:from>
    <xdr:to>
      <xdr:col>14</xdr:col>
      <xdr:colOff>228600</xdr:colOff>
      <xdr:row>37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A5C6E7-887A-A346-B7EF-147BCFD28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3898900"/>
          <a:ext cx="2095500" cy="322580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508000</xdr:colOff>
      <xdr:row>22</xdr:row>
      <xdr:rowOff>165100</xdr:rowOff>
    </xdr:from>
    <xdr:to>
      <xdr:col>10</xdr:col>
      <xdr:colOff>533400</xdr:colOff>
      <xdr:row>39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504AF9-1B6A-684B-A857-5F0C2F37D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1500" y="4356100"/>
          <a:ext cx="1676400" cy="32512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</xdr:colOff>
      <xdr:row>1</xdr:row>
      <xdr:rowOff>6257</xdr:rowOff>
    </xdr:from>
    <xdr:to>
      <xdr:col>12</xdr:col>
      <xdr:colOff>554673</xdr:colOff>
      <xdr:row>18</xdr:row>
      <xdr:rowOff>184535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4889D-B15D-3449-A07A-28080E7BF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814883</xdr:colOff>
      <xdr:row>20</xdr:row>
      <xdr:rowOff>1196</xdr:rowOff>
    </xdr:from>
    <xdr:to>
      <xdr:col>12</xdr:col>
      <xdr:colOff>551158</xdr:colOff>
      <xdr:row>37</xdr:row>
      <xdr:rowOff>179472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62057-DFFC-964F-9E2A-EF9D0CC61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9136</xdr:colOff>
      <xdr:row>38</xdr:row>
      <xdr:rowOff>174287</xdr:rowOff>
    </xdr:from>
    <xdr:to>
      <xdr:col>12</xdr:col>
      <xdr:colOff>562360</xdr:colOff>
      <xdr:row>56</xdr:row>
      <xdr:rowOff>161586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8B3033-23B4-B949-A777-24440FA6C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0.16839</cdr:x>
      <cdr:y>0.61094</cdr:y>
    </cdr:from>
    <cdr:to>
      <cdr:x>0.30077</cdr:x>
      <cdr:y>0.68282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F8F657E-AED4-EC49-8CD3-B875C2C73926}"/>
            </a:ext>
          </a:extLst>
        </cdr:cNvPr>
        <cdr:cNvSpPr txBox="1"/>
      </cdr:nvSpPr>
      <cdr:spPr>
        <a:xfrm xmlns:a="http://schemas.openxmlformats.org/drawingml/2006/main">
          <a:off x="1067113" y="2117006"/>
          <a:ext cx="838979" cy="249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Amex</a:t>
          </a:r>
        </a:p>
      </cdr:txBody>
    </cdr:sp>
  </cdr:relSizeAnchor>
  <cdr:relSizeAnchor xmlns:cdr="http://schemas.openxmlformats.org/drawingml/2006/chartDrawing">
    <cdr:from>
      <cdr:x>0.46409</cdr:x>
      <cdr:y>0.47446</cdr:y>
    </cdr:from>
    <cdr:to>
      <cdr:x>0.59647</cdr:x>
      <cdr:y>0.54634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DE95595-3C42-D447-9422-C791BB94627E}"/>
            </a:ext>
          </a:extLst>
        </cdr:cNvPr>
        <cdr:cNvSpPr txBox="1"/>
      </cdr:nvSpPr>
      <cdr:spPr>
        <a:xfrm xmlns:a="http://schemas.openxmlformats.org/drawingml/2006/main">
          <a:off x="2950883" y="1669685"/>
          <a:ext cx="841782" cy="252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Visa</a:t>
          </a:r>
        </a:p>
      </cdr:txBody>
    </cdr:sp>
  </cdr:relSizeAnchor>
  <cdr:relSizeAnchor xmlns:cdr="http://schemas.openxmlformats.org/drawingml/2006/chartDrawing">
    <cdr:from>
      <cdr:x>0.60604</cdr:x>
      <cdr:y>0.49795</cdr:y>
    </cdr:from>
    <cdr:to>
      <cdr:x>0.74257</cdr:x>
      <cdr:y>0.56983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CE3D60B0-2F4F-0B44-89BC-8C4E7A63999D}"/>
            </a:ext>
          </a:extLst>
        </cdr:cNvPr>
        <cdr:cNvSpPr txBox="1"/>
      </cdr:nvSpPr>
      <cdr:spPr>
        <a:xfrm xmlns:a="http://schemas.openxmlformats.org/drawingml/2006/main">
          <a:off x="3835933" y="1735543"/>
          <a:ext cx="864167" cy="2505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MasterCard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0.83632</cdr:x>
      <cdr:y>0.18338</cdr:y>
    </cdr:from>
    <cdr:to>
      <cdr:x>0.96871</cdr:x>
      <cdr:y>0.25526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E3D60B0-2F4F-0B44-89BC-8C4E7A63999D}"/>
            </a:ext>
          </a:extLst>
        </cdr:cNvPr>
        <cdr:cNvSpPr txBox="1"/>
      </cdr:nvSpPr>
      <cdr:spPr>
        <a:xfrm xmlns:a="http://schemas.openxmlformats.org/drawingml/2006/main">
          <a:off x="5301330" y="629704"/>
          <a:ext cx="839187" cy="2468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PayPal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0.12748</cdr:x>
      <cdr:y>0.54589</cdr:y>
    </cdr:from>
    <cdr:to>
      <cdr:x>0.25987</cdr:x>
      <cdr:y>0.61877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82F78F-7C66-8F4E-B385-F20AB57AABB5}"/>
            </a:ext>
          </a:extLst>
        </cdr:cNvPr>
        <cdr:cNvSpPr txBox="1"/>
      </cdr:nvSpPr>
      <cdr:spPr>
        <a:xfrm xmlns:a="http://schemas.openxmlformats.org/drawingml/2006/main">
          <a:off x="806883" y="1875863"/>
          <a:ext cx="837963" cy="2504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Amex</a:t>
          </a:r>
        </a:p>
      </cdr:txBody>
    </cdr:sp>
  </cdr:relSizeAnchor>
  <cdr:relSizeAnchor xmlns:cdr="http://schemas.openxmlformats.org/drawingml/2006/chartDrawing">
    <cdr:from>
      <cdr:x>0.55402</cdr:x>
      <cdr:y>0.24486</cdr:y>
    </cdr:from>
    <cdr:to>
      <cdr:x>0.68641</cdr:x>
      <cdr:y>0.31775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7B9E3A6-6356-864F-99C0-76215E5D5CDE}"/>
            </a:ext>
          </a:extLst>
        </cdr:cNvPr>
        <cdr:cNvSpPr txBox="1"/>
      </cdr:nvSpPr>
      <cdr:spPr>
        <a:xfrm xmlns:a="http://schemas.openxmlformats.org/drawingml/2006/main">
          <a:off x="3506673" y="841442"/>
          <a:ext cx="837963" cy="2504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Visa</a:t>
          </a:r>
        </a:p>
      </cdr:txBody>
    </cdr:sp>
  </cdr:relSizeAnchor>
  <cdr:relSizeAnchor xmlns:cdr="http://schemas.openxmlformats.org/drawingml/2006/chartDrawing">
    <cdr:from>
      <cdr:x>0.86761</cdr:x>
      <cdr:y>0.3589</cdr:y>
    </cdr:from>
    <cdr:to>
      <cdr:x>1</cdr:x>
      <cdr:y>0.43178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393B2D3-4930-294C-A118-345D106905A9}"/>
            </a:ext>
          </a:extLst>
        </cdr:cNvPr>
        <cdr:cNvSpPr txBox="1"/>
      </cdr:nvSpPr>
      <cdr:spPr>
        <a:xfrm xmlns:a="http://schemas.openxmlformats.org/drawingml/2006/main">
          <a:off x="5496259" y="1223921"/>
          <a:ext cx="838664" cy="2485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PayPal</a:t>
          </a:r>
        </a:p>
      </cdr:txBody>
    </cdr:sp>
  </cdr:relSizeAnchor>
  <cdr:relSizeAnchor xmlns:cdr="http://schemas.openxmlformats.org/drawingml/2006/chartDrawing">
    <cdr:from>
      <cdr:x>0.70826</cdr:x>
      <cdr:y>0.23792</cdr:y>
    </cdr:from>
    <cdr:to>
      <cdr:x>0.84065</cdr:x>
      <cdr:y>0.31081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AA080E3-66B1-B048-A6F0-E6577E2BCBDA}"/>
            </a:ext>
          </a:extLst>
        </cdr:cNvPr>
        <cdr:cNvSpPr txBox="1"/>
      </cdr:nvSpPr>
      <cdr:spPr>
        <a:xfrm xmlns:a="http://schemas.openxmlformats.org/drawingml/2006/main">
          <a:off x="4486275" y="812800"/>
          <a:ext cx="838583" cy="2490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Mastercard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0.1781</cdr:x>
      <cdr:y>0.56944</cdr:y>
    </cdr:from>
    <cdr:to>
      <cdr:x>0.31049</cdr:x>
      <cdr:y>0.64232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82F78F-7C66-8F4E-B385-F20AB57AABB5}"/>
            </a:ext>
          </a:extLst>
        </cdr:cNvPr>
        <cdr:cNvSpPr txBox="1"/>
      </cdr:nvSpPr>
      <cdr:spPr>
        <a:xfrm xmlns:a="http://schemas.openxmlformats.org/drawingml/2006/main">
          <a:off x="1133763" y="1983664"/>
          <a:ext cx="842782" cy="25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Amex</a:t>
          </a:r>
        </a:p>
      </cdr:txBody>
    </cdr:sp>
  </cdr:relSizeAnchor>
  <cdr:relSizeAnchor xmlns:cdr="http://schemas.openxmlformats.org/drawingml/2006/chartDrawing">
    <cdr:from>
      <cdr:x>0.5375</cdr:x>
      <cdr:y>0.39013</cdr:y>
    </cdr:from>
    <cdr:to>
      <cdr:x>0.66989</cdr:x>
      <cdr:y>0.46302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7B9E3A6-6356-864F-99C0-76215E5D5CDE}"/>
            </a:ext>
          </a:extLst>
        </cdr:cNvPr>
        <cdr:cNvSpPr txBox="1"/>
      </cdr:nvSpPr>
      <cdr:spPr>
        <a:xfrm xmlns:a="http://schemas.openxmlformats.org/drawingml/2006/main">
          <a:off x="3421693" y="1359022"/>
          <a:ext cx="842782" cy="25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Visa</a:t>
          </a:r>
        </a:p>
      </cdr:txBody>
    </cdr:sp>
  </cdr:relSizeAnchor>
  <cdr:relSizeAnchor xmlns:cdr="http://schemas.openxmlformats.org/drawingml/2006/chartDrawing">
    <cdr:from>
      <cdr:x>0.69929</cdr:x>
      <cdr:y>0.46599</cdr:y>
    </cdr:from>
    <cdr:to>
      <cdr:x>0.83582</cdr:x>
      <cdr:y>0.53888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0078684-85E1-F848-9BAF-303FBCDA486D}"/>
            </a:ext>
          </a:extLst>
        </cdr:cNvPr>
        <cdr:cNvSpPr txBox="1"/>
      </cdr:nvSpPr>
      <cdr:spPr>
        <a:xfrm xmlns:a="http://schemas.openxmlformats.org/drawingml/2006/main">
          <a:off x="4451612" y="1623305"/>
          <a:ext cx="869136" cy="2539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MasterCard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0.75007</cdr:x>
      <cdr:y>0.16874</cdr:y>
    </cdr:from>
    <cdr:to>
      <cdr:x>0.88246</cdr:x>
      <cdr:y>0.24162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0393B2D3-4930-294C-A118-345D106905A9}"/>
            </a:ext>
          </a:extLst>
        </cdr:cNvPr>
        <cdr:cNvSpPr txBox="1"/>
      </cdr:nvSpPr>
      <cdr:spPr>
        <a:xfrm xmlns:a="http://schemas.openxmlformats.org/drawingml/2006/main">
          <a:off x="4774873" y="587822"/>
          <a:ext cx="842782" cy="2538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PayPal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_isa" preserveFormatting="0" connectionId="1" xr16:uid="{00000000-0016-0000-06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isa" preserveFormatting="0" connectionId="2" xr16:uid="{00000000-0016-0000-06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_ast" preserveFormatting="0" connectionId="3" xr16:uid="{00000000-0016-0000-07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stercard" preserveFormatting="0" connectionId="4" xr16:uid="{00000000-0016-0000-07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yppal" preserveFormatting="0" connectionId="5" xr16:uid="{00000000-0016-0000-0800-000004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ypal" preserveFormatting="0" connectionId="6" xr16:uid="{00000000-0016-0000-08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ex" preserveFormatting="0" connectionId="8" xr16:uid="{00000000-0016-0000-09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_mex" preserveFormatting="0" connectionId="7" xr16:uid="{00000000-0016-0000-0900-000007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0"/>
  <sheetViews>
    <sheetView showGridLines="0" zoomScale="96" zoomScaleNormal="96" workbookViewId="0">
      <selection activeCell="C17" sqref="C17"/>
    </sheetView>
  </sheetViews>
  <sheetFormatPr baseColWidth="10" defaultColWidth="8.83203125" defaultRowHeight="15"/>
  <cols>
    <col min="1" max="1" width="2" style="170" customWidth="1"/>
    <col min="2" max="2" width="43.1640625" style="170" customWidth="1"/>
    <col min="3" max="12" width="10.83203125" style="170" customWidth="1"/>
    <col min="13" max="14" width="11.1640625" style="170" customWidth="1"/>
    <col min="15" max="15" width="13.6640625" style="170" customWidth="1"/>
    <col min="16" max="16" width="28.83203125" style="170" customWidth="1"/>
    <col min="17" max="17" width="5.5" style="170" customWidth="1"/>
    <col min="18" max="23" width="10.5" style="170" customWidth="1"/>
    <col min="24" max="24" width="10.6640625" style="170" bestFit="1" customWidth="1"/>
    <col min="25" max="27" width="9.6640625" style="170" bestFit="1" customWidth="1"/>
    <col min="28" max="32" width="8.83203125" style="170"/>
    <col min="33" max="33" width="8.5" style="170" customWidth="1"/>
    <col min="34" max="38" width="8.83203125" style="170"/>
    <col min="39" max="39" width="8.83203125" style="170" customWidth="1"/>
    <col min="40" max="16384" width="8.83203125" style="170"/>
  </cols>
  <sheetData>
    <row r="1" spans="2:37" ht="17" thickBot="1">
      <c r="B1" s="257" t="s">
        <v>106</v>
      </c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P1" s="174"/>
      <c r="Q1" s="174"/>
      <c r="R1" s="174"/>
      <c r="S1" s="174"/>
      <c r="T1" s="174"/>
      <c r="U1" s="174"/>
      <c r="V1" s="174"/>
    </row>
    <row r="2" spans="2:37" ht="18" thickTop="1" thickBot="1">
      <c r="C2" s="237" t="s">
        <v>3</v>
      </c>
      <c r="D2" s="237" t="s">
        <v>4</v>
      </c>
      <c r="E2" s="237" t="s">
        <v>5</v>
      </c>
      <c r="F2" s="237" t="s">
        <v>6</v>
      </c>
      <c r="G2" s="237" t="s">
        <v>7</v>
      </c>
      <c r="H2" s="237" t="s">
        <v>8</v>
      </c>
      <c r="I2" s="237" t="s">
        <v>9</v>
      </c>
      <c r="J2" s="237" t="s">
        <v>10</v>
      </c>
      <c r="K2" s="237" t="s">
        <v>11</v>
      </c>
      <c r="L2" s="237" t="s">
        <v>12</v>
      </c>
      <c r="M2" s="236" t="s">
        <v>467</v>
      </c>
      <c r="N2" s="236" t="s">
        <v>466</v>
      </c>
      <c r="P2" s="125" t="s">
        <v>482</v>
      </c>
      <c r="Q2" s="125"/>
      <c r="R2" s="126" t="s">
        <v>7</v>
      </c>
      <c r="S2" s="126" t="s">
        <v>8</v>
      </c>
      <c r="T2" s="126" t="s">
        <v>9</v>
      </c>
      <c r="U2" s="126" t="s">
        <v>10</v>
      </c>
      <c r="V2" s="126" t="s">
        <v>11</v>
      </c>
      <c r="W2" s="126" t="s">
        <v>12</v>
      </c>
      <c r="X2" s="126" t="s">
        <v>474</v>
      </c>
      <c r="Y2" s="126" t="s">
        <v>475</v>
      </c>
      <c r="Z2" s="126" t="s">
        <v>476</v>
      </c>
      <c r="AA2" s="126" t="s">
        <v>490</v>
      </c>
      <c r="AB2" s="126" t="s">
        <v>491</v>
      </c>
      <c r="AC2" s="126" t="s">
        <v>531</v>
      </c>
      <c r="AD2" s="126" t="s">
        <v>532</v>
      </c>
      <c r="AE2" s="126" t="s">
        <v>533</v>
      </c>
      <c r="AF2" s="126" t="s">
        <v>534</v>
      </c>
      <c r="AH2" s="207" t="s">
        <v>499</v>
      </c>
      <c r="AI2" s="206"/>
      <c r="AJ2" s="206"/>
      <c r="AK2" s="206" t="s">
        <v>515</v>
      </c>
    </row>
    <row r="3" spans="2:37" ht="18" thickTop="1" thickBot="1">
      <c r="B3" s="235" t="s">
        <v>447</v>
      </c>
      <c r="C3" s="234">
        <f t="shared" ref="C3:L3" si="0">C25</f>
        <v>8065</v>
      </c>
      <c r="D3" s="234">
        <f t="shared" si="0"/>
        <v>9188</v>
      </c>
      <c r="E3" s="234">
        <f t="shared" si="0"/>
        <v>10421</v>
      </c>
      <c r="F3" s="234">
        <f t="shared" si="0"/>
        <v>11778</v>
      </c>
      <c r="G3" s="234">
        <f t="shared" si="0"/>
        <v>12702</v>
      </c>
      <c r="H3" s="234">
        <f t="shared" si="0"/>
        <v>13880</v>
      </c>
      <c r="I3" s="234">
        <f t="shared" si="0"/>
        <v>15082</v>
      </c>
      <c r="J3" s="234">
        <f t="shared" si="0"/>
        <v>18358</v>
      </c>
      <c r="K3" s="234">
        <f t="shared" si="0"/>
        <v>20609</v>
      </c>
      <c r="L3" s="234">
        <f t="shared" si="0"/>
        <v>22977</v>
      </c>
      <c r="M3" s="233"/>
      <c r="N3" s="233"/>
      <c r="P3" s="145" t="s">
        <v>447</v>
      </c>
      <c r="Q3" s="145"/>
      <c r="R3" s="146">
        <f>G25</f>
        <v>12702</v>
      </c>
      <c r="S3" s="146">
        <f t="shared" ref="S3:W3" si="1">H25</f>
        <v>13880</v>
      </c>
      <c r="T3" s="146">
        <f t="shared" si="1"/>
        <v>15082</v>
      </c>
      <c r="U3" s="146">
        <f t="shared" si="1"/>
        <v>18358</v>
      </c>
      <c r="V3" s="146">
        <f t="shared" si="1"/>
        <v>20609</v>
      </c>
      <c r="W3" s="146">
        <f t="shared" si="1"/>
        <v>22977</v>
      </c>
      <c r="X3" s="147">
        <f>W3*(1+$X$4)</f>
        <v>25734.240000000002</v>
      </c>
      <c r="Y3" s="147">
        <f>X3*(1+X4)</f>
        <v>28822.348800000003</v>
      </c>
      <c r="Z3" s="147">
        <f t="shared" ref="Z3:AF3" si="2">Y3*(1+Y4)</f>
        <v>32281.030656000006</v>
      </c>
      <c r="AA3" s="147">
        <f t="shared" si="2"/>
        <v>36154.754334720012</v>
      </c>
      <c r="AB3" s="147">
        <f t="shared" si="2"/>
        <v>39047.134681497613</v>
      </c>
      <c r="AC3" s="147">
        <f t="shared" si="2"/>
        <v>42170.905456017426</v>
      </c>
      <c r="AD3" s="147">
        <f t="shared" si="2"/>
        <v>45544.577892498826</v>
      </c>
      <c r="AE3" s="147">
        <f t="shared" si="2"/>
        <v>47366.361008198779</v>
      </c>
      <c r="AF3" s="147">
        <f t="shared" si="2"/>
        <v>49261.015448526734</v>
      </c>
      <c r="AH3" s="170" t="s">
        <v>500</v>
      </c>
      <c r="AK3" s="204">
        <v>8.3000000000000001E-3</v>
      </c>
    </row>
    <row r="4" spans="2:37" s="222" customFormat="1" ht="17" thickTop="1">
      <c r="B4" s="217" t="s">
        <v>446</v>
      </c>
      <c r="C4" s="230"/>
      <c r="D4" s="216">
        <f t="shared" ref="D4:L4" si="3">(D3-C3)/C3</f>
        <v>0.13924364538127712</v>
      </c>
      <c r="E4" s="216">
        <f t="shared" si="3"/>
        <v>0.13419677840661734</v>
      </c>
      <c r="F4" s="216">
        <f t="shared" si="3"/>
        <v>0.13021782938297669</v>
      </c>
      <c r="G4" s="216">
        <f t="shared" si="3"/>
        <v>7.8451349974528781E-2</v>
      </c>
      <c r="H4" s="216">
        <f t="shared" si="3"/>
        <v>9.2741300582585423E-2</v>
      </c>
      <c r="I4" s="216">
        <f t="shared" si="3"/>
        <v>8.6599423631123926E-2</v>
      </c>
      <c r="J4" s="216">
        <f t="shared" si="3"/>
        <v>0.21721257127701896</v>
      </c>
      <c r="K4" s="216">
        <f t="shared" si="3"/>
        <v>0.12261684279333261</v>
      </c>
      <c r="L4" s="216">
        <f t="shared" si="3"/>
        <v>0.11490125673249552</v>
      </c>
      <c r="M4" s="227">
        <f>(L3/C3)^(1/10)-1</f>
        <v>0.11037300609486422</v>
      </c>
      <c r="N4" s="229">
        <f>(L3/G3)^(1/6)-1</f>
        <v>0.10383341291347525</v>
      </c>
      <c r="P4" s="148" t="s">
        <v>477</v>
      </c>
      <c r="Q4" s="149"/>
      <c r="R4" s="150"/>
      <c r="S4" s="151">
        <f>(S3-R3)/R3</f>
        <v>9.2741300582585423E-2</v>
      </c>
      <c r="T4" s="151">
        <f t="shared" ref="T4:W4" si="4">(T3-S3)/S3</f>
        <v>8.6599423631123926E-2</v>
      </c>
      <c r="U4" s="151">
        <f t="shared" si="4"/>
        <v>0.21721257127701896</v>
      </c>
      <c r="V4" s="151">
        <f t="shared" si="4"/>
        <v>0.12261684279333261</v>
      </c>
      <c r="W4" s="151">
        <f t="shared" si="4"/>
        <v>0.11490125673249552</v>
      </c>
      <c r="X4" s="164">
        <v>0.12</v>
      </c>
      <c r="Y4" s="151">
        <f>X4</f>
        <v>0.12</v>
      </c>
      <c r="Z4" s="151">
        <f t="shared" ref="Z4:AF4" si="5">Y4</f>
        <v>0.12</v>
      </c>
      <c r="AA4" s="164">
        <v>0.08</v>
      </c>
      <c r="AB4" s="151">
        <f t="shared" si="5"/>
        <v>0.08</v>
      </c>
      <c r="AC4" s="151">
        <f t="shared" si="5"/>
        <v>0.08</v>
      </c>
      <c r="AD4" s="164">
        <v>0.04</v>
      </c>
      <c r="AE4" s="151">
        <f t="shared" si="5"/>
        <v>0.04</v>
      </c>
      <c r="AF4" s="151">
        <f t="shared" si="5"/>
        <v>0.04</v>
      </c>
      <c r="AH4" s="222" t="s">
        <v>501</v>
      </c>
      <c r="AK4" s="232">
        <v>5.6000000000000001E-2</v>
      </c>
    </row>
    <row r="5" spans="2:37" ht="17" thickBot="1">
      <c r="B5" s="211" t="s">
        <v>267</v>
      </c>
      <c r="C5" s="228">
        <f t="shared" ref="C5:L5" si="6">C28+C72</f>
        <v>4809</v>
      </c>
      <c r="D5" s="228">
        <f t="shared" si="6"/>
        <v>5751</v>
      </c>
      <c r="E5" s="228">
        <f t="shared" si="6"/>
        <v>6572</v>
      </c>
      <c r="F5" s="228">
        <f t="shared" si="6"/>
        <v>7639</v>
      </c>
      <c r="G5" s="228">
        <f t="shared" si="6"/>
        <v>8585</v>
      </c>
      <c r="H5" s="228">
        <f t="shared" si="6"/>
        <v>9572</v>
      </c>
      <c r="I5" s="228">
        <f t="shared" si="6"/>
        <v>10264</v>
      </c>
      <c r="J5" s="228">
        <f t="shared" si="6"/>
        <v>12719</v>
      </c>
      <c r="K5" s="228">
        <f t="shared" si="6"/>
        <v>14174</v>
      </c>
      <c r="L5" s="228">
        <f t="shared" si="6"/>
        <v>16057</v>
      </c>
      <c r="M5" s="231"/>
      <c r="N5" s="226"/>
      <c r="P5" s="148"/>
      <c r="Q5" s="149"/>
      <c r="R5" s="150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</row>
    <row r="6" spans="2:37" s="222" customFormat="1" ht="18" thickTop="1" thickBot="1">
      <c r="B6" s="217" t="s">
        <v>446</v>
      </c>
      <c r="C6" s="230"/>
      <c r="D6" s="216">
        <f t="shared" ref="D6:L6" si="7">(D5-C5)/C5</f>
        <v>0.19588271990018716</v>
      </c>
      <c r="E6" s="216">
        <f t="shared" si="7"/>
        <v>0.14275778125543384</v>
      </c>
      <c r="F6" s="216">
        <f t="shared" si="7"/>
        <v>0.16235544735240415</v>
      </c>
      <c r="G6" s="216">
        <f t="shared" si="7"/>
        <v>0.12383819871710956</v>
      </c>
      <c r="H6" s="216">
        <f t="shared" si="7"/>
        <v>0.11496796738497379</v>
      </c>
      <c r="I6" s="216">
        <f t="shared" si="7"/>
        <v>7.229419139155871E-2</v>
      </c>
      <c r="J6" s="216">
        <f t="shared" si="7"/>
        <v>0.23918550272798128</v>
      </c>
      <c r="K6" s="216">
        <f t="shared" si="7"/>
        <v>0.11439578583221952</v>
      </c>
      <c r="L6" s="216">
        <f t="shared" si="7"/>
        <v>0.13284887822774094</v>
      </c>
      <c r="M6" s="227">
        <f>(L5/C5)^(1/10)-1</f>
        <v>0.12813471363588702</v>
      </c>
      <c r="N6" s="229">
        <f>(L5/G5)^(1/6)-1</f>
        <v>0.1099941364909276</v>
      </c>
      <c r="O6" s="229">
        <f>((L5/I5)^(1/3))-1</f>
        <v>0.1608673269945553</v>
      </c>
      <c r="P6" s="145" t="s">
        <v>267</v>
      </c>
      <c r="Q6" s="145"/>
      <c r="R6" s="146">
        <f>G28+G72</f>
        <v>8585</v>
      </c>
      <c r="S6" s="146">
        <f t="shared" ref="S6:W6" si="8">H28+H72</f>
        <v>9572</v>
      </c>
      <c r="T6" s="146">
        <f t="shared" si="8"/>
        <v>10264</v>
      </c>
      <c r="U6" s="146">
        <f t="shared" si="8"/>
        <v>12719</v>
      </c>
      <c r="V6" s="146">
        <f t="shared" si="8"/>
        <v>14174</v>
      </c>
      <c r="W6" s="146">
        <f t="shared" si="8"/>
        <v>16057</v>
      </c>
      <c r="X6" s="147">
        <f>W6*(1+$X$7)</f>
        <v>17983.84</v>
      </c>
      <c r="Y6" s="147">
        <f>X6*(1+X7)</f>
        <v>20141.900800000003</v>
      </c>
      <c r="Z6" s="147">
        <f t="shared" ref="Z6:AF6" si="9">Y6*(1+Y7)</f>
        <v>22558.928896000005</v>
      </c>
      <c r="AA6" s="147">
        <f t="shared" si="9"/>
        <v>25266.000363520008</v>
      </c>
      <c r="AB6" s="147">
        <f t="shared" si="9"/>
        <v>27287.280392601609</v>
      </c>
      <c r="AC6" s="147">
        <f t="shared" si="9"/>
        <v>29470.26282400974</v>
      </c>
      <c r="AD6" s="147">
        <f t="shared" si="9"/>
        <v>31827.88384993052</v>
      </c>
      <c r="AE6" s="147">
        <f t="shared" si="9"/>
        <v>33100.999203927742</v>
      </c>
      <c r="AF6" s="147">
        <f t="shared" si="9"/>
        <v>34425.039172084857</v>
      </c>
      <c r="AH6" s="207" t="s">
        <v>502</v>
      </c>
      <c r="AI6" s="206"/>
      <c r="AJ6" s="206"/>
      <c r="AK6" s="206"/>
    </row>
    <row r="7" spans="2:37" ht="17" thickBot="1">
      <c r="B7" s="211" t="s">
        <v>448</v>
      </c>
      <c r="C7" s="228">
        <f t="shared" ref="C7:L7" si="10">C36</f>
        <v>2966</v>
      </c>
      <c r="D7" s="228">
        <f t="shared" si="10"/>
        <v>3650</v>
      </c>
      <c r="E7" s="228">
        <f t="shared" si="10"/>
        <v>2144</v>
      </c>
      <c r="F7" s="228">
        <f t="shared" si="10"/>
        <v>4980</v>
      </c>
      <c r="G7" s="228">
        <f t="shared" si="10"/>
        <v>5438</v>
      </c>
      <c r="H7" s="228">
        <f t="shared" si="10"/>
        <v>6328</v>
      </c>
      <c r="I7" s="228">
        <f t="shared" si="10"/>
        <v>5991</v>
      </c>
      <c r="J7" s="228">
        <f t="shared" si="10"/>
        <v>6699</v>
      </c>
      <c r="K7" s="228">
        <f t="shared" si="10"/>
        <v>10301</v>
      </c>
      <c r="L7" s="228">
        <f t="shared" si="10"/>
        <v>12080</v>
      </c>
      <c r="M7" s="227"/>
      <c r="N7" s="226"/>
      <c r="P7" s="149" t="s">
        <v>477</v>
      </c>
      <c r="Q7" s="149"/>
      <c r="R7" s="152"/>
      <c r="S7" s="153">
        <f>(S6-R6)/R6</f>
        <v>0.11496796738497379</v>
      </c>
      <c r="T7" s="153">
        <f t="shared" ref="T7:W7" si="11">(T6-S6)/S6</f>
        <v>7.229419139155871E-2</v>
      </c>
      <c r="U7" s="153">
        <f t="shared" si="11"/>
        <v>0.23918550272798128</v>
      </c>
      <c r="V7" s="153">
        <f t="shared" si="11"/>
        <v>0.11439578583221952</v>
      </c>
      <c r="W7" s="153">
        <f t="shared" si="11"/>
        <v>0.13284887822774094</v>
      </c>
      <c r="X7" s="164">
        <v>0.12</v>
      </c>
      <c r="Y7" s="153">
        <f>X7</f>
        <v>0.12</v>
      </c>
      <c r="Z7" s="153">
        <f t="shared" ref="Z7:AF7" si="12">Y7</f>
        <v>0.12</v>
      </c>
      <c r="AA7" s="164">
        <v>0.08</v>
      </c>
      <c r="AB7" s="153">
        <f t="shared" si="12"/>
        <v>0.08</v>
      </c>
      <c r="AC7" s="153">
        <f t="shared" si="12"/>
        <v>0.08</v>
      </c>
      <c r="AD7" s="164">
        <v>0.04</v>
      </c>
      <c r="AE7" s="153">
        <f t="shared" si="12"/>
        <v>0.04</v>
      </c>
      <c r="AF7" s="153">
        <f t="shared" si="12"/>
        <v>0.04</v>
      </c>
      <c r="AH7" s="170" t="s">
        <v>503</v>
      </c>
      <c r="AK7" s="170">
        <v>0.93</v>
      </c>
    </row>
    <row r="8" spans="2:37" s="222" customFormat="1" ht="18" thickTop="1" thickBot="1">
      <c r="B8" s="217" t="s">
        <v>446</v>
      </c>
      <c r="C8" s="225"/>
      <c r="D8" s="216">
        <f t="shared" ref="D8:L8" si="13">(D7-C7)/C7</f>
        <v>0.23061362103843561</v>
      </c>
      <c r="E8" s="216">
        <f t="shared" si="13"/>
        <v>-0.4126027397260274</v>
      </c>
      <c r="F8" s="216">
        <f t="shared" si="13"/>
        <v>1.3227611940298507</v>
      </c>
      <c r="G8" s="216">
        <f t="shared" si="13"/>
        <v>9.1967871485943778E-2</v>
      </c>
      <c r="H8" s="216">
        <f t="shared" si="13"/>
        <v>0.1636631114380287</v>
      </c>
      <c r="I8" s="216">
        <f t="shared" si="13"/>
        <v>-5.3255372945638431E-2</v>
      </c>
      <c r="J8" s="216">
        <f t="shared" si="13"/>
        <v>0.11817726589884828</v>
      </c>
      <c r="K8" s="216">
        <f t="shared" si="13"/>
        <v>0.53769219286460668</v>
      </c>
      <c r="L8" s="216">
        <f t="shared" si="13"/>
        <v>0.17270167944859721</v>
      </c>
      <c r="M8" s="224">
        <f>(L7/C7)^(1/10)-1</f>
        <v>0.15077277490720409</v>
      </c>
      <c r="N8" s="223">
        <f>(L7/G7)^(1/6)-1</f>
        <v>0.14227662187979639</v>
      </c>
      <c r="P8" s="149"/>
      <c r="Q8" s="149"/>
      <c r="R8" s="152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H8" s="222" t="s">
        <v>504</v>
      </c>
      <c r="AK8" s="216">
        <f>AK3+AK7* AK4</f>
        <v>6.0380000000000003E-2</v>
      </c>
    </row>
    <row r="9" spans="2:37" ht="17" thickTop="1">
      <c r="M9" s="221"/>
      <c r="N9" s="221"/>
      <c r="P9" s="127" t="s">
        <v>55</v>
      </c>
      <c r="Q9"/>
      <c r="R9" s="154">
        <f>-G72</f>
        <v>-435</v>
      </c>
      <c r="S9" s="154">
        <f t="shared" ref="S9:W9" si="14">-H72</f>
        <v>-494</v>
      </c>
      <c r="T9" s="154">
        <f t="shared" si="14"/>
        <v>-502</v>
      </c>
      <c r="U9" s="154">
        <f t="shared" si="14"/>
        <v>-556</v>
      </c>
      <c r="V9" s="154">
        <f t="shared" si="14"/>
        <v>-613</v>
      </c>
      <c r="W9" s="154">
        <f t="shared" si="14"/>
        <v>-656</v>
      </c>
      <c r="X9" s="244">
        <f>-X3*X10</f>
        <v>-1029.3696</v>
      </c>
      <c r="Y9" s="244">
        <f t="shared" ref="Y9:AF9" si="15">-Y3*Y10</f>
        <v>-1152.8939520000001</v>
      </c>
      <c r="Z9" s="244">
        <f t="shared" si="15"/>
        <v>-1291.2412262400003</v>
      </c>
      <c r="AA9" s="244">
        <f t="shared" si="15"/>
        <v>-1446.1901733888005</v>
      </c>
      <c r="AB9" s="244">
        <f t="shared" si="15"/>
        <v>-1561.8853872599045</v>
      </c>
      <c r="AC9" s="244">
        <f t="shared" si="15"/>
        <v>-1686.836218240697</v>
      </c>
      <c r="AD9" s="244">
        <f t="shared" si="15"/>
        <v>-1821.783115699953</v>
      </c>
      <c r="AE9" s="244">
        <f t="shared" si="15"/>
        <v>-1894.6544403279513</v>
      </c>
      <c r="AF9" s="244">
        <f t="shared" si="15"/>
        <v>-1970.4406179410694</v>
      </c>
      <c r="AH9" s="170" t="s">
        <v>505</v>
      </c>
      <c r="AK9" s="220">
        <v>439153</v>
      </c>
    </row>
    <row r="10" spans="2:37" ht="17" thickBot="1">
      <c r="B10" s="211" t="s">
        <v>468</v>
      </c>
      <c r="C10" s="219">
        <f t="shared" ref="C10:L10" si="16">C7/1710</f>
        <v>1.7345029239766081</v>
      </c>
      <c r="D10" s="219">
        <f t="shared" si="16"/>
        <v>2.134502923976608</v>
      </c>
      <c r="E10" s="219">
        <f t="shared" si="16"/>
        <v>1.2538011695906432</v>
      </c>
      <c r="F10" s="219">
        <f t="shared" si="16"/>
        <v>2.9122807017543861</v>
      </c>
      <c r="G10" s="219">
        <f t="shared" si="16"/>
        <v>3.1801169590643275</v>
      </c>
      <c r="H10" s="219">
        <f t="shared" si="16"/>
        <v>3.7005847953216375</v>
      </c>
      <c r="I10" s="219">
        <f t="shared" si="16"/>
        <v>3.5035087719298246</v>
      </c>
      <c r="J10" s="219">
        <f t="shared" si="16"/>
        <v>3.9175438596491228</v>
      </c>
      <c r="K10" s="219">
        <f t="shared" si="16"/>
        <v>6.0239766081871347</v>
      </c>
      <c r="L10" s="219">
        <f t="shared" si="16"/>
        <v>7.064327485380117</v>
      </c>
      <c r="P10" s="127"/>
      <c r="Q10" s="128"/>
      <c r="R10" s="151">
        <f t="shared" ref="R10:W10" si="17">R9/R3</f>
        <v>-3.4246575342465752E-2</v>
      </c>
      <c r="S10" s="151">
        <f t="shared" si="17"/>
        <v>-3.5590778097982709E-2</v>
      </c>
      <c r="T10" s="151">
        <f t="shared" si="17"/>
        <v>-3.3284710250629887E-2</v>
      </c>
      <c r="U10" s="151">
        <f t="shared" si="17"/>
        <v>-3.0286523586447324E-2</v>
      </c>
      <c r="V10" s="151">
        <f t="shared" si="17"/>
        <v>-2.9744286476781987E-2</v>
      </c>
      <c r="W10" s="151">
        <f t="shared" si="17"/>
        <v>-2.8550289419854637E-2</v>
      </c>
      <c r="X10" s="164">
        <v>0.04</v>
      </c>
      <c r="Y10" s="151">
        <f>X10</f>
        <v>0.04</v>
      </c>
      <c r="Z10" s="151">
        <f t="shared" ref="Z10:AF10" si="18">Y10</f>
        <v>0.04</v>
      </c>
      <c r="AA10" s="151">
        <f t="shared" si="18"/>
        <v>0.04</v>
      </c>
      <c r="AB10" s="151">
        <f t="shared" si="18"/>
        <v>0.04</v>
      </c>
      <c r="AC10" s="151">
        <f t="shared" si="18"/>
        <v>0.04</v>
      </c>
      <c r="AD10" s="151">
        <f t="shared" si="18"/>
        <v>0.04</v>
      </c>
      <c r="AE10" s="151">
        <f t="shared" si="18"/>
        <v>0.04</v>
      </c>
      <c r="AF10" s="151">
        <f t="shared" si="18"/>
        <v>0.04</v>
      </c>
    </row>
    <row r="11" spans="2:37" ht="18" thickTop="1" thickBot="1">
      <c r="B11" s="170" t="s">
        <v>94</v>
      </c>
      <c r="C11" s="173">
        <f t="shared" ref="C11:L11" si="19">C52+C55-C41</f>
        <v>-3947</v>
      </c>
      <c r="D11" s="173">
        <f t="shared" si="19"/>
        <v>-3341</v>
      </c>
      <c r="E11" s="173">
        <f t="shared" si="19"/>
        <v>-2751</v>
      </c>
      <c r="F11" s="173">
        <f t="shared" si="19"/>
        <v>-4180</v>
      </c>
      <c r="G11" s="173">
        <f t="shared" si="19"/>
        <v>-3881</v>
      </c>
      <c r="H11" s="173">
        <f t="shared" si="19"/>
        <v>-5949</v>
      </c>
      <c r="I11" s="173">
        <f t="shared" si="19"/>
        <v>6981</v>
      </c>
      <c r="J11" s="173">
        <f t="shared" si="19"/>
        <v>4959</v>
      </c>
      <c r="K11" s="173">
        <f t="shared" si="19"/>
        <v>5012</v>
      </c>
      <c r="L11" s="173">
        <f t="shared" si="19"/>
        <v>4484</v>
      </c>
      <c r="M11" s="218"/>
      <c r="P11" s="127"/>
      <c r="Q11" s="128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H11" s="207" t="s">
        <v>506</v>
      </c>
      <c r="AI11" s="206"/>
      <c r="AJ11" s="206"/>
      <c r="AK11" s="206"/>
    </row>
    <row r="12" spans="2:37" ht="16">
      <c r="B12" s="217" t="s">
        <v>446</v>
      </c>
      <c r="D12" s="216">
        <f t="shared" ref="D12:L12" si="20">(D11-C11)/C11</f>
        <v>-0.15353432987078794</v>
      </c>
      <c r="E12" s="216">
        <f t="shared" si="20"/>
        <v>-0.17659383418138283</v>
      </c>
      <c r="F12" s="216">
        <f t="shared" si="20"/>
        <v>0.5194474736459469</v>
      </c>
      <c r="G12" s="216">
        <f t="shared" si="20"/>
        <v>-7.1531100478468904E-2</v>
      </c>
      <c r="H12" s="216">
        <f t="shared" si="20"/>
        <v>0.53285235763978356</v>
      </c>
      <c r="I12" s="216">
        <f t="shared" si="20"/>
        <v>-2.1734745335350478</v>
      </c>
      <c r="J12" s="216">
        <f t="shared" si="20"/>
        <v>-0.28964331757627848</v>
      </c>
      <c r="K12" s="216">
        <f t="shared" si="20"/>
        <v>1.068763863682194E-2</v>
      </c>
      <c r="L12" s="216">
        <f t="shared" si="20"/>
        <v>-0.10534716679968077</v>
      </c>
      <c r="N12" s="216"/>
      <c r="P12" s="145" t="s">
        <v>478</v>
      </c>
      <c r="Q12" s="145"/>
      <c r="R12" s="155">
        <f t="shared" ref="R12:AF12" si="21">R6+R9</f>
        <v>8150</v>
      </c>
      <c r="S12" s="155">
        <f t="shared" si="21"/>
        <v>9078</v>
      </c>
      <c r="T12" s="155">
        <f t="shared" si="21"/>
        <v>9762</v>
      </c>
      <c r="U12" s="155">
        <f t="shared" si="21"/>
        <v>12163</v>
      </c>
      <c r="V12" s="155">
        <f t="shared" si="21"/>
        <v>13561</v>
      </c>
      <c r="W12" s="155">
        <f t="shared" si="21"/>
        <v>15401</v>
      </c>
      <c r="X12" s="155">
        <f t="shared" si="21"/>
        <v>16954.470399999998</v>
      </c>
      <c r="Y12" s="155">
        <f t="shared" si="21"/>
        <v>18989.006848000005</v>
      </c>
      <c r="Z12" s="155">
        <f t="shared" si="21"/>
        <v>21267.687669760006</v>
      </c>
      <c r="AA12" s="155">
        <f t="shared" si="21"/>
        <v>23819.810190131207</v>
      </c>
      <c r="AB12" s="155">
        <f t="shared" si="21"/>
        <v>25725.395005341707</v>
      </c>
      <c r="AC12" s="155">
        <f t="shared" si="21"/>
        <v>27783.426605769044</v>
      </c>
      <c r="AD12" s="155">
        <f t="shared" si="21"/>
        <v>30006.100734230567</v>
      </c>
      <c r="AE12" s="155">
        <f t="shared" si="21"/>
        <v>31206.344763599791</v>
      </c>
      <c r="AF12" s="155">
        <f t="shared" si="21"/>
        <v>32454.598554143788</v>
      </c>
      <c r="AH12" s="170" t="s">
        <v>507</v>
      </c>
      <c r="AK12" s="200">
        <v>4.4999999999999998E-2</v>
      </c>
    </row>
    <row r="13" spans="2:37" ht="16">
      <c r="P13" s="124" t="s">
        <v>479</v>
      </c>
      <c r="Q13" s="124"/>
      <c r="R13" s="154">
        <f t="shared" ref="R13:W13" si="22">G79</f>
        <v>-9</v>
      </c>
      <c r="S13" s="154">
        <f t="shared" si="22"/>
        <v>-13</v>
      </c>
      <c r="T13" s="154">
        <f t="shared" si="22"/>
        <v>-4</v>
      </c>
      <c r="U13" s="154">
        <f t="shared" si="22"/>
        <v>-42</v>
      </c>
      <c r="V13" s="154">
        <f t="shared" si="22"/>
        <v>-48</v>
      </c>
      <c r="W13" s="154">
        <f t="shared" si="22"/>
        <v>-479</v>
      </c>
      <c r="X13" s="154">
        <v>0</v>
      </c>
      <c r="Y13" s="154">
        <v>0</v>
      </c>
      <c r="Z13" s="154">
        <v>0</v>
      </c>
      <c r="AA13" s="154">
        <v>0</v>
      </c>
      <c r="AB13" s="154">
        <v>0</v>
      </c>
      <c r="AC13" s="154">
        <v>0</v>
      </c>
      <c r="AD13" s="154">
        <v>0</v>
      </c>
      <c r="AE13" s="154">
        <v>0</v>
      </c>
      <c r="AF13" s="154">
        <v>0</v>
      </c>
      <c r="AH13" s="170" t="s">
        <v>508</v>
      </c>
      <c r="AK13" s="200">
        <v>0.21</v>
      </c>
    </row>
    <row r="14" spans="2:37" ht="16">
      <c r="B14" s="170" t="s">
        <v>449</v>
      </c>
      <c r="C14" s="173">
        <f t="shared" ref="C14:L14" si="23">C76</f>
        <v>-238</v>
      </c>
      <c r="D14" s="173">
        <f t="shared" si="23"/>
        <v>-353</v>
      </c>
      <c r="E14" s="173">
        <f t="shared" si="23"/>
        <v>-374</v>
      </c>
      <c r="F14" s="173">
        <f t="shared" si="23"/>
        <v>-471</v>
      </c>
      <c r="G14" s="173">
        <f t="shared" si="23"/>
        <v>-553</v>
      </c>
      <c r="H14" s="173">
        <f t="shared" si="23"/>
        <v>-404</v>
      </c>
      <c r="I14" s="173">
        <f t="shared" si="23"/>
        <v>-523</v>
      </c>
      <c r="J14" s="173">
        <f t="shared" si="23"/>
        <v>-695</v>
      </c>
      <c r="K14" s="173">
        <f t="shared" si="23"/>
        <v>-704</v>
      </c>
      <c r="L14" s="173">
        <f t="shared" si="23"/>
        <v>-756</v>
      </c>
      <c r="P14" s="124"/>
      <c r="Q14" s="129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H14" s="170" t="s">
        <v>509</v>
      </c>
      <c r="AK14" s="215">
        <f>(1-AK13)*AK12</f>
        <v>3.5549999999999998E-2</v>
      </c>
    </row>
    <row r="15" spans="2:37" ht="17" thickBot="1">
      <c r="B15" s="170" t="s">
        <v>450</v>
      </c>
      <c r="C15" s="173">
        <f t="shared" ref="C15:L15" si="24">C74</f>
        <v>-2335</v>
      </c>
      <c r="D15" s="173">
        <f t="shared" si="24"/>
        <v>-2034</v>
      </c>
      <c r="E15" s="173">
        <f t="shared" si="24"/>
        <v>-2100</v>
      </c>
      <c r="F15" s="173">
        <f t="shared" si="24"/>
        <v>-6361</v>
      </c>
      <c r="G15" s="173">
        <f t="shared" si="24"/>
        <v>-1252</v>
      </c>
      <c r="H15" s="173">
        <f t="shared" si="24"/>
        <v>-3531</v>
      </c>
      <c r="I15" s="173">
        <f t="shared" si="24"/>
        <v>-3522</v>
      </c>
      <c r="J15" s="173">
        <f t="shared" si="24"/>
        <v>-4580</v>
      </c>
      <c r="K15" s="173">
        <f t="shared" si="24"/>
        <v>-2657</v>
      </c>
      <c r="L15" s="173">
        <f t="shared" si="24"/>
        <v>-6303</v>
      </c>
      <c r="M15" s="214"/>
      <c r="N15" s="214"/>
      <c r="P15" s="130" t="s">
        <v>480</v>
      </c>
      <c r="Q15" s="130"/>
      <c r="R15" s="146">
        <f>G32</f>
        <v>7724</v>
      </c>
      <c r="S15" s="146">
        <f t="shared" ref="S15:W15" si="25">H32</f>
        <v>8995</v>
      </c>
      <c r="T15" s="146">
        <f t="shared" si="25"/>
        <v>8012</v>
      </c>
      <c r="U15" s="146">
        <f t="shared" si="25"/>
        <v>11694</v>
      </c>
      <c r="V15" s="146">
        <f t="shared" si="25"/>
        <v>12806</v>
      </c>
      <c r="W15" s="146">
        <f t="shared" si="25"/>
        <v>14884</v>
      </c>
      <c r="X15" s="155">
        <f>X12+X13</f>
        <v>16954.470399999998</v>
      </c>
      <c r="Y15" s="155">
        <f t="shared" ref="Y15:AF15" si="26">Y12+Y13</f>
        <v>18989.006848000005</v>
      </c>
      <c r="Z15" s="155">
        <f t="shared" si="26"/>
        <v>21267.687669760006</v>
      </c>
      <c r="AA15" s="155">
        <f t="shared" si="26"/>
        <v>23819.810190131207</v>
      </c>
      <c r="AB15" s="155">
        <f t="shared" si="26"/>
        <v>25725.395005341707</v>
      </c>
      <c r="AC15" s="155">
        <f t="shared" si="26"/>
        <v>27783.426605769044</v>
      </c>
      <c r="AD15" s="155">
        <f t="shared" si="26"/>
        <v>30006.100734230567</v>
      </c>
      <c r="AE15" s="155">
        <f t="shared" si="26"/>
        <v>31206.344763599791</v>
      </c>
      <c r="AF15" s="155">
        <f t="shared" si="26"/>
        <v>32454.598554143788</v>
      </c>
      <c r="AH15" s="170" t="s">
        <v>510</v>
      </c>
      <c r="AK15" s="173">
        <f>W32</f>
        <v>9054</v>
      </c>
    </row>
    <row r="16" spans="2:37" ht="17" thickTop="1"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213" t="s">
        <v>470</v>
      </c>
      <c r="N16" s="212" t="s">
        <v>471</v>
      </c>
      <c r="P16" s="245"/>
      <c r="Q16" s="245"/>
      <c r="R16" s="246"/>
      <c r="S16" s="246"/>
      <c r="T16" s="246"/>
      <c r="U16" s="246"/>
      <c r="V16" s="246"/>
      <c r="W16" s="246"/>
      <c r="X16" s="240"/>
      <c r="Y16" s="240"/>
      <c r="Z16" s="240"/>
      <c r="AA16" s="240"/>
      <c r="AB16" s="240"/>
      <c r="AC16" s="240"/>
      <c r="AD16" s="240"/>
      <c r="AE16" s="240"/>
      <c r="AF16" s="240"/>
    </row>
    <row r="17" spans="1:37" ht="17" thickBot="1">
      <c r="B17" s="211" t="s">
        <v>93</v>
      </c>
      <c r="C17" s="210">
        <f t="shared" ref="C17:L17" si="27">(C5+C14+C15)/C5</f>
        <v>0.46496153046371386</v>
      </c>
      <c r="D17" s="210">
        <f t="shared" si="27"/>
        <v>0.58494174926099807</v>
      </c>
      <c r="E17" s="210">
        <f t="shared" si="27"/>
        <v>0.62355447352404136</v>
      </c>
      <c r="F17" s="210">
        <f t="shared" si="27"/>
        <v>0.10564209975127635</v>
      </c>
      <c r="G17" s="210">
        <f t="shared" si="27"/>
        <v>0.78974956319161327</v>
      </c>
      <c r="H17" s="210">
        <f t="shared" si="27"/>
        <v>0.58890513999164229</v>
      </c>
      <c r="I17" s="210">
        <f t="shared" si="27"/>
        <v>0.60590413094310214</v>
      </c>
      <c r="J17" s="210">
        <f t="shared" si="27"/>
        <v>0.58526613727494303</v>
      </c>
      <c r="K17" s="210">
        <f t="shared" si="27"/>
        <v>0.76287568787921545</v>
      </c>
      <c r="L17" s="210">
        <f t="shared" si="27"/>
        <v>0.56037865105561435</v>
      </c>
      <c r="M17" s="209">
        <f>AVERAGE(C17:L17)</f>
        <v>0.56721791633361607</v>
      </c>
      <c r="N17" s="208">
        <f>AVERAGE(G17:L17)</f>
        <v>0.64884655172268846</v>
      </c>
      <c r="P17" s="124" t="s">
        <v>481</v>
      </c>
      <c r="Q17" s="124"/>
      <c r="R17" s="154">
        <f>-G33</f>
        <v>2286</v>
      </c>
      <c r="S17" s="154">
        <f t="shared" ref="S17:W17" si="28">-H33</f>
        <v>2667</v>
      </c>
      <c r="T17" s="154">
        <f t="shared" si="28"/>
        <v>2021</v>
      </c>
      <c r="U17" s="154">
        <f t="shared" si="28"/>
        <v>4995</v>
      </c>
      <c r="V17" s="154">
        <f t="shared" si="28"/>
        <v>2505</v>
      </c>
      <c r="W17" s="154">
        <f t="shared" si="28"/>
        <v>2804</v>
      </c>
      <c r="X17" s="156">
        <f>-X15*$X$18</f>
        <v>-3560.4387839999995</v>
      </c>
      <c r="Y17" s="156">
        <f>-Y15*$X$18</f>
        <v>-3987.6914380800008</v>
      </c>
      <c r="Z17" s="156">
        <f>-Z15*$X$18</f>
        <v>-4466.2144106496007</v>
      </c>
      <c r="AA17" s="156">
        <f>-AA15*$X$18</f>
        <v>-5002.1601399275532</v>
      </c>
      <c r="AB17" s="156">
        <f>-AB15*$X$18</f>
        <v>-5402.332951121758</v>
      </c>
      <c r="AC17" s="156">
        <f t="shared" ref="AC17:AF17" si="29">-AC15*$X$18</f>
        <v>-5834.5195872114991</v>
      </c>
      <c r="AD17" s="156">
        <f t="shared" si="29"/>
        <v>-6301.2811541884194</v>
      </c>
      <c r="AE17" s="156">
        <f t="shared" si="29"/>
        <v>-6553.3324003559555</v>
      </c>
      <c r="AF17" s="156">
        <f t="shared" si="29"/>
        <v>-6815.4656963701955</v>
      </c>
      <c r="AH17" s="207" t="s">
        <v>511</v>
      </c>
      <c r="AI17" s="206"/>
      <c r="AJ17" s="206"/>
      <c r="AK17" s="206"/>
    </row>
    <row r="18" spans="1:37" ht="17" thickTop="1">
      <c r="B18" s="170" t="s">
        <v>451</v>
      </c>
      <c r="C18" s="205">
        <f t="shared" ref="C18:L18" si="30">(C52+C55)/C41</f>
        <v>1.1024805813079429E-2</v>
      </c>
      <c r="D18" s="205">
        <f t="shared" si="30"/>
        <v>0</v>
      </c>
      <c r="E18" s="205">
        <f t="shared" si="30"/>
        <v>0</v>
      </c>
      <c r="F18" s="205">
        <f t="shared" si="30"/>
        <v>0</v>
      </c>
      <c r="G18" s="205">
        <f t="shared" si="30"/>
        <v>0</v>
      </c>
      <c r="H18" s="205">
        <f t="shared" si="30"/>
        <v>0</v>
      </c>
      <c r="I18" s="205">
        <f t="shared" si="30"/>
        <v>1.7873012292770949</v>
      </c>
      <c r="J18" s="205">
        <f t="shared" si="30"/>
        <v>1.3712938005390836</v>
      </c>
      <c r="K18" s="205">
        <f t="shared" si="30"/>
        <v>1.431659633106537</v>
      </c>
      <c r="L18" s="205">
        <f t="shared" si="30"/>
        <v>1.3713765115123406</v>
      </c>
      <c r="P18" s="124"/>
      <c r="Q18" s="129"/>
      <c r="R18" s="153">
        <f t="shared" ref="R18:W18" si="31">-R17/R15</f>
        <v>-0.29596064215432416</v>
      </c>
      <c r="S18" s="153">
        <f t="shared" si="31"/>
        <v>-0.29649805447470817</v>
      </c>
      <c r="T18" s="153">
        <f t="shared" si="31"/>
        <v>-0.2522466300549176</v>
      </c>
      <c r="U18" s="153">
        <f t="shared" si="31"/>
        <v>-0.42714212416623909</v>
      </c>
      <c r="V18" s="153">
        <f t="shared" si="31"/>
        <v>-0.19561143214118382</v>
      </c>
      <c r="W18" s="153">
        <f t="shared" si="31"/>
        <v>-0.18839021768341843</v>
      </c>
      <c r="X18" s="163">
        <v>0.21</v>
      </c>
      <c r="Y18" s="153">
        <f>X18</f>
        <v>0.21</v>
      </c>
      <c r="Z18" s="153">
        <f t="shared" ref="Z18:AF18" si="32">Y18</f>
        <v>0.21</v>
      </c>
      <c r="AA18" s="153">
        <f t="shared" si="32"/>
        <v>0.21</v>
      </c>
      <c r="AB18" s="153">
        <f t="shared" si="32"/>
        <v>0.21</v>
      </c>
      <c r="AC18" s="153">
        <f t="shared" si="32"/>
        <v>0.21</v>
      </c>
      <c r="AD18" s="153">
        <f t="shared" si="32"/>
        <v>0.21</v>
      </c>
      <c r="AE18" s="153">
        <f t="shared" si="32"/>
        <v>0.21</v>
      </c>
      <c r="AF18" s="153">
        <f t="shared" si="32"/>
        <v>0.21</v>
      </c>
      <c r="AH18" s="170" t="s">
        <v>512</v>
      </c>
    </row>
    <row r="19" spans="1:37" ht="16"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P19" s="124"/>
      <c r="Q19" s="129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H19" s="170" t="s">
        <v>513</v>
      </c>
      <c r="AK19" s="204">
        <f>AK15/AK9</f>
        <v>2.0616960375996522E-2</v>
      </c>
    </row>
    <row r="20" spans="1:37" ht="16">
      <c r="B20" s="170" t="s">
        <v>528</v>
      </c>
      <c r="C20" s="173">
        <f t="shared" ref="C20:L20" si="33">+(C44-C54)</f>
        <v>5236</v>
      </c>
      <c r="D20" s="173">
        <f t="shared" si="33"/>
        <v>5739</v>
      </c>
      <c r="E20" s="173">
        <f t="shared" si="33"/>
        <v>3832</v>
      </c>
      <c r="F20" s="173">
        <f t="shared" si="33"/>
        <v>3487</v>
      </c>
      <c r="G20" s="173">
        <f t="shared" si="33"/>
        <v>3556</v>
      </c>
      <c r="H20" s="173">
        <f t="shared" si="33"/>
        <v>4666</v>
      </c>
      <c r="I20" s="173">
        <f t="shared" si="33"/>
        <v>6267</v>
      </c>
      <c r="J20" s="173">
        <f t="shared" si="33"/>
        <v>9029</v>
      </c>
      <c r="K20" s="173">
        <f t="shared" si="33"/>
        <v>6911</v>
      </c>
      <c r="L20" s="173">
        <f t="shared" si="33"/>
        <v>7555</v>
      </c>
      <c r="P20" s="130" t="s">
        <v>448</v>
      </c>
      <c r="Q20" s="131"/>
      <c r="R20" s="146">
        <f>G36</f>
        <v>5438</v>
      </c>
      <c r="S20" s="146">
        <f t="shared" ref="S20:W20" si="34">H36</f>
        <v>6328</v>
      </c>
      <c r="T20" s="146">
        <f t="shared" si="34"/>
        <v>5991</v>
      </c>
      <c r="U20" s="146">
        <f t="shared" si="34"/>
        <v>6699</v>
      </c>
      <c r="V20" s="146">
        <f t="shared" si="34"/>
        <v>10301</v>
      </c>
      <c r="W20" s="146">
        <f t="shared" si="34"/>
        <v>12080</v>
      </c>
      <c r="X20" s="155">
        <f>X15+X17</f>
        <v>13394.031615999998</v>
      </c>
      <c r="Y20" s="155">
        <f>Y15+Y17</f>
        <v>15001.315409920004</v>
      </c>
      <c r="Z20" s="155">
        <f>Z15+Z17</f>
        <v>16801.473259110404</v>
      </c>
      <c r="AA20" s="155">
        <f>AA15+AA17</f>
        <v>18817.650050203654</v>
      </c>
      <c r="AB20" s="155">
        <f>AB15+AB17</f>
        <v>20323.062054219947</v>
      </c>
      <c r="AC20" s="155">
        <f t="shared" ref="AC20:AF20" si="35">AC15+AC17</f>
        <v>21948.907018557544</v>
      </c>
      <c r="AD20" s="155">
        <f t="shared" si="35"/>
        <v>23704.819580042149</v>
      </c>
      <c r="AE20" s="155">
        <f t="shared" si="35"/>
        <v>24653.012363243834</v>
      </c>
      <c r="AF20" s="155">
        <f t="shared" si="35"/>
        <v>25639.132857773591</v>
      </c>
      <c r="AH20" s="203" t="s">
        <v>514</v>
      </c>
      <c r="AI20" s="202"/>
      <c r="AJ20" s="202"/>
      <c r="AK20" s="201">
        <f>(1-AK19)*AK8+AK19*AK14</f>
        <v>5.9868080873864013E-2</v>
      </c>
    </row>
    <row r="21" spans="1:37" ht="16">
      <c r="B21" s="170" t="s">
        <v>529</v>
      </c>
      <c r="C21" s="200">
        <f t="shared" ref="C21:L21" si="36">+(C44-C54)/C3</f>
        <v>0.64922504649721013</v>
      </c>
      <c r="D21" s="200">
        <f t="shared" si="36"/>
        <v>0.62461906835002179</v>
      </c>
      <c r="E21" s="200">
        <f t="shared" si="36"/>
        <v>0.36771902888398428</v>
      </c>
      <c r="F21" s="200">
        <f t="shared" si="36"/>
        <v>0.29606045168959078</v>
      </c>
      <c r="G21" s="200">
        <f t="shared" si="36"/>
        <v>0.27995591245473156</v>
      </c>
      <c r="H21" s="200">
        <f t="shared" si="36"/>
        <v>0.33616714697406341</v>
      </c>
      <c r="I21" s="200">
        <f t="shared" si="36"/>
        <v>0.4155284445033815</v>
      </c>
      <c r="J21" s="200">
        <f t="shared" si="36"/>
        <v>0.49182917529142606</v>
      </c>
      <c r="K21" s="200">
        <f t="shared" si="36"/>
        <v>0.33533892959386674</v>
      </c>
      <c r="L21" s="200">
        <f t="shared" si="36"/>
        <v>0.3288070679375027</v>
      </c>
      <c r="P21" s="149" t="s">
        <v>477</v>
      </c>
      <c r="Q21" s="149"/>
      <c r="R21" s="152"/>
      <c r="S21" s="153">
        <f>(S20-R20)/R20</f>
        <v>0.1636631114380287</v>
      </c>
      <c r="T21" s="153">
        <f t="shared" ref="T21:AF21" si="37">(T20-S20)/S20</f>
        <v>-5.3255372945638431E-2</v>
      </c>
      <c r="U21" s="153">
        <f t="shared" si="37"/>
        <v>0.11817726589884828</v>
      </c>
      <c r="V21" s="153">
        <f t="shared" si="37"/>
        <v>0.53769219286460668</v>
      </c>
      <c r="W21" s="153">
        <f t="shared" si="37"/>
        <v>0.17270167944859721</v>
      </c>
      <c r="X21" s="153">
        <f t="shared" si="37"/>
        <v>0.10877745165562901</v>
      </c>
      <c r="Y21" s="153">
        <f t="shared" si="37"/>
        <v>0.12000000000000041</v>
      </c>
      <c r="Z21" s="153">
        <f t="shared" si="37"/>
        <v>0.11999999999999998</v>
      </c>
      <c r="AA21" s="153">
        <f t="shared" si="37"/>
        <v>0.12000000000000011</v>
      </c>
      <c r="AB21" s="153">
        <f t="shared" si="37"/>
        <v>0.08</v>
      </c>
      <c r="AC21" s="153">
        <f t="shared" si="37"/>
        <v>8.0000000000000071E-2</v>
      </c>
      <c r="AD21" s="153">
        <f t="shared" si="37"/>
        <v>8.0000000000000085E-2</v>
      </c>
      <c r="AE21" s="153">
        <f t="shared" si="37"/>
        <v>3.9999999999999938E-2</v>
      </c>
      <c r="AF21" s="153">
        <f t="shared" si="37"/>
        <v>4.0000000000000174E-2</v>
      </c>
    </row>
    <row r="22" spans="1:37" ht="16">
      <c r="P22" s="124"/>
      <c r="Q22" s="129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</row>
    <row r="23" spans="1:37" ht="17" thickBot="1">
      <c r="A23" s="170" t="s">
        <v>1</v>
      </c>
      <c r="P23" s="132" t="s">
        <v>483</v>
      </c>
      <c r="Q23" s="133"/>
      <c r="R23" s="126" t="s">
        <v>7</v>
      </c>
      <c r="S23" s="126" t="s">
        <v>8</v>
      </c>
      <c r="T23" s="126" t="s">
        <v>9</v>
      </c>
      <c r="U23" s="126" t="s">
        <v>10</v>
      </c>
      <c r="V23" s="126" t="s">
        <v>11</v>
      </c>
      <c r="W23" s="126" t="s">
        <v>12</v>
      </c>
      <c r="X23" s="126" t="s">
        <v>474</v>
      </c>
      <c r="Y23" s="126" t="s">
        <v>475</v>
      </c>
      <c r="Z23" s="126" t="s">
        <v>476</v>
      </c>
      <c r="AA23" s="126" t="s">
        <v>490</v>
      </c>
      <c r="AB23" s="126" t="s">
        <v>491</v>
      </c>
      <c r="AC23" s="126" t="s">
        <v>531</v>
      </c>
      <c r="AD23" s="126" t="s">
        <v>532</v>
      </c>
      <c r="AE23" s="126" t="s">
        <v>533</v>
      </c>
      <c r="AF23" s="126" t="s">
        <v>534</v>
      </c>
    </row>
    <row r="24" spans="1:37" ht="17" thickTop="1">
      <c r="B24" s="170" t="s">
        <v>2</v>
      </c>
      <c r="C24" s="170" t="s">
        <v>3</v>
      </c>
      <c r="D24" s="170" t="s">
        <v>4</v>
      </c>
      <c r="E24" s="170" t="s">
        <v>5</v>
      </c>
      <c r="F24" s="170" t="s">
        <v>6</v>
      </c>
      <c r="G24" s="170" t="s">
        <v>7</v>
      </c>
      <c r="H24" s="170" t="s">
        <v>8</v>
      </c>
      <c r="I24" s="170" t="s">
        <v>9</v>
      </c>
      <c r="J24" s="170" t="s">
        <v>10</v>
      </c>
      <c r="K24" s="170" t="s">
        <v>11</v>
      </c>
      <c r="L24" s="170" t="s">
        <v>12</v>
      </c>
      <c r="P24" s="132"/>
      <c r="Q24" s="133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</row>
    <row r="25" spans="1:37" ht="16">
      <c r="B25" s="170" t="s">
        <v>13</v>
      </c>
      <c r="C25" s="173">
        <v>8065</v>
      </c>
      <c r="D25" s="173">
        <v>9188</v>
      </c>
      <c r="E25" s="173">
        <v>10421</v>
      </c>
      <c r="F25" s="173">
        <v>11778</v>
      </c>
      <c r="G25" s="173">
        <v>12702</v>
      </c>
      <c r="H25" s="173">
        <v>13880</v>
      </c>
      <c r="I25" s="173">
        <v>15082</v>
      </c>
      <c r="J25" s="173">
        <v>18358</v>
      </c>
      <c r="K25" s="173">
        <v>20609</v>
      </c>
      <c r="L25" s="173">
        <v>22977</v>
      </c>
      <c r="P25" s="145" t="s">
        <v>267</v>
      </c>
      <c r="Q25" s="157"/>
      <c r="R25" s="155">
        <f t="shared" ref="R25:AF25" si="38">R6</f>
        <v>8585</v>
      </c>
      <c r="S25" s="155">
        <f t="shared" si="38"/>
        <v>9572</v>
      </c>
      <c r="T25" s="155">
        <f t="shared" si="38"/>
        <v>10264</v>
      </c>
      <c r="U25" s="155">
        <f t="shared" si="38"/>
        <v>12719</v>
      </c>
      <c r="V25" s="155">
        <f t="shared" si="38"/>
        <v>14174</v>
      </c>
      <c r="W25" s="155">
        <f t="shared" si="38"/>
        <v>16057</v>
      </c>
      <c r="X25" s="155">
        <f t="shared" si="38"/>
        <v>17983.84</v>
      </c>
      <c r="Y25" s="155">
        <f t="shared" si="38"/>
        <v>20141.900800000003</v>
      </c>
      <c r="Z25" s="155">
        <f t="shared" si="38"/>
        <v>22558.928896000005</v>
      </c>
      <c r="AA25" s="155">
        <f t="shared" si="38"/>
        <v>25266.000363520008</v>
      </c>
      <c r="AB25" s="155">
        <f t="shared" si="38"/>
        <v>27287.280392601609</v>
      </c>
      <c r="AC25" s="155">
        <f t="shared" si="38"/>
        <v>29470.26282400974</v>
      </c>
      <c r="AD25" s="155">
        <f t="shared" si="38"/>
        <v>31827.88384993052</v>
      </c>
      <c r="AE25" s="155">
        <f t="shared" si="38"/>
        <v>33100.999203927742</v>
      </c>
      <c r="AF25" s="155">
        <f t="shared" si="38"/>
        <v>34425.039172084857</v>
      </c>
    </row>
    <row r="26" spans="1:37" ht="16">
      <c r="B26" s="172" t="s">
        <v>14</v>
      </c>
      <c r="C26" s="171">
        <v>8065</v>
      </c>
      <c r="D26" s="171">
        <v>9188</v>
      </c>
      <c r="E26" s="171">
        <v>10421</v>
      </c>
      <c r="F26" s="171">
        <v>11778</v>
      </c>
      <c r="G26" s="171">
        <v>12702</v>
      </c>
      <c r="H26" s="171">
        <v>13880</v>
      </c>
      <c r="I26" s="171">
        <v>15082</v>
      </c>
      <c r="J26" s="171">
        <v>18358</v>
      </c>
      <c r="K26" s="171">
        <v>20609</v>
      </c>
      <c r="L26" s="171">
        <v>22977</v>
      </c>
      <c r="P26" s="124" t="s">
        <v>484</v>
      </c>
      <c r="Q26" s="129"/>
      <c r="R26" s="154">
        <f>G76</f>
        <v>-553</v>
      </c>
      <c r="S26" s="154">
        <f t="shared" ref="S26:W26" si="39">H76</f>
        <v>-404</v>
      </c>
      <c r="T26" s="154">
        <f t="shared" si="39"/>
        <v>-523</v>
      </c>
      <c r="U26" s="154">
        <f t="shared" si="39"/>
        <v>-695</v>
      </c>
      <c r="V26" s="154">
        <f t="shared" si="39"/>
        <v>-704</v>
      </c>
      <c r="W26" s="154">
        <f t="shared" si="39"/>
        <v>-756</v>
      </c>
      <c r="X26" s="156">
        <f>X9</f>
        <v>-1029.3696</v>
      </c>
      <c r="Y26" s="156">
        <f>Y9</f>
        <v>-1152.8939520000001</v>
      </c>
      <c r="Z26" s="156">
        <f>Z9</f>
        <v>-1291.2412262400003</v>
      </c>
      <c r="AA26" s="156">
        <f>AA9</f>
        <v>-1446.1901733888005</v>
      </c>
      <c r="AB26" s="156">
        <f>AB9</f>
        <v>-1561.8853872599045</v>
      </c>
      <c r="AC26" s="156">
        <f t="shared" ref="AC26:AF26" si="40">AC9</f>
        <v>-1686.836218240697</v>
      </c>
      <c r="AD26" s="156">
        <f t="shared" si="40"/>
        <v>-1821.783115699953</v>
      </c>
      <c r="AE26" s="156">
        <f t="shared" si="40"/>
        <v>-1894.6544403279513</v>
      </c>
      <c r="AF26" s="156">
        <f t="shared" si="40"/>
        <v>-1970.4406179410694</v>
      </c>
    </row>
    <row r="27" spans="1:37" ht="16">
      <c r="B27" s="170" t="s">
        <v>15</v>
      </c>
      <c r="C27" s="173">
        <v>-3521</v>
      </c>
      <c r="D27" s="173">
        <v>-3725</v>
      </c>
      <c r="E27" s="173">
        <v>-4182</v>
      </c>
      <c r="F27" s="173">
        <v>-4536</v>
      </c>
      <c r="G27" s="173">
        <v>-4552</v>
      </c>
      <c r="H27" s="173">
        <v>-4802</v>
      </c>
      <c r="I27" s="173">
        <v>-5320</v>
      </c>
      <c r="J27" s="173">
        <v>-6195</v>
      </c>
      <c r="K27" s="173">
        <v>-7048</v>
      </c>
      <c r="L27" s="173">
        <v>-7576</v>
      </c>
      <c r="P27" s="124" t="s">
        <v>57</v>
      </c>
      <c r="Q27" s="129"/>
      <c r="R27" s="154">
        <f>G74</f>
        <v>-1252</v>
      </c>
      <c r="S27" s="154">
        <f t="shared" ref="S27:W27" si="41">H74</f>
        <v>-3531</v>
      </c>
      <c r="T27" s="154">
        <f t="shared" si="41"/>
        <v>-3522</v>
      </c>
      <c r="U27" s="154">
        <f t="shared" si="41"/>
        <v>-4580</v>
      </c>
      <c r="V27" s="154">
        <f t="shared" si="41"/>
        <v>-2657</v>
      </c>
      <c r="W27" s="154">
        <f t="shared" si="41"/>
        <v>-6303</v>
      </c>
      <c r="X27" s="244">
        <f>-(X3-W3)*X28</f>
        <v>-5177.3097501551783</v>
      </c>
      <c r="Y27" s="244">
        <f>-(Y3-X3)*Y28</f>
        <v>-5798.5869201737996</v>
      </c>
      <c r="Z27" s="244">
        <f>-(Z3-Y3)*Z28</f>
        <v>-6494.4173505946574</v>
      </c>
      <c r="AA27" s="244">
        <f>-(AA3-Z3)*AA28</f>
        <v>-7273.7474326660204</v>
      </c>
      <c r="AB27" s="244">
        <f>-(AB3-AA3)*AB28</f>
        <v>-5431.064749723957</v>
      </c>
      <c r="AC27" s="244">
        <f t="shared" ref="AC27:AF27" si="42">-(AC3-AB3)*AC28</f>
        <v>-5865.5499297018796</v>
      </c>
      <c r="AD27" s="244">
        <f t="shared" si="42"/>
        <v>-6334.7939240780333</v>
      </c>
      <c r="AE27" s="244">
        <f t="shared" si="42"/>
        <v>-3420.788719002132</v>
      </c>
      <c r="AF27" s="244">
        <f t="shared" si="42"/>
        <v>-3557.620267762225</v>
      </c>
    </row>
    <row r="28" spans="1:37" ht="16">
      <c r="B28" s="172" t="s">
        <v>16</v>
      </c>
      <c r="C28" s="171">
        <v>4544</v>
      </c>
      <c r="D28" s="171">
        <v>5463</v>
      </c>
      <c r="E28" s="171">
        <v>6239</v>
      </c>
      <c r="F28" s="171">
        <v>7242</v>
      </c>
      <c r="G28" s="171">
        <v>8150</v>
      </c>
      <c r="H28" s="171">
        <v>9078</v>
      </c>
      <c r="I28" s="171">
        <v>9762</v>
      </c>
      <c r="J28" s="171">
        <v>12163</v>
      </c>
      <c r="K28" s="171">
        <v>13561</v>
      </c>
      <c r="L28" s="171">
        <v>15401</v>
      </c>
      <c r="P28" s="124"/>
      <c r="Q28"/>
      <c r="R28" s="199">
        <f t="shared" ref="R28:W28" si="43">-R27/(R3-Q3)</f>
        <v>9.8567154778774993E-2</v>
      </c>
      <c r="S28" s="199">
        <f t="shared" si="43"/>
        <v>2.9974533106960952</v>
      </c>
      <c r="T28" s="199">
        <f t="shared" si="43"/>
        <v>2.9301164725457571</v>
      </c>
      <c r="U28" s="199">
        <f t="shared" si="43"/>
        <v>1.398046398046398</v>
      </c>
      <c r="V28" s="199">
        <f t="shared" si="43"/>
        <v>1.1803642825410929</v>
      </c>
      <c r="W28" s="199">
        <f t="shared" si="43"/>
        <v>2.6617398648648649</v>
      </c>
      <c r="X28" s="163">
        <f>AVERAGE(R28:W28)</f>
        <v>1.8777145805788307</v>
      </c>
      <c r="Y28" s="134">
        <f>X28</f>
        <v>1.8777145805788307</v>
      </c>
      <c r="Z28" s="134">
        <f t="shared" ref="Z28:AF28" si="44">Y28</f>
        <v>1.8777145805788307</v>
      </c>
      <c r="AA28" s="134">
        <f t="shared" si="44"/>
        <v>1.8777145805788307</v>
      </c>
      <c r="AB28" s="134">
        <f t="shared" si="44"/>
        <v>1.8777145805788307</v>
      </c>
      <c r="AC28" s="134">
        <f t="shared" si="44"/>
        <v>1.8777145805788307</v>
      </c>
      <c r="AD28" s="134">
        <f t="shared" si="44"/>
        <v>1.8777145805788307</v>
      </c>
      <c r="AE28" s="134">
        <f t="shared" si="44"/>
        <v>1.8777145805788307</v>
      </c>
      <c r="AF28" s="134">
        <f t="shared" si="44"/>
        <v>1.8777145805788307</v>
      </c>
    </row>
    <row r="29" spans="1:37" ht="16">
      <c r="B29" s="170" t="s">
        <v>17</v>
      </c>
      <c r="C29" s="173">
        <v>49</v>
      </c>
      <c r="D29" s="173">
        <v>200</v>
      </c>
      <c r="E29" s="173">
        <v>68</v>
      </c>
      <c r="F29" s="173">
        <v>18</v>
      </c>
      <c r="G29" s="173">
        <v>27</v>
      </c>
      <c r="H29" s="173">
        <v>-69</v>
      </c>
      <c r="I29" s="173">
        <v>129</v>
      </c>
      <c r="J29" s="173">
        <v>-450</v>
      </c>
      <c r="K29" s="173">
        <v>-148</v>
      </c>
      <c r="L29" s="173">
        <v>-117</v>
      </c>
      <c r="P29" s="135" t="s">
        <v>481</v>
      </c>
      <c r="Q29" s="136"/>
      <c r="R29" s="158">
        <f t="shared" ref="R29:AF29" si="45">R17</f>
        <v>2286</v>
      </c>
      <c r="S29" s="158">
        <f t="shared" si="45"/>
        <v>2667</v>
      </c>
      <c r="T29" s="158">
        <f t="shared" si="45"/>
        <v>2021</v>
      </c>
      <c r="U29" s="158">
        <f t="shared" si="45"/>
        <v>4995</v>
      </c>
      <c r="V29" s="158">
        <f t="shared" si="45"/>
        <v>2505</v>
      </c>
      <c r="W29" s="158">
        <f t="shared" si="45"/>
        <v>2804</v>
      </c>
      <c r="X29" s="158">
        <f t="shared" si="45"/>
        <v>-3560.4387839999995</v>
      </c>
      <c r="Y29" s="158">
        <f t="shared" si="45"/>
        <v>-3987.6914380800008</v>
      </c>
      <c r="Z29" s="158">
        <f t="shared" si="45"/>
        <v>-4466.2144106496007</v>
      </c>
      <c r="AA29" s="158">
        <f t="shared" si="45"/>
        <v>-5002.1601399275532</v>
      </c>
      <c r="AB29" s="158">
        <f t="shared" si="45"/>
        <v>-5402.332951121758</v>
      </c>
      <c r="AC29" s="158">
        <f t="shared" si="45"/>
        <v>-5834.5195872114991</v>
      </c>
      <c r="AD29" s="158">
        <f t="shared" si="45"/>
        <v>-6301.2811541884194</v>
      </c>
      <c r="AE29" s="158">
        <f t="shared" si="45"/>
        <v>-6553.3324003559555</v>
      </c>
      <c r="AF29" s="158">
        <f t="shared" si="45"/>
        <v>-6815.4656963701955</v>
      </c>
    </row>
    <row r="30" spans="1:37" ht="16">
      <c r="B30" s="170" t="s">
        <v>18</v>
      </c>
      <c r="C30" s="173">
        <v>4593</v>
      </c>
      <c r="D30" s="173">
        <v>5663</v>
      </c>
      <c r="E30" s="173">
        <v>6307</v>
      </c>
      <c r="F30" s="173">
        <v>7260</v>
      </c>
      <c r="G30" s="173">
        <v>8177</v>
      </c>
      <c r="H30" s="173">
        <v>9009</v>
      </c>
      <c r="I30" s="173">
        <v>9891</v>
      </c>
      <c r="J30" s="173">
        <v>11713</v>
      </c>
      <c r="K30" s="173">
        <v>13413</v>
      </c>
      <c r="L30" s="173">
        <v>15284</v>
      </c>
      <c r="P30" s="135" t="s">
        <v>485</v>
      </c>
      <c r="Q30" s="163">
        <v>0.19</v>
      </c>
      <c r="R30" s="154">
        <f>G81</f>
        <v>-1006</v>
      </c>
      <c r="S30" s="154">
        <f t="shared" ref="S30:W30" si="46">H81</f>
        <v>-1177</v>
      </c>
      <c r="T30" s="154">
        <f t="shared" si="46"/>
        <v>-1350</v>
      </c>
      <c r="U30" s="154">
        <f t="shared" si="46"/>
        <v>-1579</v>
      </c>
      <c r="V30" s="154">
        <f t="shared" si="46"/>
        <v>-1918</v>
      </c>
      <c r="W30" s="154">
        <f t="shared" si="46"/>
        <v>-2269</v>
      </c>
      <c r="X30" s="156">
        <f>-$Q$30*X20</f>
        <v>-2544.8660070399997</v>
      </c>
      <c r="Y30" s="156">
        <f>-$Q$30*Y20</f>
        <v>-2850.2499278848009</v>
      </c>
      <c r="Z30" s="156">
        <f>-$Q$30*Z20</f>
        <v>-3192.2799192309767</v>
      </c>
      <c r="AA30" s="156">
        <f>-$Q$30*AA20</f>
        <v>-3575.3535095386942</v>
      </c>
      <c r="AB30" s="156">
        <f>-$Q$30*AB20</f>
        <v>-3861.3817903017898</v>
      </c>
      <c r="AC30" s="156">
        <f t="shared" ref="AC30:AF30" si="47">-$Q$30*AC20</f>
        <v>-4170.2923335259329</v>
      </c>
      <c r="AD30" s="156">
        <f t="shared" si="47"/>
        <v>-4503.9157202080087</v>
      </c>
      <c r="AE30" s="156">
        <f t="shared" si="47"/>
        <v>-4684.0723490163282</v>
      </c>
      <c r="AF30" s="156">
        <f t="shared" si="47"/>
        <v>-4871.4352429769824</v>
      </c>
    </row>
    <row r="31" spans="1:37" ht="16">
      <c r="B31" s="170" t="s">
        <v>19</v>
      </c>
      <c r="C31" s="173">
        <v>45</v>
      </c>
      <c r="D31" s="173">
        <v>-7</v>
      </c>
      <c r="E31" s="173">
        <v>-4100</v>
      </c>
      <c r="F31" s="173">
        <v>-3</v>
      </c>
      <c r="G31" s="173">
        <v>-453</v>
      </c>
      <c r="H31" s="173">
        <v>-14</v>
      </c>
      <c r="I31" s="173">
        <v>-1879</v>
      </c>
      <c r="J31" s="173">
        <v>-19</v>
      </c>
      <c r="K31" s="173">
        <v>-607</v>
      </c>
      <c r="L31" s="173">
        <v>-400</v>
      </c>
      <c r="P31" s="124" t="s">
        <v>479</v>
      </c>
      <c r="Q31" s="129"/>
      <c r="R31" s="158">
        <f t="shared" ref="R31:AF31" si="48">R13</f>
        <v>-9</v>
      </c>
      <c r="S31" s="158">
        <f t="shared" si="48"/>
        <v>-13</v>
      </c>
      <c r="T31" s="158">
        <f t="shared" si="48"/>
        <v>-4</v>
      </c>
      <c r="U31" s="158">
        <f t="shared" si="48"/>
        <v>-42</v>
      </c>
      <c r="V31" s="158">
        <f t="shared" si="48"/>
        <v>-48</v>
      </c>
      <c r="W31" s="158">
        <f t="shared" si="48"/>
        <v>-479</v>
      </c>
      <c r="X31" s="158">
        <f t="shared" si="48"/>
        <v>0</v>
      </c>
      <c r="Y31" s="158">
        <f t="shared" si="48"/>
        <v>0</v>
      </c>
      <c r="Z31" s="158">
        <f t="shared" si="48"/>
        <v>0</v>
      </c>
      <c r="AA31" s="158">
        <f t="shared" si="48"/>
        <v>0</v>
      </c>
      <c r="AB31" s="158">
        <f t="shared" si="48"/>
        <v>0</v>
      </c>
      <c r="AC31" s="158">
        <f t="shared" si="48"/>
        <v>0</v>
      </c>
      <c r="AD31" s="158">
        <f t="shared" si="48"/>
        <v>0</v>
      </c>
      <c r="AE31" s="158">
        <f t="shared" si="48"/>
        <v>0</v>
      </c>
      <c r="AF31" s="158">
        <f t="shared" si="48"/>
        <v>0</v>
      </c>
    </row>
    <row r="32" spans="1:37" ht="16">
      <c r="B32" s="172" t="s">
        <v>20</v>
      </c>
      <c r="C32" s="171">
        <v>4638</v>
      </c>
      <c r="D32" s="171">
        <v>5656</v>
      </c>
      <c r="E32" s="171">
        <v>2207</v>
      </c>
      <c r="F32" s="171">
        <v>7257</v>
      </c>
      <c r="G32" s="171">
        <v>7724</v>
      </c>
      <c r="H32" s="171">
        <v>8995</v>
      </c>
      <c r="I32" s="171">
        <v>8012</v>
      </c>
      <c r="J32" s="171">
        <v>11694</v>
      </c>
      <c r="K32" s="171">
        <v>12806</v>
      </c>
      <c r="L32" s="171">
        <v>14884</v>
      </c>
      <c r="P32" s="137" t="s">
        <v>486</v>
      </c>
      <c r="Q32" s="138"/>
      <c r="R32" s="159">
        <f>R25+R26+R27+R29+R30+R31</f>
        <v>8051</v>
      </c>
      <c r="S32" s="159">
        <f t="shared" ref="S32:AF32" si="49">S25+S26+S27+S29+S30+S31</f>
        <v>7114</v>
      </c>
      <c r="T32" s="159">
        <f t="shared" si="49"/>
        <v>6886</v>
      </c>
      <c r="U32" s="159">
        <f t="shared" si="49"/>
        <v>10818</v>
      </c>
      <c r="V32" s="159">
        <f t="shared" si="49"/>
        <v>11352</v>
      </c>
      <c r="W32" s="159">
        <f t="shared" si="49"/>
        <v>9054</v>
      </c>
      <c r="X32" s="159">
        <f t="shared" si="49"/>
        <v>5671.8558588048199</v>
      </c>
      <c r="Y32" s="159">
        <f t="shared" si="49"/>
        <v>6352.4785618614042</v>
      </c>
      <c r="Z32" s="159">
        <f t="shared" si="49"/>
        <v>7114.7759892847707</v>
      </c>
      <c r="AA32" s="159">
        <f t="shared" si="49"/>
        <v>7968.5491079989406</v>
      </c>
      <c r="AB32" s="159">
        <f t="shared" si="49"/>
        <v>11030.615514194204</v>
      </c>
      <c r="AC32" s="159">
        <f t="shared" si="49"/>
        <v>11913.064755329731</v>
      </c>
      <c r="AD32" s="159">
        <f t="shared" si="49"/>
        <v>12866.109935756107</v>
      </c>
      <c r="AE32" s="159">
        <f t="shared" si="49"/>
        <v>16548.151295225376</v>
      </c>
      <c r="AF32" s="159">
        <f t="shared" si="49"/>
        <v>17210.077347034385</v>
      </c>
    </row>
    <row r="33" spans="1:32" ht="16">
      <c r="B33" s="170" t="s">
        <v>21</v>
      </c>
      <c r="C33" s="173">
        <v>-1674</v>
      </c>
      <c r="D33" s="173">
        <v>-2010</v>
      </c>
      <c r="E33" s="173">
        <v>-65</v>
      </c>
      <c r="F33" s="173">
        <v>-2277</v>
      </c>
      <c r="G33" s="173">
        <v>-2286</v>
      </c>
      <c r="H33" s="173">
        <v>-2667</v>
      </c>
      <c r="I33" s="173">
        <v>-2021</v>
      </c>
      <c r="J33" s="173">
        <v>-4995</v>
      </c>
      <c r="K33" s="173">
        <v>-2505</v>
      </c>
      <c r="L33" s="173">
        <v>-2804</v>
      </c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</row>
    <row r="34" spans="1:32" ht="16">
      <c r="A34" s="170" t="s">
        <v>445</v>
      </c>
      <c r="B34" s="170" t="s">
        <v>22</v>
      </c>
      <c r="C34" s="173">
        <v>2964</v>
      </c>
      <c r="D34" s="173">
        <v>3646</v>
      </c>
      <c r="E34" s="173">
        <v>2142</v>
      </c>
      <c r="F34" s="173">
        <v>4980</v>
      </c>
      <c r="G34" s="173">
        <v>5438</v>
      </c>
      <c r="H34" s="173">
        <v>6328</v>
      </c>
      <c r="I34" s="173">
        <v>5991</v>
      </c>
      <c r="J34" s="173">
        <v>6699</v>
      </c>
      <c r="K34" s="173">
        <v>10301</v>
      </c>
      <c r="L34" s="173" t="s">
        <v>530</v>
      </c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</row>
    <row r="35" spans="1:32" ht="16">
      <c r="B35" s="170" t="s">
        <v>23</v>
      </c>
      <c r="C35" s="173">
        <v>2</v>
      </c>
      <c r="D35" s="173">
        <v>4</v>
      </c>
      <c r="E35" s="173">
        <v>2</v>
      </c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</row>
    <row r="36" spans="1:32" ht="16">
      <c r="A36" s="170" t="s">
        <v>25</v>
      </c>
      <c r="B36" s="172" t="s">
        <v>24</v>
      </c>
      <c r="C36" s="171">
        <v>2966</v>
      </c>
      <c r="D36" s="171">
        <v>3650</v>
      </c>
      <c r="E36" s="171">
        <v>2144</v>
      </c>
      <c r="F36" s="171">
        <v>4980</v>
      </c>
      <c r="G36" s="171">
        <v>5438</v>
      </c>
      <c r="H36" s="171">
        <v>6328</v>
      </c>
      <c r="I36" s="171">
        <v>5991</v>
      </c>
      <c r="J36" s="171">
        <v>6699</v>
      </c>
      <c r="K36" s="171">
        <v>10301</v>
      </c>
      <c r="L36" s="171">
        <v>12080</v>
      </c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</row>
    <row r="37" spans="1:32" ht="17" thickBot="1">
      <c r="P37" s="132" t="s">
        <v>487</v>
      </c>
      <c r="Q37" s="133"/>
      <c r="R37" s="126" t="s">
        <v>7</v>
      </c>
      <c r="S37" s="126" t="s">
        <v>8</v>
      </c>
      <c r="T37" s="126" t="s">
        <v>9</v>
      </c>
      <c r="U37" s="126" t="s">
        <v>10</v>
      </c>
      <c r="V37" s="126" t="s">
        <v>11</v>
      </c>
      <c r="W37" s="126" t="s">
        <v>12</v>
      </c>
      <c r="X37" s="126" t="s">
        <v>474</v>
      </c>
      <c r="Y37" s="126" t="s">
        <v>475</v>
      </c>
      <c r="Z37" s="126" t="s">
        <v>476</v>
      </c>
      <c r="AA37" s="126" t="s">
        <v>490</v>
      </c>
      <c r="AB37" s="126" t="s">
        <v>491</v>
      </c>
      <c r="AC37" s="126" t="s">
        <v>531</v>
      </c>
      <c r="AD37" s="126" t="s">
        <v>532</v>
      </c>
      <c r="AE37" s="126" t="s">
        <v>533</v>
      </c>
      <c r="AF37" s="126" t="s">
        <v>534</v>
      </c>
    </row>
    <row r="38" spans="1:32" ht="17" thickTop="1">
      <c r="P38" s="135" t="s">
        <v>488</v>
      </c>
      <c r="Q38" s="136"/>
      <c r="R38" s="154">
        <f>G41+G52+G55</f>
        <v>3881</v>
      </c>
      <c r="S38" s="154">
        <f t="shared" ref="S38:W38" si="50">H41+H52+H55</f>
        <v>5949</v>
      </c>
      <c r="T38" s="154">
        <f t="shared" si="50"/>
        <v>24715</v>
      </c>
      <c r="U38" s="154">
        <f t="shared" si="50"/>
        <v>31671</v>
      </c>
      <c r="V38" s="154">
        <f t="shared" si="50"/>
        <v>28234</v>
      </c>
      <c r="W38" s="154">
        <f t="shared" si="50"/>
        <v>28632</v>
      </c>
      <c r="X38" s="158">
        <f>W40</f>
        <v>28632</v>
      </c>
      <c r="Y38" s="158">
        <f>X40</f>
        <v>22960.144141195182</v>
      </c>
      <c r="Z38" s="158">
        <f>Y40</f>
        <v>16607.665579333778</v>
      </c>
      <c r="AA38" s="158">
        <f>Z40</f>
        <v>9492.8895900490061</v>
      </c>
      <c r="AB38" s="158">
        <f>AA40</f>
        <v>1524.3404820500655</v>
      </c>
      <c r="AC38" s="158">
        <f t="shared" ref="AC38:AF38" si="51">AB40</f>
        <v>-9506.2750321441381</v>
      </c>
      <c r="AD38" s="158">
        <f t="shared" si="51"/>
        <v>-21419.339787473869</v>
      </c>
      <c r="AE38" s="158">
        <f t="shared" si="51"/>
        <v>-34285.449723229976</v>
      </c>
      <c r="AF38" s="158">
        <f t="shared" si="51"/>
        <v>-50833.601018455352</v>
      </c>
    </row>
    <row r="39" spans="1:32" ht="16">
      <c r="B39" s="170" t="s">
        <v>2</v>
      </c>
      <c r="C39" s="170" t="s">
        <v>3</v>
      </c>
      <c r="D39" s="170" t="s">
        <v>4</v>
      </c>
      <c r="E39" s="170" t="s">
        <v>5</v>
      </c>
      <c r="F39" s="170" t="s">
        <v>6</v>
      </c>
      <c r="G39" s="170" t="s">
        <v>7</v>
      </c>
      <c r="H39" s="170" t="s">
        <v>8</v>
      </c>
      <c r="I39" s="170" t="s">
        <v>9</v>
      </c>
      <c r="J39" s="170" t="s">
        <v>10</v>
      </c>
      <c r="K39" s="170" t="s">
        <v>11</v>
      </c>
      <c r="L39" s="170" t="s">
        <v>12</v>
      </c>
      <c r="P39" s="139" t="s">
        <v>489</v>
      </c>
      <c r="Q39" s="140"/>
      <c r="R39" s="160">
        <f t="shared" ref="R39:AF39" si="52">-R32</f>
        <v>-8051</v>
      </c>
      <c r="S39" s="160">
        <f t="shared" si="52"/>
        <v>-7114</v>
      </c>
      <c r="T39" s="160">
        <f t="shared" si="52"/>
        <v>-6886</v>
      </c>
      <c r="U39" s="160">
        <f t="shared" si="52"/>
        <v>-10818</v>
      </c>
      <c r="V39" s="160">
        <f t="shared" si="52"/>
        <v>-11352</v>
      </c>
      <c r="W39" s="160">
        <f t="shared" si="52"/>
        <v>-9054</v>
      </c>
      <c r="X39" s="160">
        <f>-X32</f>
        <v>-5671.8558588048199</v>
      </c>
      <c r="Y39" s="160">
        <f t="shared" si="52"/>
        <v>-6352.4785618614042</v>
      </c>
      <c r="Z39" s="160">
        <f t="shared" si="52"/>
        <v>-7114.7759892847707</v>
      </c>
      <c r="AA39" s="160">
        <f t="shared" si="52"/>
        <v>-7968.5491079989406</v>
      </c>
      <c r="AB39" s="160">
        <f t="shared" si="52"/>
        <v>-11030.615514194204</v>
      </c>
      <c r="AC39" s="160">
        <f t="shared" si="52"/>
        <v>-11913.064755329731</v>
      </c>
      <c r="AD39" s="160">
        <f t="shared" si="52"/>
        <v>-12866.109935756107</v>
      </c>
      <c r="AE39" s="160">
        <f t="shared" si="52"/>
        <v>-16548.151295225376</v>
      </c>
      <c r="AF39" s="160">
        <f t="shared" si="52"/>
        <v>-17210.077347034385</v>
      </c>
    </row>
    <row r="40" spans="1:32" ht="16">
      <c r="B40" s="170" t="s">
        <v>26</v>
      </c>
      <c r="P40" s="141" t="s">
        <v>492</v>
      </c>
      <c r="Q40" s="142"/>
      <c r="R40" s="161">
        <f t="shared" ref="R40:W40" si="53">R38</f>
        <v>3881</v>
      </c>
      <c r="S40" s="161">
        <f t="shared" si="53"/>
        <v>5949</v>
      </c>
      <c r="T40" s="161">
        <f t="shared" si="53"/>
        <v>24715</v>
      </c>
      <c r="U40" s="161">
        <f t="shared" si="53"/>
        <v>31671</v>
      </c>
      <c r="V40" s="161">
        <f t="shared" si="53"/>
        <v>28234</v>
      </c>
      <c r="W40" s="161">
        <f t="shared" si="53"/>
        <v>28632</v>
      </c>
      <c r="X40" s="161">
        <f>X38+X39</f>
        <v>22960.144141195182</v>
      </c>
      <c r="Y40" s="161">
        <f>Y38+Y39</f>
        <v>16607.665579333778</v>
      </c>
      <c r="Z40" s="161">
        <f>Z38+Z39</f>
        <v>9492.8895900490061</v>
      </c>
      <c r="AA40" s="161">
        <f>AA38+AA39</f>
        <v>1524.3404820500655</v>
      </c>
      <c r="AB40" s="161">
        <f>AB38+AB39</f>
        <v>-9506.2750321441381</v>
      </c>
      <c r="AC40" s="161">
        <f t="shared" ref="AC40:AF40" si="54">AC38+AC39</f>
        <v>-21419.339787473869</v>
      </c>
      <c r="AD40" s="161">
        <f t="shared" si="54"/>
        <v>-34285.449723229976</v>
      </c>
      <c r="AE40" s="161">
        <f t="shared" si="54"/>
        <v>-50833.601018455352</v>
      </c>
      <c r="AF40" s="161">
        <f t="shared" si="54"/>
        <v>-68043.67836548973</v>
      </c>
    </row>
    <row r="41" spans="1:32" ht="16">
      <c r="B41" s="170" t="s">
        <v>27</v>
      </c>
      <c r="C41" s="173">
        <v>3991</v>
      </c>
      <c r="D41" s="173">
        <v>3341</v>
      </c>
      <c r="E41" s="173">
        <v>2751</v>
      </c>
      <c r="F41" s="173">
        <v>4180</v>
      </c>
      <c r="G41" s="173">
        <v>3881</v>
      </c>
      <c r="H41" s="173">
        <v>5949</v>
      </c>
      <c r="I41" s="173">
        <v>8867</v>
      </c>
      <c r="J41" s="173">
        <v>13356</v>
      </c>
      <c r="K41" s="173">
        <v>11611</v>
      </c>
      <c r="L41" s="173">
        <v>12074</v>
      </c>
      <c r="P41" s="135" t="s">
        <v>493</v>
      </c>
      <c r="Q41" s="136"/>
      <c r="R41" s="143"/>
      <c r="S41" s="144"/>
      <c r="T41" s="144"/>
      <c r="U41" s="144"/>
      <c r="V41" s="144"/>
      <c r="W41" s="144"/>
      <c r="X41" s="158">
        <f>-X39</f>
        <v>5671.8558588048199</v>
      </c>
      <c r="Y41" s="158">
        <f>-Y39</f>
        <v>6352.4785618614042</v>
      </c>
      <c r="Z41" s="158">
        <f>-Z39</f>
        <v>7114.7759892847707</v>
      </c>
      <c r="AA41" s="158">
        <f>-AA39</f>
        <v>7968.5491079989406</v>
      </c>
      <c r="AB41" s="158">
        <f>-AB39</f>
        <v>11030.615514194204</v>
      </c>
      <c r="AC41" s="158">
        <f t="shared" ref="AC41:AF41" si="55">-AC39</f>
        <v>11913.064755329731</v>
      </c>
      <c r="AD41" s="158">
        <f t="shared" si="55"/>
        <v>12866.109935756107</v>
      </c>
      <c r="AE41" s="158">
        <f t="shared" si="55"/>
        <v>16548.151295225376</v>
      </c>
      <c r="AF41" s="158">
        <f t="shared" si="55"/>
        <v>17210.077347034385</v>
      </c>
    </row>
    <row r="42" spans="1:32" ht="16">
      <c r="B42" s="170" t="s">
        <v>28</v>
      </c>
      <c r="C42" s="173">
        <v>476</v>
      </c>
      <c r="D42" s="173">
        <v>560</v>
      </c>
      <c r="E42" s="173">
        <v>723</v>
      </c>
      <c r="F42" s="173">
        <v>761</v>
      </c>
      <c r="G42" s="173">
        <v>822</v>
      </c>
      <c r="H42" s="173">
        <v>847</v>
      </c>
      <c r="I42" s="173">
        <v>1041</v>
      </c>
      <c r="J42" s="173">
        <v>1132</v>
      </c>
      <c r="K42" s="173">
        <v>1208</v>
      </c>
      <c r="L42" s="173">
        <v>1542</v>
      </c>
      <c r="P42" s="135" t="s">
        <v>494</v>
      </c>
      <c r="Q42" s="136"/>
      <c r="R42" s="162">
        <f t="shared" ref="R42:X42" si="56">R40/R25</f>
        <v>0.45206755969714618</v>
      </c>
      <c r="S42" s="162">
        <f t="shared" si="56"/>
        <v>0.62150020894274971</v>
      </c>
      <c r="T42" s="162">
        <f t="shared" si="56"/>
        <v>2.4079306313328139</v>
      </c>
      <c r="U42" s="162">
        <f t="shared" si="56"/>
        <v>2.4900542495479203</v>
      </c>
      <c r="V42" s="162">
        <f t="shared" si="56"/>
        <v>1.9919571045576407</v>
      </c>
      <c r="W42" s="162">
        <f t="shared" si="56"/>
        <v>1.7831475368997944</v>
      </c>
      <c r="X42" s="162">
        <f t="shared" si="56"/>
        <v>1.2767097650554711</v>
      </c>
      <c r="Y42" s="162">
        <f>Y40/Y25</f>
        <v>0.82453318305161027</v>
      </c>
      <c r="Z42" s="162">
        <f>Z40/Z25</f>
        <v>0.4208040919767348</v>
      </c>
      <c r="AA42" s="162">
        <f>AA40/AA25</f>
        <v>6.033168923131043E-2</v>
      </c>
      <c r="AB42" s="162">
        <f>AB40/AB25</f>
        <v>-0.34837751858633631</v>
      </c>
      <c r="AC42" s="162">
        <f t="shared" ref="AC42:AF42" si="57">AC40/AC25</f>
        <v>-0.7268119702693423</v>
      </c>
      <c r="AD42" s="162">
        <f t="shared" si="57"/>
        <v>-1.0772142403461995</v>
      </c>
      <c r="AE42" s="162">
        <f t="shared" si="57"/>
        <v>-1.5357119797284993</v>
      </c>
      <c r="AF42" s="162">
        <f t="shared" si="57"/>
        <v>-1.9765751906730178</v>
      </c>
    </row>
    <row r="43" spans="1:32" ht="16">
      <c r="B43" s="170" t="s">
        <v>29</v>
      </c>
      <c r="C43" s="173">
        <v>4267</v>
      </c>
      <c r="D43" s="173">
        <v>5289</v>
      </c>
      <c r="E43" s="173">
        <v>8312</v>
      </c>
      <c r="F43" s="173">
        <v>2881</v>
      </c>
      <c r="G43" s="173">
        <v>4859</v>
      </c>
      <c r="H43" s="173">
        <v>3225</v>
      </c>
      <c r="I43" s="173">
        <v>4405</v>
      </c>
      <c r="J43" s="173">
        <v>4535</v>
      </c>
      <c r="K43" s="173">
        <v>5397</v>
      </c>
      <c r="L43" s="173">
        <v>7354</v>
      </c>
      <c r="P43" s="135"/>
      <c r="Q43" s="136"/>
      <c r="R43" s="144"/>
      <c r="S43" s="143"/>
      <c r="T43" s="143"/>
      <c r="U43" s="143"/>
      <c r="V43" s="143"/>
      <c r="W43" s="143"/>
      <c r="X43" s="143"/>
      <c r="Y43" s="143"/>
      <c r="Z43" s="143"/>
      <c r="AA43" s="143"/>
      <c r="AB43" s="124"/>
      <c r="AC43" s="124"/>
      <c r="AD43" s="124"/>
      <c r="AE43" s="124"/>
      <c r="AF43" s="124"/>
    </row>
    <row r="44" spans="1:32" ht="17" thickBot="1">
      <c r="B44" s="172" t="s">
        <v>30</v>
      </c>
      <c r="C44" s="171">
        <v>8734</v>
      </c>
      <c r="D44" s="171">
        <v>9190</v>
      </c>
      <c r="E44" s="171">
        <v>11786</v>
      </c>
      <c r="F44" s="171">
        <v>7822</v>
      </c>
      <c r="G44" s="171">
        <v>9562</v>
      </c>
      <c r="H44" s="171">
        <v>10021</v>
      </c>
      <c r="I44" s="171">
        <v>14313</v>
      </c>
      <c r="J44" s="171">
        <v>19023</v>
      </c>
      <c r="K44" s="171">
        <v>18216</v>
      </c>
      <c r="L44" s="171">
        <v>20970</v>
      </c>
      <c r="P44" s="198" t="s">
        <v>495</v>
      </c>
      <c r="Q44" s="197"/>
      <c r="R44" s="196" t="s">
        <v>7</v>
      </c>
      <c r="S44" s="196" t="s">
        <v>8</v>
      </c>
      <c r="T44" s="196" t="s">
        <v>9</v>
      </c>
      <c r="U44" s="196" t="s">
        <v>10</v>
      </c>
      <c r="V44" s="196" t="s">
        <v>11</v>
      </c>
      <c r="W44" s="196" t="s">
        <v>12</v>
      </c>
      <c r="X44" s="196" t="s">
        <v>474</v>
      </c>
      <c r="Y44" s="196" t="s">
        <v>475</v>
      </c>
      <c r="Z44" s="196" t="s">
        <v>476</v>
      </c>
      <c r="AA44" s="196" t="s">
        <v>490</v>
      </c>
      <c r="AB44" s="196" t="s">
        <v>491</v>
      </c>
      <c r="AC44" s="196" t="s">
        <v>491</v>
      </c>
      <c r="AD44" s="196" t="s">
        <v>491</v>
      </c>
      <c r="AE44" s="196" t="s">
        <v>491</v>
      </c>
      <c r="AF44" s="196" t="s">
        <v>491</v>
      </c>
    </row>
    <row r="45" spans="1:32" ht="17" thickTop="1">
      <c r="B45" s="170" t="s">
        <v>31</v>
      </c>
      <c r="C45" s="173">
        <v>1357</v>
      </c>
      <c r="D45" s="173">
        <v>1541</v>
      </c>
      <c r="E45" s="173">
        <v>1634</v>
      </c>
      <c r="F45" s="173">
        <v>1732</v>
      </c>
      <c r="G45" s="173">
        <v>1892</v>
      </c>
      <c r="H45" s="173">
        <v>1888</v>
      </c>
      <c r="I45" s="173">
        <v>2150</v>
      </c>
      <c r="J45" s="173">
        <v>2253</v>
      </c>
      <c r="K45" s="173">
        <v>2472</v>
      </c>
      <c r="L45" s="173">
        <v>2695</v>
      </c>
      <c r="P45" s="195" t="s">
        <v>496</v>
      </c>
      <c r="Q45" s="193"/>
      <c r="R45" s="194">
        <f t="shared" ref="R45:AB45" si="58">SUM(R25:R27)</f>
        <v>6780</v>
      </c>
      <c r="S45" s="194">
        <f t="shared" si="58"/>
        <v>5637</v>
      </c>
      <c r="T45" s="194">
        <f t="shared" si="58"/>
        <v>6219</v>
      </c>
      <c r="U45" s="194">
        <f t="shared" si="58"/>
        <v>7444</v>
      </c>
      <c r="V45" s="194">
        <f t="shared" si="58"/>
        <v>10813</v>
      </c>
      <c r="W45" s="194">
        <f t="shared" si="58"/>
        <v>8998</v>
      </c>
      <c r="X45" s="194">
        <f t="shared" si="58"/>
        <v>11777.16064984482</v>
      </c>
      <c r="Y45" s="194">
        <f t="shared" si="58"/>
        <v>13190.419927826206</v>
      </c>
      <c r="Z45" s="194">
        <f t="shared" si="58"/>
        <v>14773.270319165349</v>
      </c>
      <c r="AA45" s="194">
        <f t="shared" si="58"/>
        <v>16546.062757465188</v>
      </c>
      <c r="AB45" s="194">
        <f t="shared" si="58"/>
        <v>20294.330255617751</v>
      </c>
      <c r="AC45" s="194">
        <f t="shared" ref="AC45:AF45" si="59">SUM(AC25:AC27)</f>
        <v>21917.876676067164</v>
      </c>
      <c r="AD45" s="194">
        <f t="shared" si="59"/>
        <v>23671.306810152535</v>
      </c>
      <c r="AE45" s="194">
        <f t="shared" si="59"/>
        <v>27785.556044597659</v>
      </c>
      <c r="AF45" s="194">
        <f t="shared" si="59"/>
        <v>28896.978286381564</v>
      </c>
    </row>
    <row r="46" spans="1:32" ht="16">
      <c r="B46" s="170" t="s">
        <v>32</v>
      </c>
      <c r="C46" s="173">
        <v>24</v>
      </c>
      <c r="D46" s="173">
        <v>711</v>
      </c>
      <c r="E46" s="173">
        <v>3283</v>
      </c>
      <c r="F46" s="173">
        <v>2760</v>
      </c>
      <c r="G46" s="173">
        <v>3015</v>
      </c>
      <c r="H46" s="173">
        <v>3384</v>
      </c>
      <c r="I46" s="173">
        <v>3931</v>
      </c>
      <c r="J46" s="173">
        <v>1926</v>
      </c>
      <c r="K46" s="173">
        <v>4082</v>
      </c>
      <c r="L46" s="173">
        <v>2157</v>
      </c>
      <c r="P46" s="180" t="s">
        <v>497</v>
      </c>
      <c r="Q46" s="191">
        <v>0.21</v>
      </c>
      <c r="R46" s="179">
        <f t="shared" ref="R46:AF46" si="60">-($Q$46*R45)</f>
        <v>-1423.8</v>
      </c>
      <c r="S46" s="179">
        <f t="shared" si="60"/>
        <v>-1183.77</v>
      </c>
      <c r="T46" s="179">
        <f t="shared" si="60"/>
        <v>-1305.99</v>
      </c>
      <c r="U46" s="179">
        <f t="shared" si="60"/>
        <v>-1563.24</v>
      </c>
      <c r="V46" s="179">
        <f t="shared" si="60"/>
        <v>-2270.73</v>
      </c>
      <c r="W46" s="179">
        <f t="shared" si="60"/>
        <v>-1889.58</v>
      </c>
      <c r="X46" s="179">
        <f t="shared" si="60"/>
        <v>-2473.203736467412</v>
      </c>
      <c r="Y46" s="179">
        <f t="shared" si="60"/>
        <v>-2769.9881848435029</v>
      </c>
      <c r="Z46" s="179">
        <f t="shared" si="60"/>
        <v>-3102.3867670247232</v>
      </c>
      <c r="AA46" s="179">
        <f t="shared" si="60"/>
        <v>-3474.6731790676895</v>
      </c>
      <c r="AB46" s="179">
        <f t="shared" si="60"/>
        <v>-4261.8093536797278</v>
      </c>
      <c r="AC46" s="179">
        <f t="shared" si="60"/>
        <v>-4602.7541019741047</v>
      </c>
      <c r="AD46" s="179">
        <f t="shared" si="60"/>
        <v>-4970.9744301320325</v>
      </c>
      <c r="AE46" s="179">
        <f t="shared" si="60"/>
        <v>-5834.9667693655083</v>
      </c>
      <c r="AF46" s="179">
        <f t="shared" si="60"/>
        <v>-6068.3654401401282</v>
      </c>
    </row>
    <row r="47" spans="1:32" ht="16">
      <c r="B47" s="170" t="s">
        <v>33</v>
      </c>
      <c r="C47" s="173">
        <v>23293</v>
      </c>
      <c r="D47" s="173">
        <v>23318</v>
      </c>
      <c r="E47" s="173">
        <v>23310</v>
      </c>
      <c r="F47" s="173">
        <v>23642</v>
      </c>
      <c r="G47" s="173">
        <v>24100</v>
      </c>
      <c r="H47" s="173">
        <v>24074</v>
      </c>
      <c r="I47" s="173">
        <v>43641</v>
      </c>
      <c r="J47" s="173">
        <v>44775</v>
      </c>
      <c r="K47" s="173">
        <v>44455</v>
      </c>
      <c r="L47" s="173">
        <v>46752</v>
      </c>
      <c r="P47" s="195" t="s">
        <v>498</v>
      </c>
      <c r="Q47" s="193"/>
      <c r="R47" s="194">
        <f t="shared" ref="R47:AB47" si="61">SUM(R45:R46)</f>
        <v>5356.2</v>
      </c>
      <c r="S47" s="194">
        <f t="shared" si="61"/>
        <v>4453.2299999999996</v>
      </c>
      <c r="T47" s="194">
        <f t="shared" si="61"/>
        <v>4913.01</v>
      </c>
      <c r="U47" s="194">
        <f t="shared" si="61"/>
        <v>5880.76</v>
      </c>
      <c r="V47" s="194">
        <f t="shared" si="61"/>
        <v>8542.27</v>
      </c>
      <c r="W47" s="194">
        <f t="shared" si="61"/>
        <v>7108.42</v>
      </c>
      <c r="X47" s="194">
        <f t="shared" si="61"/>
        <v>9303.9569133774075</v>
      </c>
      <c r="Y47" s="194">
        <f t="shared" si="61"/>
        <v>10420.431742982702</v>
      </c>
      <c r="Z47" s="194">
        <f t="shared" si="61"/>
        <v>11670.883552140625</v>
      </c>
      <c r="AA47" s="194">
        <f t="shared" si="61"/>
        <v>13071.389578397499</v>
      </c>
      <c r="AB47" s="194">
        <f t="shared" si="61"/>
        <v>16032.520901938024</v>
      </c>
      <c r="AC47" s="194">
        <f t="shared" ref="AC47:AF47" si="62">SUM(AC45:AC46)</f>
        <v>17315.12257409306</v>
      </c>
      <c r="AD47" s="194">
        <f t="shared" si="62"/>
        <v>18700.332380020503</v>
      </c>
      <c r="AE47" s="194">
        <f t="shared" si="62"/>
        <v>21950.589275232152</v>
      </c>
      <c r="AF47" s="194">
        <f t="shared" si="62"/>
        <v>22828.612846241434</v>
      </c>
    </row>
    <row r="48" spans="1:32" ht="16">
      <c r="B48" s="172" t="s">
        <v>34</v>
      </c>
      <c r="C48" s="171">
        <v>24674</v>
      </c>
      <c r="D48" s="171">
        <v>25570</v>
      </c>
      <c r="E48" s="171">
        <v>28227</v>
      </c>
      <c r="F48" s="171">
        <v>28134</v>
      </c>
      <c r="G48" s="171">
        <v>29007</v>
      </c>
      <c r="H48" s="171">
        <v>29346</v>
      </c>
      <c r="I48" s="171">
        <v>49722</v>
      </c>
      <c r="J48" s="171">
        <v>48954</v>
      </c>
      <c r="K48" s="171">
        <v>51009</v>
      </c>
      <c r="L48" s="171">
        <v>51604</v>
      </c>
      <c r="P48" s="174"/>
      <c r="Q48" s="193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</row>
    <row r="49" spans="2:32" ht="16">
      <c r="B49" s="172" t="s">
        <v>35</v>
      </c>
      <c r="C49" s="171">
        <v>33408</v>
      </c>
      <c r="D49" s="171">
        <v>34760</v>
      </c>
      <c r="E49" s="171">
        <v>40013</v>
      </c>
      <c r="F49" s="171">
        <v>35956</v>
      </c>
      <c r="G49" s="171">
        <v>38569</v>
      </c>
      <c r="H49" s="171">
        <v>39367</v>
      </c>
      <c r="I49" s="171">
        <v>64035</v>
      </c>
      <c r="J49" s="171">
        <v>67977</v>
      </c>
      <c r="K49" s="171">
        <v>69225</v>
      </c>
      <c r="L49" s="171">
        <v>72574</v>
      </c>
      <c r="P49" s="185" t="s">
        <v>514</v>
      </c>
      <c r="Q49" s="243">
        <f>AK20</f>
        <v>5.9868080873864013E-2</v>
      </c>
      <c r="R49" s="192"/>
      <c r="S49" s="192"/>
      <c r="T49" s="192"/>
      <c r="U49" s="192"/>
      <c r="V49" s="192"/>
      <c r="W49" s="192"/>
      <c r="X49" s="189"/>
      <c r="Y49" s="189"/>
      <c r="Z49" s="189"/>
      <c r="AA49" s="189"/>
      <c r="AB49" s="174"/>
      <c r="AC49" s="174"/>
      <c r="AD49" s="174"/>
      <c r="AE49" s="174"/>
      <c r="AF49" s="174"/>
    </row>
    <row r="50" spans="2:32" ht="16">
      <c r="B50" s="170" t="s">
        <v>36</v>
      </c>
      <c r="P50" s="185" t="s">
        <v>516</v>
      </c>
      <c r="Q50" s="242">
        <v>0.03</v>
      </c>
      <c r="R50" s="183"/>
      <c r="S50" s="183"/>
      <c r="T50" s="183"/>
      <c r="U50" s="183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</row>
    <row r="51" spans="2:32" ht="16">
      <c r="B51" s="170" t="s">
        <v>37</v>
      </c>
      <c r="C51" s="173">
        <v>2169</v>
      </c>
      <c r="D51" s="173">
        <v>1992</v>
      </c>
      <c r="E51" s="173">
        <v>6301</v>
      </c>
      <c r="F51" s="173">
        <v>2550</v>
      </c>
      <c r="G51" s="173">
        <v>4009</v>
      </c>
      <c r="H51" s="173">
        <v>3283</v>
      </c>
      <c r="I51" s="173">
        <v>5069</v>
      </c>
      <c r="J51" s="173">
        <v>5050</v>
      </c>
      <c r="K51" s="173">
        <v>5846</v>
      </c>
      <c r="L51" s="173">
        <v>7770</v>
      </c>
      <c r="P51" s="190"/>
      <c r="Q51" s="184"/>
      <c r="R51" s="183"/>
      <c r="S51" s="183"/>
      <c r="T51" s="183"/>
      <c r="U51" s="183"/>
      <c r="V51" s="189"/>
      <c r="W51" s="189"/>
      <c r="X51" s="189"/>
      <c r="Y51" s="189"/>
      <c r="Z51" s="189"/>
      <c r="AA51" s="189"/>
      <c r="AB51" s="174"/>
      <c r="AC51" s="174"/>
      <c r="AD51" s="174"/>
      <c r="AE51" s="174"/>
      <c r="AF51" s="174"/>
    </row>
    <row r="52" spans="2:32" ht="16">
      <c r="B52" s="170" t="s">
        <v>38</v>
      </c>
      <c r="C52" s="173">
        <v>12</v>
      </c>
      <c r="I52" s="173">
        <v>0</v>
      </c>
      <c r="J52" s="173">
        <v>1749</v>
      </c>
      <c r="K52" s="173">
        <v>0</v>
      </c>
      <c r="P52" s="188" t="s">
        <v>517</v>
      </c>
      <c r="Q52" s="187"/>
      <c r="R52" s="186"/>
      <c r="S52" s="186"/>
      <c r="T52" s="186"/>
      <c r="U52" s="186"/>
      <c r="V52" s="180"/>
      <c r="W52" s="180"/>
      <c r="X52" s="247">
        <v>1</v>
      </c>
      <c r="Y52" s="181">
        <f>X52+1</f>
        <v>2</v>
      </c>
      <c r="Z52" s="181">
        <f t="shared" ref="Z52:AF52" si="63">Y52+1</f>
        <v>3</v>
      </c>
      <c r="AA52" s="181">
        <f t="shared" si="63"/>
        <v>4</v>
      </c>
      <c r="AB52" s="181">
        <f t="shared" si="63"/>
        <v>5</v>
      </c>
      <c r="AC52" s="181">
        <f t="shared" si="63"/>
        <v>6</v>
      </c>
      <c r="AD52" s="181">
        <f t="shared" si="63"/>
        <v>7</v>
      </c>
      <c r="AE52" s="181">
        <f t="shared" si="63"/>
        <v>8</v>
      </c>
      <c r="AF52" s="181">
        <f t="shared" si="63"/>
        <v>9</v>
      </c>
    </row>
    <row r="53" spans="2:32" ht="16">
      <c r="B53" s="170" t="s">
        <v>39</v>
      </c>
      <c r="C53" s="173">
        <v>1317</v>
      </c>
      <c r="D53" s="173">
        <v>1459</v>
      </c>
      <c r="E53" s="173">
        <v>1653</v>
      </c>
      <c r="F53" s="173">
        <v>1785</v>
      </c>
      <c r="G53" s="173">
        <v>1997</v>
      </c>
      <c r="H53" s="173">
        <v>2072</v>
      </c>
      <c r="I53" s="173">
        <v>2977</v>
      </c>
      <c r="J53" s="173">
        <v>3195</v>
      </c>
      <c r="K53" s="173">
        <v>5459</v>
      </c>
      <c r="L53" s="173">
        <v>5645</v>
      </c>
      <c r="P53" s="185" t="s">
        <v>518</v>
      </c>
      <c r="Q53" s="184"/>
      <c r="R53" s="183"/>
      <c r="S53" s="183"/>
      <c r="T53" s="183"/>
      <c r="U53" s="183"/>
      <c r="V53" s="174"/>
      <c r="W53" s="174"/>
      <c r="X53" s="182">
        <f>1/(1+$Q$49)^X52</f>
        <v>0.94351364858114917</v>
      </c>
      <c r="Y53" s="182">
        <f>1/(1+$Q$49)^Y52</f>
        <v>0.89021800505891224</v>
      </c>
      <c r="Z53" s="182">
        <f>1/(1+$Q$49)^Z52</f>
        <v>0.83993283798576623</v>
      </c>
      <c r="AA53" s="182">
        <f>1/(1+$Q$49)^AA52</f>
        <v>0.79248809653106955</v>
      </c>
      <c r="AB53" s="182">
        <f>1/(1+$Q$49)^AB52</f>
        <v>0.74772333541515934</v>
      </c>
      <c r="AC53" s="182">
        <f t="shared" ref="AC53:AF53" si="64">1/(1+$Q$49)^AC52</f>
        <v>0.70548717232682345</v>
      </c>
      <c r="AD53" s="182">
        <f t="shared" si="64"/>
        <v>0.66563677598927917</v>
      </c>
      <c r="AE53" s="182">
        <f t="shared" si="64"/>
        <v>0.62803738314343782</v>
      </c>
      <c r="AF53" s="182">
        <f t="shared" si="64"/>
        <v>0.59256184281502222</v>
      </c>
    </row>
    <row r="54" spans="2:32" ht="16">
      <c r="B54" s="172" t="s">
        <v>40</v>
      </c>
      <c r="C54" s="171">
        <v>3498</v>
      </c>
      <c r="D54" s="171">
        <v>3451</v>
      </c>
      <c r="E54" s="171">
        <v>7954</v>
      </c>
      <c r="F54" s="171">
        <v>4335</v>
      </c>
      <c r="G54" s="171">
        <v>6006</v>
      </c>
      <c r="H54" s="171">
        <v>5355</v>
      </c>
      <c r="I54" s="171">
        <v>8046</v>
      </c>
      <c r="J54" s="171">
        <v>9994</v>
      </c>
      <c r="K54" s="171">
        <v>11305</v>
      </c>
      <c r="L54" s="171">
        <v>13415</v>
      </c>
      <c r="P54" s="181" t="s">
        <v>519</v>
      </c>
      <c r="Q54" s="180"/>
      <c r="R54" s="180"/>
      <c r="S54" s="180"/>
      <c r="T54" s="180"/>
      <c r="U54" s="180"/>
      <c r="V54" s="180"/>
      <c r="W54" s="180"/>
      <c r="X54" s="179">
        <f>X47*X53</f>
        <v>8778.4103335825239</v>
      </c>
      <c r="Y54" s="179">
        <f>Y47*Y53</f>
        <v>9276.4559580906243</v>
      </c>
      <c r="Z54" s="179">
        <f>Z47*Z53</f>
        <v>9802.7583437508765</v>
      </c>
      <c r="AA54" s="179">
        <f>AA47*AA53</f>
        <v>10358.920646000293</v>
      </c>
      <c r="AB54" s="179">
        <f>AB47*AB53</f>
        <v>11987.890003910357</v>
      </c>
      <c r="AC54" s="179">
        <f t="shared" ref="AC54:AF54" si="65">AC47*AC53</f>
        <v>12215.596863289262</v>
      </c>
      <c r="AD54" s="179">
        <f t="shared" si="65"/>
        <v>12447.628955364771</v>
      </c>
      <c r="AE54" s="179">
        <f t="shared" si="65"/>
        <v>13785.790646873213</v>
      </c>
      <c r="AF54" s="179">
        <f t="shared" si="65"/>
        <v>13527.364897079515</v>
      </c>
    </row>
    <row r="55" spans="2:32" ht="16">
      <c r="B55" s="170" t="s">
        <v>41</v>
      </c>
      <c r="C55" s="173">
        <v>32</v>
      </c>
      <c r="H55" s="173">
        <v>0</v>
      </c>
      <c r="I55" s="173">
        <v>15848</v>
      </c>
      <c r="J55" s="173">
        <v>16566</v>
      </c>
      <c r="K55" s="173">
        <v>16623</v>
      </c>
      <c r="L55" s="173">
        <v>16558</v>
      </c>
      <c r="P55" s="175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</row>
    <row r="56" spans="2:32" ht="16">
      <c r="B56" s="170" t="s">
        <v>42</v>
      </c>
      <c r="C56" s="173">
        <v>4864</v>
      </c>
      <c r="D56" s="173">
        <v>4872</v>
      </c>
      <c r="E56" s="173">
        <v>4429</v>
      </c>
      <c r="F56" s="173">
        <v>4751</v>
      </c>
      <c r="G56" s="173">
        <v>5150</v>
      </c>
      <c r="H56" s="173">
        <v>4170</v>
      </c>
      <c r="I56" s="173">
        <v>7195</v>
      </c>
      <c r="J56" s="173">
        <v>8605</v>
      </c>
      <c r="K56" s="173">
        <v>7284</v>
      </c>
      <c r="L56" s="173">
        <v>7746</v>
      </c>
      <c r="P56" s="175" t="s">
        <v>527</v>
      </c>
      <c r="Q56" s="174"/>
      <c r="R56" s="178">
        <f>SUM(X54:AE54)</f>
        <v>88653.451750861917</v>
      </c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</row>
    <row r="57" spans="2:32" ht="16">
      <c r="B57" s="172" t="s">
        <v>43</v>
      </c>
      <c r="C57" s="171">
        <v>4896</v>
      </c>
      <c r="D57" s="171">
        <v>4872</v>
      </c>
      <c r="E57" s="171">
        <v>4429</v>
      </c>
      <c r="F57" s="171">
        <v>4751</v>
      </c>
      <c r="G57" s="171">
        <v>5150</v>
      </c>
      <c r="H57" s="171">
        <v>4170</v>
      </c>
      <c r="I57" s="171">
        <v>23043</v>
      </c>
      <c r="J57" s="171">
        <v>25171</v>
      </c>
      <c r="K57" s="171">
        <v>23907</v>
      </c>
      <c r="L57" s="171">
        <v>24304</v>
      </c>
      <c r="P57" s="175" t="s">
        <v>520</v>
      </c>
      <c r="Q57" s="174"/>
      <c r="R57" s="178">
        <f>AF54/(Q49-Q50)</f>
        <v>452903.71866230614</v>
      </c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</row>
    <row r="58" spans="2:32" ht="16">
      <c r="B58" s="172" t="s">
        <v>44</v>
      </c>
      <c r="C58" s="171">
        <v>8394</v>
      </c>
      <c r="D58" s="171">
        <v>8323</v>
      </c>
      <c r="E58" s="171">
        <v>12383</v>
      </c>
      <c r="F58" s="171">
        <v>9086</v>
      </c>
      <c r="G58" s="171">
        <v>11156</v>
      </c>
      <c r="H58" s="171">
        <v>9525</v>
      </c>
      <c r="I58" s="171">
        <v>31089</v>
      </c>
      <c r="J58" s="171">
        <v>35165</v>
      </c>
      <c r="K58" s="171">
        <v>35212</v>
      </c>
      <c r="L58" s="171">
        <v>37719</v>
      </c>
      <c r="P58" s="175" t="s">
        <v>521</v>
      </c>
      <c r="Q58" s="174"/>
      <c r="R58" s="178">
        <f>R57*AF53</f>
        <v>268373.46214831248</v>
      </c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</row>
    <row r="59" spans="2:32" ht="16">
      <c r="B59" s="170" t="s">
        <v>45</v>
      </c>
      <c r="I59" s="173">
        <v>5717</v>
      </c>
      <c r="J59" s="173">
        <v>5526</v>
      </c>
      <c r="K59" s="173">
        <v>5470</v>
      </c>
      <c r="L59" s="173">
        <v>5462</v>
      </c>
      <c r="P59" s="175" t="s">
        <v>522</v>
      </c>
      <c r="Q59" s="174"/>
      <c r="R59" s="178">
        <f>R58+R56</f>
        <v>357026.91389917443</v>
      </c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</row>
    <row r="60" spans="2:32" ht="16">
      <c r="B60" s="170" t="s">
        <v>46</v>
      </c>
      <c r="C60" s="173">
        <v>20794</v>
      </c>
      <c r="D60" s="173">
        <v>19907</v>
      </c>
      <c r="E60" s="173">
        <v>19992</v>
      </c>
      <c r="F60" s="173">
        <v>18875</v>
      </c>
      <c r="G60" s="173">
        <v>18299</v>
      </c>
      <c r="H60" s="173">
        <v>18073</v>
      </c>
      <c r="I60" s="173">
        <v>17395</v>
      </c>
      <c r="J60" s="173">
        <v>16900</v>
      </c>
      <c r="K60" s="173">
        <v>16678</v>
      </c>
      <c r="L60" s="173">
        <v>16541</v>
      </c>
      <c r="P60" s="175" t="s">
        <v>523</v>
      </c>
      <c r="Q60" s="174"/>
      <c r="R60" s="178">
        <f>W38</f>
        <v>28632</v>
      </c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</row>
    <row r="61" spans="2:32" ht="16">
      <c r="B61" s="170" t="s">
        <v>47</v>
      </c>
      <c r="H61" s="173">
        <v>0</v>
      </c>
      <c r="I61" s="173">
        <v>-170</v>
      </c>
      <c r="P61" s="175" t="s">
        <v>524</v>
      </c>
      <c r="Q61" s="174"/>
      <c r="R61" s="178">
        <f>R59-R60</f>
        <v>328394.91389917443</v>
      </c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</row>
    <row r="62" spans="2:32" ht="16">
      <c r="B62" s="170" t="s">
        <v>48</v>
      </c>
      <c r="C62" s="173">
        <v>4368</v>
      </c>
      <c r="D62" s="173">
        <v>6706</v>
      </c>
      <c r="E62" s="173">
        <v>7809</v>
      </c>
      <c r="F62" s="173">
        <v>7974</v>
      </c>
      <c r="G62" s="173">
        <v>9131</v>
      </c>
      <c r="H62" s="173">
        <v>11843</v>
      </c>
      <c r="I62" s="173">
        <v>10462</v>
      </c>
      <c r="J62" s="173">
        <v>9508</v>
      </c>
      <c r="K62" s="173">
        <v>11318</v>
      </c>
      <c r="L62" s="173">
        <v>13502</v>
      </c>
      <c r="P62" s="175" t="s">
        <v>525</v>
      </c>
      <c r="Q62" s="174"/>
      <c r="R62" s="248">
        <v>1690</v>
      </c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</row>
    <row r="63" spans="2:32" ht="16">
      <c r="B63" s="170" t="s">
        <v>49</v>
      </c>
      <c r="C63" s="173">
        <v>-151</v>
      </c>
      <c r="D63" s="173">
        <v>-176</v>
      </c>
      <c r="E63" s="173">
        <v>-171</v>
      </c>
      <c r="F63" s="173">
        <v>21</v>
      </c>
      <c r="G63" s="173">
        <v>-17</v>
      </c>
      <c r="H63" s="173">
        <v>-74</v>
      </c>
      <c r="I63" s="173">
        <v>-458</v>
      </c>
      <c r="J63" s="173">
        <v>878</v>
      </c>
      <c r="K63" s="173">
        <v>547</v>
      </c>
      <c r="L63" s="173">
        <v>-650</v>
      </c>
      <c r="P63" s="177" t="s">
        <v>526</v>
      </c>
      <c r="Q63" s="176"/>
      <c r="R63" s="238">
        <f>R61/R62</f>
        <v>194.3165171001032</v>
      </c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</row>
    <row r="64" spans="2:32" ht="16">
      <c r="B64" s="170" t="s">
        <v>50</v>
      </c>
      <c r="C64" s="173">
        <v>25011</v>
      </c>
      <c r="D64" s="173">
        <v>26437</v>
      </c>
      <c r="E64" s="173">
        <v>27630</v>
      </c>
      <c r="F64" s="173">
        <v>26870</v>
      </c>
      <c r="G64" s="173">
        <v>27413</v>
      </c>
      <c r="H64" s="173">
        <v>29842</v>
      </c>
      <c r="I64" s="173">
        <v>32946</v>
      </c>
      <c r="J64" s="173">
        <v>32812</v>
      </c>
      <c r="K64" s="173">
        <v>34013</v>
      </c>
      <c r="L64" s="173">
        <v>34855</v>
      </c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</row>
    <row r="65" spans="1:28" ht="16">
      <c r="B65" s="170" t="s">
        <v>23</v>
      </c>
      <c r="C65" s="173">
        <v>3</v>
      </c>
      <c r="P65" s="175" t="s">
        <v>527</v>
      </c>
      <c r="Q65" s="174"/>
      <c r="R65" s="178">
        <f>SUM(X54:AE54)</f>
        <v>88653.451750861917</v>
      </c>
      <c r="S65" s="174"/>
      <c r="T65" s="174"/>
      <c r="U65" s="174"/>
      <c r="V65" s="174"/>
      <c r="W65" s="174"/>
      <c r="X65" s="174"/>
      <c r="Y65" s="174"/>
      <c r="Z65" s="174"/>
      <c r="AA65" s="174"/>
      <c r="AB65" s="174"/>
    </row>
    <row r="66" spans="1:28" ht="16">
      <c r="B66" s="172" t="s">
        <v>51</v>
      </c>
      <c r="C66" s="171">
        <v>25014</v>
      </c>
      <c r="D66" s="171">
        <v>26437</v>
      </c>
      <c r="E66" s="171">
        <v>27630</v>
      </c>
      <c r="F66" s="171">
        <v>26870</v>
      </c>
      <c r="G66" s="171">
        <v>27413</v>
      </c>
      <c r="H66" s="171">
        <v>29842</v>
      </c>
      <c r="I66" s="171">
        <v>32946</v>
      </c>
      <c r="J66" s="171">
        <v>32812</v>
      </c>
      <c r="K66" s="171">
        <v>34013</v>
      </c>
      <c r="L66" s="171">
        <v>34855</v>
      </c>
      <c r="P66" s="175" t="s">
        <v>520</v>
      </c>
      <c r="Q66" s="174"/>
      <c r="R66" s="178">
        <f>AF54*S66</f>
        <v>351711.48732406739</v>
      </c>
      <c r="S66" s="249">
        <v>26</v>
      </c>
      <c r="T66" s="174"/>
      <c r="U66" s="174"/>
      <c r="V66" s="174"/>
      <c r="W66" s="174"/>
      <c r="X66" s="174"/>
      <c r="Y66" s="174"/>
      <c r="Z66" s="174"/>
      <c r="AA66" s="174"/>
      <c r="AB66" s="174"/>
    </row>
    <row r="67" spans="1:28" ht="16">
      <c r="A67" s="170" t="s">
        <v>53</v>
      </c>
      <c r="B67" s="172" t="s">
        <v>52</v>
      </c>
      <c r="C67" s="171">
        <v>33408</v>
      </c>
      <c r="D67" s="171">
        <v>34760</v>
      </c>
      <c r="E67" s="171">
        <v>40013</v>
      </c>
      <c r="F67" s="171">
        <v>35956</v>
      </c>
      <c r="G67" s="171">
        <v>38569</v>
      </c>
      <c r="H67" s="171">
        <v>39367</v>
      </c>
      <c r="I67" s="171">
        <v>64035</v>
      </c>
      <c r="J67" s="171">
        <v>67977</v>
      </c>
      <c r="K67" s="171">
        <v>69225</v>
      </c>
      <c r="L67" s="171">
        <v>72574</v>
      </c>
      <c r="P67" s="175" t="s">
        <v>521</v>
      </c>
      <c r="Q67" s="174"/>
      <c r="R67" s="178">
        <f>R66*AF53</f>
        <v>208410.80706796169</v>
      </c>
      <c r="S67" s="174"/>
      <c r="T67" s="174"/>
      <c r="U67" s="174"/>
      <c r="V67" s="174"/>
      <c r="W67" s="174"/>
      <c r="X67" s="174"/>
      <c r="Y67" s="174"/>
      <c r="Z67" s="174"/>
      <c r="AA67" s="174"/>
      <c r="AB67" s="174"/>
    </row>
    <row r="68" spans="1:28" ht="16">
      <c r="P68" s="175" t="s">
        <v>522</v>
      </c>
      <c r="Q68" s="174"/>
      <c r="R68" s="178">
        <f>R65+R67</f>
        <v>297064.25881882361</v>
      </c>
      <c r="S68" s="174"/>
      <c r="T68" s="174"/>
      <c r="U68" s="174"/>
      <c r="V68" s="174"/>
      <c r="W68" s="174"/>
      <c r="X68" s="174"/>
      <c r="Y68" s="174"/>
      <c r="Z68" s="174"/>
      <c r="AA68" s="174"/>
      <c r="AB68" s="174"/>
    </row>
    <row r="69" spans="1:28" ht="16">
      <c r="P69" s="175" t="s">
        <v>523</v>
      </c>
      <c r="Q69" s="174"/>
      <c r="R69" s="178">
        <f>W38</f>
        <v>28632</v>
      </c>
    </row>
    <row r="70" spans="1:28" ht="16">
      <c r="B70" s="170" t="s">
        <v>2</v>
      </c>
      <c r="C70" s="170" t="s">
        <v>3</v>
      </c>
      <c r="D70" s="170" t="s">
        <v>4</v>
      </c>
      <c r="E70" s="170" t="s">
        <v>5</v>
      </c>
      <c r="F70" s="170" t="s">
        <v>6</v>
      </c>
      <c r="G70" s="170" t="s">
        <v>7</v>
      </c>
      <c r="H70" s="170" t="s">
        <v>8</v>
      </c>
      <c r="I70" s="170" t="s">
        <v>9</v>
      </c>
      <c r="J70" s="170" t="s">
        <v>10</v>
      </c>
      <c r="K70" s="170" t="s">
        <v>11</v>
      </c>
      <c r="L70" s="170" t="s">
        <v>12</v>
      </c>
      <c r="P70" s="175" t="s">
        <v>524</v>
      </c>
      <c r="Q70" s="174"/>
      <c r="R70" s="178">
        <f>R68-R69</f>
        <v>268432.25881882361</v>
      </c>
    </row>
    <row r="71" spans="1:28" ht="16">
      <c r="B71" s="170" t="s">
        <v>54</v>
      </c>
      <c r="C71" s="173">
        <v>2964</v>
      </c>
      <c r="D71" s="173">
        <v>3646</v>
      </c>
      <c r="E71" s="173">
        <v>2142</v>
      </c>
      <c r="F71" s="173">
        <v>4980</v>
      </c>
      <c r="G71" s="173">
        <v>5438</v>
      </c>
      <c r="H71" s="173">
        <v>6328</v>
      </c>
      <c r="I71" s="173">
        <v>5991</v>
      </c>
      <c r="J71" s="173">
        <v>6699</v>
      </c>
      <c r="K71" s="173">
        <v>10301</v>
      </c>
      <c r="L71" s="173">
        <v>12080</v>
      </c>
      <c r="P71" s="175" t="s">
        <v>525</v>
      </c>
      <c r="Q71" s="174"/>
      <c r="R71" s="250">
        <f>R62</f>
        <v>1690</v>
      </c>
    </row>
    <row r="72" spans="1:28" ht="16">
      <c r="B72" s="170" t="s">
        <v>55</v>
      </c>
      <c r="C72" s="173">
        <v>265</v>
      </c>
      <c r="D72" s="173">
        <v>288</v>
      </c>
      <c r="E72" s="173">
        <v>333</v>
      </c>
      <c r="F72" s="173">
        <v>397</v>
      </c>
      <c r="G72" s="173">
        <v>435</v>
      </c>
      <c r="H72" s="173">
        <v>494</v>
      </c>
      <c r="I72" s="173">
        <v>502</v>
      </c>
      <c r="J72" s="173">
        <v>556</v>
      </c>
      <c r="K72" s="173">
        <v>613</v>
      </c>
      <c r="L72" s="173">
        <v>656</v>
      </c>
      <c r="P72" s="177" t="s">
        <v>526</v>
      </c>
      <c r="Q72" s="176"/>
      <c r="R72" s="238">
        <f>R70/R71</f>
        <v>158.83565610581277</v>
      </c>
    </row>
    <row r="73" spans="1:28">
      <c r="B73" s="170" t="s">
        <v>56</v>
      </c>
      <c r="C73" s="173">
        <v>1797</v>
      </c>
      <c r="D73" s="173">
        <v>1972</v>
      </c>
      <c r="E73" s="173">
        <v>4634</v>
      </c>
      <c r="F73" s="173">
        <v>4006</v>
      </c>
      <c r="G73" s="173">
        <v>2584</v>
      </c>
      <c r="H73" s="173">
        <v>3293</v>
      </c>
      <c r="I73" s="173">
        <v>2603</v>
      </c>
      <c r="J73" s="173">
        <v>6533</v>
      </c>
      <c r="K73" s="173">
        <v>4456</v>
      </c>
      <c r="L73" s="173">
        <v>6351</v>
      </c>
    </row>
    <row r="74" spans="1:28">
      <c r="B74" s="170" t="s">
        <v>57</v>
      </c>
      <c r="C74" s="173">
        <v>-2335</v>
      </c>
      <c r="D74" s="173">
        <v>-2034</v>
      </c>
      <c r="E74" s="173">
        <v>-2100</v>
      </c>
      <c r="F74" s="173">
        <v>-6361</v>
      </c>
      <c r="G74" s="173">
        <v>-1252</v>
      </c>
      <c r="H74" s="173">
        <v>-3531</v>
      </c>
      <c r="I74" s="173">
        <v>-3522</v>
      </c>
      <c r="J74" s="173">
        <v>-4580</v>
      </c>
      <c r="K74" s="173">
        <v>-2657</v>
      </c>
      <c r="L74" s="173">
        <v>-6303</v>
      </c>
    </row>
    <row r="75" spans="1:28">
      <c r="B75" s="172" t="s">
        <v>58</v>
      </c>
      <c r="C75" s="171">
        <v>2691</v>
      </c>
      <c r="D75" s="171">
        <v>3872</v>
      </c>
      <c r="E75" s="171">
        <v>5009</v>
      </c>
      <c r="F75" s="171">
        <v>3022</v>
      </c>
      <c r="G75" s="171">
        <v>7205</v>
      </c>
      <c r="H75" s="171">
        <v>6584</v>
      </c>
      <c r="I75" s="171">
        <v>5574</v>
      </c>
      <c r="J75" s="171">
        <v>9208</v>
      </c>
      <c r="K75" s="171">
        <v>12713</v>
      </c>
      <c r="L75" s="171">
        <v>12784</v>
      </c>
    </row>
    <row r="76" spans="1:28">
      <c r="B76" s="170" t="s">
        <v>59</v>
      </c>
      <c r="C76" s="173">
        <v>-238</v>
      </c>
      <c r="D76" s="173">
        <v>-353</v>
      </c>
      <c r="E76" s="173">
        <v>-374</v>
      </c>
      <c r="F76" s="173">
        <v>-471</v>
      </c>
      <c r="G76" s="173">
        <v>-553</v>
      </c>
      <c r="H76" s="173">
        <v>-404</v>
      </c>
      <c r="I76" s="173">
        <v>-523</v>
      </c>
      <c r="J76" s="173">
        <v>-695</v>
      </c>
      <c r="K76" s="173">
        <v>-704</v>
      </c>
      <c r="L76" s="173">
        <v>-756</v>
      </c>
    </row>
    <row r="77" spans="1:28">
      <c r="B77" s="170" t="s">
        <v>60</v>
      </c>
      <c r="C77" s="173">
        <v>56</v>
      </c>
      <c r="D77" s="173">
        <v>-1781</v>
      </c>
      <c r="E77" s="173">
        <v>-2047</v>
      </c>
      <c r="F77" s="173">
        <v>-724</v>
      </c>
      <c r="G77" s="173">
        <v>-230</v>
      </c>
      <c r="H77" s="173">
        <v>-925</v>
      </c>
      <c r="I77" s="173">
        <v>-1307</v>
      </c>
      <c r="J77" s="173">
        <v>1774</v>
      </c>
      <c r="K77" s="173">
        <v>-2136</v>
      </c>
      <c r="L77" s="173">
        <v>1343</v>
      </c>
    </row>
    <row r="78" spans="1:28">
      <c r="B78" s="170" t="s">
        <v>61</v>
      </c>
      <c r="C78" s="173">
        <v>-1805</v>
      </c>
      <c r="D78" s="173">
        <v>-268</v>
      </c>
      <c r="E78" s="173">
        <v>-3</v>
      </c>
      <c r="F78" s="173">
        <v>0</v>
      </c>
      <c r="G78" s="173">
        <v>-149</v>
      </c>
      <c r="H78" s="173">
        <v>-93</v>
      </c>
      <c r="I78" s="173">
        <v>-9082</v>
      </c>
      <c r="J78" s="173">
        <v>-302</v>
      </c>
      <c r="K78" s="173">
        <v>-196</v>
      </c>
      <c r="L78" s="173">
        <v>-699</v>
      </c>
    </row>
    <row r="79" spans="1:28">
      <c r="B79" s="170" t="s">
        <v>62</v>
      </c>
      <c r="C79" s="173">
        <v>83</v>
      </c>
      <c r="D79" s="173">
        <v>103</v>
      </c>
      <c r="E79" s="173">
        <v>10</v>
      </c>
      <c r="F79" s="173">
        <v>31</v>
      </c>
      <c r="G79" s="173">
        <v>-9</v>
      </c>
      <c r="H79" s="173">
        <v>-13</v>
      </c>
      <c r="I79" s="173">
        <v>-4</v>
      </c>
      <c r="J79" s="173">
        <v>-42</v>
      </c>
      <c r="K79" s="173">
        <v>-48</v>
      </c>
      <c r="L79" s="173">
        <v>-479</v>
      </c>
    </row>
    <row r="80" spans="1:28">
      <c r="B80" s="172" t="s">
        <v>63</v>
      </c>
      <c r="C80" s="171">
        <v>-1904</v>
      </c>
      <c r="D80" s="171">
        <v>-2299</v>
      </c>
      <c r="E80" s="171">
        <v>-2414</v>
      </c>
      <c r="F80" s="171">
        <v>-1164</v>
      </c>
      <c r="G80" s="171">
        <v>-941</v>
      </c>
      <c r="H80" s="171">
        <v>-1435</v>
      </c>
      <c r="I80" s="171">
        <v>-10916</v>
      </c>
      <c r="J80" s="171">
        <v>735</v>
      </c>
      <c r="K80" s="171">
        <v>-3084</v>
      </c>
      <c r="L80" s="171">
        <v>-591</v>
      </c>
    </row>
    <row r="81" spans="2:12">
      <c r="B81" s="170" t="s">
        <v>64</v>
      </c>
      <c r="C81" s="173">
        <v>-368</v>
      </c>
      <c r="D81" s="173">
        <v>-423</v>
      </c>
      <c r="E81" s="173">
        <v>-595</v>
      </c>
      <c r="F81" s="173">
        <v>-864</v>
      </c>
      <c r="G81" s="173">
        <v>-1006</v>
      </c>
      <c r="H81" s="173">
        <v>-1177</v>
      </c>
      <c r="I81" s="173">
        <v>-1350</v>
      </c>
      <c r="J81" s="173">
        <v>-1579</v>
      </c>
      <c r="K81" s="173">
        <v>-1918</v>
      </c>
      <c r="L81" s="173">
        <v>-2269</v>
      </c>
    </row>
    <row r="82" spans="2:12">
      <c r="B82" s="170" t="s">
        <v>65</v>
      </c>
      <c r="C82" s="173">
        <v>-24</v>
      </c>
      <c r="D82" s="173">
        <v>-54</v>
      </c>
      <c r="E82" s="173">
        <v>-6</v>
      </c>
      <c r="F82" s="173">
        <v>-6</v>
      </c>
      <c r="I82" s="173">
        <v>0</v>
      </c>
      <c r="K82" s="173">
        <v>-1750</v>
      </c>
      <c r="L82" s="173">
        <v>0</v>
      </c>
    </row>
    <row r="83" spans="2:12">
      <c r="B83" s="170" t="s">
        <v>66</v>
      </c>
      <c r="C83" s="173">
        <v>-944</v>
      </c>
      <c r="D83" s="173">
        <v>-1925</v>
      </c>
      <c r="E83" s="173">
        <v>-536</v>
      </c>
      <c r="F83" s="173">
        <v>-5257</v>
      </c>
      <c r="G83" s="173">
        <v>-4027</v>
      </c>
      <c r="H83" s="173">
        <v>-2828</v>
      </c>
      <c r="I83" s="173">
        <v>8909</v>
      </c>
      <c r="J83" s="173">
        <v>-4254</v>
      </c>
      <c r="K83" s="173">
        <v>-7028</v>
      </c>
      <c r="L83" s="173">
        <v>-8445</v>
      </c>
    </row>
    <row r="84" spans="2:12">
      <c r="B84" s="170" t="s">
        <v>67</v>
      </c>
      <c r="C84" s="173">
        <v>-206</v>
      </c>
      <c r="D84" s="173">
        <v>-902</v>
      </c>
      <c r="E84" s="173">
        <v>-1518</v>
      </c>
      <c r="F84" s="173">
        <v>4381</v>
      </c>
      <c r="G84" s="173">
        <v>-1445</v>
      </c>
      <c r="H84" s="173">
        <v>402</v>
      </c>
      <c r="I84" s="173">
        <v>-82</v>
      </c>
      <c r="J84" s="173">
        <v>-91</v>
      </c>
      <c r="K84" s="173">
        <v>-544</v>
      </c>
      <c r="L84" s="173">
        <v>-1347</v>
      </c>
    </row>
    <row r="85" spans="2:12">
      <c r="B85" s="172" t="s">
        <v>68</v>
      </c>
      <c r="C85" s="171">
        <v>-1542</v>
      </c>
      <c r="D85" s="171">
        <v>-3304</v>
      </c>
      <c r="E85" s="171">
        <v>-2655</v>
      </c>
      <c r="F85" s="171">
        <v>-1746</v>
      </c>
      <c r="G85" s="171">
        <v>-6478</v>
      </c>
      <c r="H85" s="171">
        <v>-3603</v>
      </c>
      <c r="I85" s="171">
        <v>7477</v>
      </c>
      <c r="J85" s="171">
        <v>-5924</v>
      </c>
      <c r="K85" s="171">
        <v>-11240</v>
      </c>
      <c r="L85" s="171">
        <v>-12061</v>
      </c>
    </row>
    <row r="86" spans="2:12">
      <c r="B86" s="170" t="s">
        <v>69</v>
      </c>
      <c r="C86" s="173">
        <v>-755</v>
      </c>
      <c r="D86" s="173">
        <v>-1731</v>
      </c>
      <c r="E86" s="173">
        <v>-60</v>
      </c>
      <c r="F86" s="173">
        <v>112</v>
      </c>
      <c r="G86" s="173">
        <v>-214</v>
      </c>
      <c r="H86" s="173">
        <v>1546</v>
      </c>
      <c r="I86" s="173">
        <v>2135</v>
      </c>
      <c r="J86" s="173">
        <v>4019</v>
      </c>
      <c r="K86" s="173">
        <v>-1611</v>
      </c>
      <c r="L86" s="173">
        <v>132</v>
      </c>
    </row>
    <row r="87" spans="2:12">
      <c r="B87" s="170" t="s">
        <v>70</v>
      </c>
      <c r="C87" s="173">
        <v>5</v>
      </c>
      <c r="D87" s="173">
        <v>-9</v>
      </c>
      <c r="E87" s="173">
        <v>7</v>
      </c>
      <c r="F87" s="173">
        <v>0</v>
      </c>
      <c r="G87" s="173">
        <v>-1</v>
      </c>
      <c r="H87" s="173">
        <v>1</v>
      </c>
      <c r="I87" s="173">
        <v>-34</v>
      </c>
      <c r="J87" s="173">
        <v>236</v>
      </c>
      <c r="K87" s="173">
        <v>-101</v>
      </c>
      <c r="L87" s="173">
        <v>-277</v>
      </c>
    </row>
    <row r="88" spans="2:12">
      <c r="B88" s="172" t="s">
        <v>71</v>
      </c>
      <c r="C88" s="171">
        <v>-750</v>
      </c>
      <c r="D88" s="171">
        <v>-1740</v>
      </c>
      <c r="E88" s="171">
        <v>-53</v>
      </c>
      <c r="F88" s="171">
        <v>112</v>
      </c>
      <c r="G88" s="171">
        <v>-215</v>
      </c>
      <c r="H88" s="171">
        <v>1547</v>
      </c>
      <c r="I88" s="171">
        <v>2101</v>
      </c>
      <c r="J88" s="171">
        <v>4255</v>
      </c>
      <c r="K88" s="171">
        <v>-1712</v>
      </c>
      <c r="L88" s="171">
        <v>-145</v>
      </c>
    </row>
    <row r="90" spans="2:12">
      <c r="B90" s="170" t="s">
        <v>98</v>
      </c>
      <c r="C90" s="170">
        <v>1710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B1:M1"/>
  </mergeCells>
  <conditionalFormatting sqref="S65:S72">
    <cfRule type="top10" dxfId="7" priority="8" percent="1" rank="10"/>
  </conditionalFormatting>
  <conditionalFormatting sqref="Q65:R72">
    <cfRule type="top10" dxfId="6" priority="2" percent="1" rank="10"/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M72"/>
  <sheetViews>
    <sheetView topLeftCell="A23" zoomScale="137" workbookViewId="0">
      <selection activeCell="L9" sqref="L9"/>
    </sheetView>
  </sheetViews>
  <sheetFormatPr baseColWidth="10" defaultColWidth="10.83203125" defaultRowHeight="15"/>
  <cols>
    <col min="3" max="3" width="22.33203125" bestFit="1" customWidth="1"/>
    <col min="4" max="4" width="12.83203125" bestFit="1" customWidth="1"/>
    <col min="8" max="8" width="40.6640625" bestFit="1" customWidth="1"/>
    <col min="9" max="9" width="18.83203125" bestFit="1" customWidth="1"/>
    <col min="10" max="10" width="8.5" bestFit="1" customWidth="1"/>
    <col min="11" max="11" width="7.5" bestFit="1" customWidth="1"/>
    <col min="12" max="12" width="8" bestFit="1" customWidth="1"/>
    <col min="13" max="13" width="7.5" bestFit="1" customWidth="1"/>
  </cols>
  <sheetData>
    <row r="3" spans="3:13">
      <c r="C3" s="11" t="s">
        <v>110</v>
      </c>
      <c r="D3" s="11">
        <v>87.58</v>
      </c>
      <c r="H3" s="263"/>
      <c r="I3" s="46" t="s">
        <v>327</v>
      </c>
      <c r="J3" s="264">
        <v>43830</v>
      </c>
      <c r="K3" s="264">
        <v>43738</v>
      </c>
      <c r="L3" s="264">
        <v>43646</v>
      </c>
      <c r="M3" s="264">
        <v>43555</v>
      </c>
    </row>
    <row r="4" spans="3:13">
      <c r="C4" s="11" t="s">
        <v>111</v>
      </c>
      <c r="D4" s="11">
        <v>89.21</v>
      </c>
      <c r="H4" s="263"/>
      <c r="I4" s="46" t="s">
        <v>129</v>
      </c>
      <c r="J4" s="264"/>
      <c r="K4" s="264"/>
      <c r="L4" s="264"/>
      <c r="M4" s="264"/>
    </row>
    <row r="5" spans="3:13">
      <c r="C5" s="11" t="s">
        <v>112</v>
      </c>
      <c r="D5" s="11" t="s">
        <v>358</v>
      </c>
      <c r="H5" s="11" t="s">
        <v>130</v>
      </c>
      <c r="I5" s="11" t="s">
        <v>362</v>
      </c>
      <c r="J5" s="11" t="s">
        <v>249</v>
      </c>
      <c r="K5" s="11" t="s">
        <v>250</v>
      </c>
      <c r="L5" s="11" t="s">
        <v>251</v>
      </c>
      <c r="M5" s="11" t="s">
        <v>252</v>
      </c>
    </row>
    <row r="6" spans="3:13">
      <c r="C6" s="11" t="s">
        <v>113</v>
      </c>
      <c r="D6" s="11" t="s">
        <v>359</v>
      </c>
      <c r="H6" s="11" t="s">
        <v>135</v>
      </c>
      <c r="I6" s="11" t="s">
        <v>240</v>
      </c>
      <c r="J6" s="11" t="s">
        <v>240</v>
      </c>
      <c r="K6" s="11" t="s">
        <v>240</v>
      </c>
      <c r="L6" s="11" t="s">
        <v>240</v>
      </c>
      <c r="M6" s="11" t="s">
        <v>240</v>
      </c>
    </row>
    <row r="7" spans="3:13">
      <c r="C7" s="11" t="s">
        <v>114</v>
      </c>
      <c r="D7" s="11" t="s">
        <v>360</v>
      </c>
      <c r="H7" s="11" t="s">
        <v>140</v>
      </c>
      <c r="I7" s="11">
        <v>10.96</v>
      </c>
      <c r="J7" s="11">
        <v>15.05</v>
      </c>
      <c r="K7" s="11">
        <v>14.64</v>
      </c>
      <c r="L7" s="11">
        <v>15.72</v>
      </c>
      <c r="M7" s="11">
        <v>13.82</v>
      </c>
    </row>
    <row r="8" spans="3:13">
      <c r="C8" s="11" t="s">
        <v>115</v>
      </c>
      <c r="D8" s="11" t="s">
        <v>264</v>
      </c>
      <c r="H8" s="11" t="s">
        <v>141</v>
      </c>
      <c r="I8" s="11">
        <v>11.52</v>
      </c>
      <c r="J8" s="11">
        <v>13.83</v>
      </c>
      <c r="K8" s="11">
        <v>13.37</v>
      </c>
      <c r="L8" s="11">
        <v>15.15</v>
      </c>
      <c r="M8" s="11">
        <v>13.46</v>
      </c>
    </row>
    <row r="9" spans="3:13">
      <c r="C9" s="11" t="s">
        <v>117</v>
      </c>
      <c r="D9" s="12">
        <v>5967303</v>
      </c>
      <c r="H9" s="11" t="s">
        <v>142</v>
      </c>
      <c r="I9" s="11">
        <v>1.07</v>
      </c>
      <c r="J9" s="11">
        <v>1.55</v>
      </c>
      <c r="K9" s="11">
        <v>1.68</v>
      </c>
      <c r="L9" s="11">
        <v>3.88</v>
      </c>
      <c r="M9" s="11" t="s">
        <v>240</v>
      </c>
    </row>
    <row r="10" spans="3:13">
      <c r="C10" s="11" t="s">
        <v>118</v>
      </c>
      <c r="D10" s="12">
        <v>6544655</v>
      </c>
      <c r="H10" s="11" t="s">
        <v>143</v>
      </c>
      <c r="I10" s="11">
        <v>2.35</v>
      </c>
      <c r="J10" s="11">
        <v>3.45</v>
      </c>
      <c r="K10" s="11">
        <v>3.37</v>
      </c>
      <c r="L10" s="11">
        <v>3.6</v>
      </c>
      <c r="M10" s="11">
        <v>3.25</v>
      </c>
    </row>
    <row r="11" spans="3:13">
      <c r="H11" s="11" t="s">
        <v>144</v>
      </c>
      <c r="I11" s="11">
        <v>3.06</v>
      </c>
      <c r="J11" s="11">
        <v>4.38</v>
      </c>
      <c r="K11" s="11">
        <v>4.21</v>
      </c>
      <c r="L11" s="11">
        <v>4.62</v>
      </c>
      <c r="M11" s="11">
        <v>4.0999999999999996</v>
      </c>
    </row>
    <row r="12" spans="3:13">
      <c r="C12" s="11" t="s">
        <v>119</v>
      </c>
      <c r="D12" s="11" t="s">
        <v>361</v>
      </c>
      <c r="H12" s="11" t="s">
        <v>145</v>
      </c>
      <c r="I12" s="11" t="s">
        <v>240</v>
      </c>
      <c r="J12" s="11" t="s">
        <v>240</v>
      </c>
      <c r="K12" s="11" t="s">
        <v>240</v>
      </c>
      <c r="L12" s="11" t="s">
        <v>240</v>
      </c>
      <c r="M12" s="11" t="s">
        <v>240</v>
      </c>
    </row>
    <row r="13" spans="3:13">
      <c r="C13" s="11" t="s">
        <v>120</v>
      </c>
      <c r="D13" s="11">
        <v>1.21</v>
      </c>
      <c r="H13" s="11" t="s">
        <v>146</v>
      </c>
      <c r="I13" s="11" t="s">
        <v>240</v>
      </c>
      <c r="J13" s="11" t="s">
        <v>240</v>
      </c>
      <c r="K13" s="11" t="s">
        <v>240</v>
      </c>
      <c r="L13" s="11" t="s">
        <v>240</v>
      </c>
      <c r="M13" s="11" t="s">
        <v>240</v>
      </c>
    </row>
    <row r="14" spans="3:13">
      <c r="C14" s="11" t="s">
        <v>121</v>
      </c>
      <c r="D14" s="11">
        <v>11.52</v>
      </c>
    </row>
    <row r="15" spans="3:13">
      <c r="C15" s="11" t="s">
        <v>122</v>
      </c>
      <c r="D15" s="11">
        <v>7.99</v>
      </c>
      <c r="H15" s="11" t="s">
        <v>147</v>
      </c>
      <c r="I15" s="11">
        <v>1.21</v>
      </c>
    </row>
    <row r="16" spans="3:13">
      <c r="C16" s="11" t="s">
        <v>123</v>
      </c>
      <c r="D16" s="13">
        <v>43944</v>
      </c>
      <c r="H16" s="11" t="s">
        <v>148</v>
      </c>
      <c r="I16" s="14">
        <v>-0.1618</v>
      </c>
    </row>
    <row r="17" spans="3:9">
      <c r="C17" s="11" t="s">
        <v>125</v>
      </c>
      <c r="D17" s="11" t="s">
        <v>330</v>
      </c>
      <c r="H17" s="11" t="s">
        <v>149</v>
      </c>
      <c r="I17" s="14">
        <v>-4.7899999999999998E-2</v>
      </c>
    </row>
    <row r="18" spans="3:9">
      <c r="C18" s="11" t="s">
        <v>127</v>
      </c>
      <c r="D18" s="13">
        <v>43922</v>
      </c>
      <c r="H18" s="11" t="s">
        <v>150</v>
      </c>
      <c r="I18" s="11">
        <v>138.13</v>
      </c>
    </row>
    <row r="19" spans="3:9">
      <c r="C19" s="11" t="s">
        <v>128</v>
      </c>
      <c r="D19" s="11">
        <v>108.83</v>
      </c>
      <c r="H19" s="11" t="s">
        <v>151</v>
      </c>
      <c r="I19" s="11">
        <v>67</v>
      </c>
    </row>
    <row r="20" spans="3:9">
      <c r="H20" s="11" t="s">
        <v>152</v>
      </c>
      <c r="I20" s="11">
        <v>99.93</v>
      </c>
    </row>
    <row r="21" spans="3:9">
      <c r="H21" s="11" t="s">
        <v>153</v>
      </c>
      <c r="I21" s="11">
        <v>117.07</v>
      </c>
    </row>
    <row r="23" spans="3:9">
      <c r="H23" s="11" t="s">
        <v>154</v>
      </c>
      <c r="I23" s="11" t="s">
        <v>363</v>
      </c>
    </row>
    <row r="24" spans="3:9">
      <c r="H24" s="11" t="s">
        <v>155</v>
      </c>
      <c r="I24" s="11" t="s">
        <v>364</v>
      </c>
    </row>
    <row r="25" spans="3:9">
      <c r="H25" s="11" t="s">
        <v>156</v>
      </c>
      <c r="I25" s="11" t="s">
        <v>253</v>
      </c>
    </row>
    <row r="26" spans="3:9">
      <c r="H26" s="11" t="s">
        <v>158</v>
      </c>
      <c r="I26" s="11" t="s">
        <v>254</v>
      </c>
    </row>
    <row r="27" spans="3:9">
      <c r="H27" s="11" t="s">
        <v>160</v>
      </c>
      <c r="I27" s="14">
        <v>2.0999999999999999E-3</v>
      </c>
    </row>
    <row r="28" spans="3:9">
      <c r="H28" s="11" t="s">
        <v>161</v>
      </c>
      <c r="I28" s="14">
        <v>0.86850000000000005</v>
      </c>
    </row>
    <row r="29" spans="3:9">
      <c r="H29" s="11" t="s">
        <v>162</v>
      </c>
      <c r="I29" s="11" t="s">
        <v>255</v>
      </c>
    </row>
    <row r="30" spans="3:9">
      <c r="H30" s="11" t="s">
        <v>164</v>
      </c>
      <c r="I30" s="11">
        <v>1.57</v>
      </c>
    </row>
    <row r="31" spans="3:9">
      <c r="H31" s="11" t="s">
        <v>165</v>
      </c>
      <c r="I31" s="14">
        <v>1.8100000000000002E-2</v>
      </c>
    </row>
    <row r="32" spans="3:9">
      <c r="H32" s="11" t="s">
        <v>166</v>
      </c>
      <c r="I32" s="14">
        <v>1.47E-2</v>
      </c>
    </row>
    <row r="33" spans="8:9">
      <c r="H33" s="11" t="s">
        <v>167</v>
      </c>
      <c r="I33" s="11" t="s">
        <v>256</v>
      </c>
    </row>
    <row r="35" spans="8:9">
      <c r="H35" s="11" t="s">
        <v>169</v>
      </c>
      <c r="I35" s="11">
        <v>1.72</v>
      </c>
    </row>
    <row r="36" spans="8:9">
      <c r="H36" s="11" t="s">
        <v>170</v>
      </c>
      <c r="I36" s="14">
        <v>1.9599999999999999E-2</v>
      </c>
    </row>
    <row r="37" spans="8:9">
      <c r="H37" s="11" t="s">
        <v>171</v>
      </c>
      <c r="I37" s="11">
        <v>1.64</v>
      </c>
    </row>
    <row r="38" spans="8:9">
      <c r="H38" s="11" t="s">
        <v>172</v>
      </c>
      <c r="I38" s="14">
        <v>1.8700000000000001E-2</v>
      </c>
    </row>
    <row r="39" spans="8:9">
      <c r="H39" s="11" t="s">
        <v>173</v>
      </c>
      <c r="I39" s="11">
        <v>1.49</v>
      </c>
    </row>
    <row r="40" spans="8:9">
      <c r="H40" s="11" t="s">
        <v>174</v>
      </c>
      <c r="I40" s="14">
        <v>0.20530000000000001</v>
      </c>
    </row>
    <row r="41" spans="8:9">
      <c r="H41" s="11" t="s">
        <v>175</v>
      </c>
      <c r="I41" s="13">
        <v>43958</v>
      </c>
    </row>
    <row r="42" spans="8:9">
      <c r="H42" s="11" t="s">
        <v>176</v>
      </c>
      <c r="I42" s="13">
        <v>43922</v>
      </c>
    </row>
    <row r="43" spans="8:9">
      <c r="H43" s="11" t="s">
        <v>177</v>
      </c>
      <c r="I43" s="11" t="s">
        <v>257</v>
      </c>
    </row>
    <row r="44" spans="8:9">
      <c r="H44" s="11" t="s">
        <v>178</v>
      </c>
      <c r="I44" s="13">
        <v>38627</v>
      </c>
    </row>
    <row r="46" spans="8:9">
      <c r="H46" s="11" t="s">
        <v>179</v>
      </c>
      <c r="I46" s="13">
        <v>43829</v>
      </c>
    </row>
    <row r="47" spans="8:9">
      <c r="H47" s="11" t="s">
        <v>180</v>
      </c>
      <c r="I47" s="13">
        <v>43829</v>
      </c>
    </row>
    <row r="49" spans="8:9">
      <c r="H49" s="11" t="s">
        <v>181</v>
      </c>
      <c r="I49" s="14">
        <v>0.1691</v>
      </c>
    </row>
    <row r="50" spans="8:9">
      <c r="H50" s="11" t="s">
        <v>182</v>
      </c>
      <c r="I50" s="14">
        <v>0.21490000000000001</v>
      </c>
    </row>
    <row r="52" spans="8:9">
      <c r="H52" s="11" t="s">
        <v>183</v>
      </c>
      <c r="I52" s="14">
        <v>3.49E-2</v>
      </c>
    </row>
    <row r="53" spans="8:9">
      <c r="H53" s="11" t="s">
        <v>184</v>
      </c>
      <c r="I53" s="14">
        <v>0.29799999999999999</v>
      </c>
    </row>
    <row r="55" spans="8:9">
      <c r="H55" s="11" t="s">
        <v>185</v>
      </c>
      <c r="I55" s="11" t="s">
        <v>258</v>
      </c>
    </row>
    <row r="56" spans="8:9">
      <c r="H56" s="11" t="s">
        <v>187</v>
      </c>
      <c r="I56" s="11">
        <v>48.29</v>
      </c>
    </row>
    <row r="57" spans="8:9">
      <c r="H57" s="11" t="s">
        <v>188</v>
      </c>
      <c r="I57" s="14">
        <v>8.5999999999999993E-2</v>
      </c>
    </row>
    <row r="58" spans="8:9">
      <c r="H58" s="11" t="s">
        <v>189</v>
      </c>
      <c r="I58" s="11" t="s">
        <v>259</v>
      </c>
    </row>
    <row r="59" spans="8:9">
      <c r="H59" s="11" t="s">
        <v>191</v>
      </c>
      <c r="I59" s="11" t="s">
        <v>240</v>
      </c>
    </row>
    <row r="60" spans="8:9">
      <c r="H60" s="11" t="s">
        <v>193</v>
      </c>
      <c r="I60" s="11" t="s">
        <v>260</v>
      </c>
    </row>
    <row r="61" spans="8:9">
      <c r="H61" s="11" t="s">
        <v>195</v>
      </c>
      <c r="I61" s="11">
        <v>7.99</v>
      </c>
    </row>
    <row r="62" spans="8:9">
      <c r="H62" s="11" t="s">
        <v>196</v>
      </c>
      <c r="I62" s="14">
        <v>-0.158</v>
      </c>
    </row>
    <row r="64" spans="8:9">
      <c r="H64" s="11" t="s">
        <v>197</v>
      </c>
      <c r="I64" s="11" t="s">
        <v>261</v>
      </c>
    </row>
    <row r="65" spans="8:9">
      <c r="H65" s="11" t="s">
        <v>199</v>
      </c>
      <c r="I65" s="11">
        <v>29.7</v>
      </c>
    </row>
    <row r="66" spans="8:9">
      <c r="H66" s="11" t="s">
        <v>200</v>
      </c>
      <c r="I66" s="11" t="s">
        <v>262</v>
      </c>
    </row>
    <row r="67" spans="8:9">
      <c r="H67" s="11" t="s">
        <v>202</v>
      </c>
      <c r="I67" s="11">
        <v>283.48</v>
      </c>
    </row>
    <row r="68" spans="8:9">
      <c r="H68" s="11" t="s">
        <v>203</v>
      </c>
      <c r="I68" s="11">
        <v>1.75</v>
      </c>
    </row>
    <row r="69" spans="8:9">
      <c r="H69" s="11" t="s">
        <v>204</v>
      </c>
      <c r="I69" s="11">
        <v>28.48</v>
      </c>
    </row>
    <row r="71" spans="8:9">
      <c r="H71" s="11" t="s">
        <v>205</v>
      </c>
      <c r="I71" s="11" t="s">
        <v>263</v>
      </c>
    </row>
    <row r="72" spans="8:9">
      <c r="H72" s="11" t="s">
        <v>207</v>
      </c>
      <c r="I72" s="11" t="s">
        <v>240</v>
      </c>
    </row>
  </sheetData>
  <mergeCells count="5">
    <mergeCell ref="H3:H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9:T62"/>
  <sheetViews>
    <sheetView showGridLines="0" zoomScale="130" zoomScaleNormal="130" workbookViewId="0">
      <selection activeCell="D58" sqref="D58:H62"/>
    </sheetView>
  </sheetViews>
  <sheetFormatPr baseColWidth="10" defaultColWidth="10.83203125" defaultRowHeight="15"/>
  <cols>
    <col min="5" max="5" width="16.6640625" customWidth="1"/>
    <col min="6" max="6" width="22.5" customWidth="1"/>
    <col min="7" max="8" width="17.5" customWidth="1"/>
    <col min="20" max="20" width="6.6640625" customWidth="1"/>
  </cols>
  <sheetData>
    <row r="9" spans="4:20">
      <c r="D9" s="26" t="s">
        <v>278</v>
      </c>
      <c r="E9" s="26" t="s">
        <v>290</v>
      </c>
      <c r="F9" s="26" t="s">
        <v>279</v>
      </c>
      <c r="G9" s="26" t="s">
        <v>294</v>
      </c>
      <c r="H9" s="26" t="s">
        <v>295</v>
      </c>
      <c r="I9" s="26" t="s">
        <v>291</v>
      </c>
      <c r="J9" s="26" t="s">
        <v>280</v>
      </c>
      <c r="K9" s="26" t="s">
        <v>296</v>
      </c>
      <c r="L9" s="26" t="s">
        <v>297</v>
      </c>
      <c r="M9" s="26" t="s">
        <v>292</v>
      </c>
      <c r="N9" s="26" t="s">
        <v>281</v>
      </c>
      <c r="O9" s="26" t="s">
        <v>298</v>
      </c>
      <c r="P9" s="26" t="s">
        <v>299</v>
      </c>
      <c r="Q9" s="26" t="s">
        <v>293</v>
      </c>
      <c r="R9" s="26" t="s">
        <v>282</v>
      </c>
      <c r="S9" s="26" t="s">
        <v>300</v>
      </c>
      <c r="T9" s="26" t="s">
        <v>301</v>
      </c>
    </row>
    <row r="10" spans="4:20">
      <c r="D10" s="26" t="s">
        <v>283</v>
      </c>
      <c r="E10" s="27">
        <v>62.624652862548828</v>
      </c>
      <c r="F10" s="27">
        <v>83.474113464355469</v>
      </c>
      <c r="G10" s="27">
        <v>1</v>
      </c>
      <c r="H10" s="27">
        <v>85.158363342285156</v>
      </c>
      <c r="I10" s="27">
        <v>5438</v>
      </c>
      <c r="J10" s="27">
        <v>3617</v>
      </c>
      <c r="K10" s="27">
        <v>419</v>
      </c>
      <c r="L10" s="27">
        <v>5885</v>
      </c>
      <c r="M10" s="27">
        <v>2.4927801971120789</v>
      </c>
      <c r="N10" s="27">
        <v>1.6580334632133853</v>
      </c>
      <c r="O10" s="27">
        <v>0.35689948892674617</v>
      </c>
      <c r="P10" s="27">
        <v>7.1074879227053138</v>
      </c>
      <c r="Q10" s="27">
        <v>25.122412692101925</v>
      </c>
      <c r="R10" s="27">
        <v>50.34525256358625</v>
      </c>
      <c r="S10" s="27">
        <v>2.8019093078758952</v>
      </c>
      <c r="T10" s="27">
        <v>11.981499549262891</v>
      </c>
    </row>
    <row r="11" spans="4:20">
      <c r="D11" s="26" t="s">
        <v>284</v>
      </c>
      <c r="E11" s="27">
        <v>74.802024841308594</v>
      </c>
      <c r="F11" s="27">
        <v>94.3837890625</v>
      </c>
      <c r="G11" s="27">
        <v>36.080001831054688</v>
      </c>
      <c r="H11" s="27">
        <v>63.5704345703125</v>
      </c>
      <c r="I11" s="27">
        <v>6328</v>
      </c>
      <c r="J11" s="27">
        <v>3808</v>
      </c>
      <c r="K11" s="27">
        <v>1228</v>
      </c>
      <c r="L11" s="27">
        <v>5163</v>
      </c>
      <c r="M11" s="27">
        <v>2.9007563603025441</v>
      </c>
      <c r="N11" s="27">
        <v>1.7455878982351594</v>
      </c>
      <c r="O11" s="27">
        <v>1.0459965928449744</v>
      </c>
      <c r="P11" s="27">
        <v>6.2355072463768115</v>
      </c>
      <c r="Q11" s="27">
        <v>25.787076041611044</v>
      </c>
      <c r="R11" s="27">
        <v>54.069914873908544</v>
      </c>
      <c r="S11" s="27">
        <v>34.49342194597574</v>
      </c>
      <c r="T11" s="27">
        <v>10.194909902037333</v>
      </c>
    </row>
    <row r="12" spans="4:20">
      <c r="D12" s="26" t="s">
        <v>285</v>
      </c>
      <c r="E12" s="27">
        <v>76.43585205078125</v>
      </c>
      <c r="F12" s="27">
        <v>101.52008819580078</v>
      </c>
      <c r="G12" s="27">
        <v>39.439998626708984</v>
      </c>
      <c r="H12" s="27">
        <v>70.632011413574219</v>
      </c>
      <c r="I12" s="27">
        <v>5991</v>
      </c>
      <c r="J12" s="27">
        <v>4059</v>
      </c>
      <c r="K12" s="27">
        <v>1401</v>
      </c>
      <c r="L12" s="27">
        <v>5408</v>
      </c>
      <c r="M12" s="27">
        <v>2.7462754985101996</v>
      </c>
      <c r="N12" s="27">
        <v>1.8606463442585377</v>
      </c>
      <c r="O12" s="27">
        <v>1.1933560477001703</v>
      </c>
      <c r="P12" s="27">
        <v>6.5314009661835746</v>
      </c>
      <c r="Q12" s="27">
        <v>27.832550700847818</v>
      </c>
      <c r="R12" s="27">
        <v>54.561732544749795</v>
      </c>
      <c r="S12" s="27">
        <v>33.049649099040934</v>
      </c>
      <c r="T12" s="27">
        <v>10.814220682403745</v>
      </c>
    </row>
    <row r="13" spans="4:20">
      <c r="D13" s="26" t="s">
        <v>286</v>
      </c>
      <c r="E13" s="27">
        <v>110.52744293212891</v>
      </c>
      <c r="F13" s="27">
        <v>149.82664489746094</v>
      </c>
      <c r="G13" s="27">
        <v>74.5</v>
      </c>
      <c r="H13" s="27">
        <v>95.451751708984375</v>
      </c>
      <c r="I13" s="27">
        <v>6699</v>
      </c>
      <c r="J13" s="27">
        <v>3915</v>
      </c>
      <c r="K13" s="27">
        <v>1795</v>
      </c>
      <c r="L13" s="27">
        <v>2748</v>
      </c>
      <c r="M13" s="27">
        <v>3.0708228283291312</v>
      </c>
      <c r="N13" s="27">
        <v>1.7946367178546871</v>
      </c>
      <c r="O13" s="27">
        <v>1.528960817717206</v>
      </c>
      <c r="P13" s="27">
        <v>3.318840579710145</v>
      </c>
      <c r="Q13" s="27">
        <v>35.992777542385312</v>
      </c>
      <c r="R13" s="27">
        <v>83.485779270449811</v>
      </c>
      <c r="S13" s="27">
        <v>48.725905292479112</v>
      </c>
      <c r="T13" s="27">
        <v>28.760571475632847</v>
      </c>
    </row>
    <row r="14" spans="4:20">
      <c r="D14" s="26" t="s">
        <v>287</v>
      </c>
      <c r="E14" s="27">
        <v>130.23448181152344</v>
      </c>
      <c r="F14" s="27">
        <v>185.83656311035156</v>
      </c>
      <c r="G14" s="27">
        <v>84.029998779296875</v>
      </c>
      <c r="H14" s="27">
        <v>96.470428466796875</v>
      </c>
      <c r="I14" s="27">
        <v>10301</v>
      </c>
      <c r="J14" s="27">
        <v>5859</v>
      </c>
      <c r="K14" s="27">
        <v>2057</v>
      </c>
      <c r="L14" s="27">
        <v>6921</v>
      </c>
      <c r="M14" s="27">
        <v>4.7219802887921158</v>
      </c>
      <c r="N14" s="27">
        <v>2.6857666743066697</v>
      </c>
      <c r="O14" s="27">
        <v>1.752129471890971</v>
      </c>
      <c r="P14" s="27">
        <v>8.3586956521739122</v>
      </c>
      <c r="Q14" s="27">
        <v>27.580479766220595</v>
      </c>
      <c r="R14" s="27">
        <v>69.193115279950831</v>
      </c>
      <c r="S14" s="27">
        <v>47.958783941125198</v>
      </c>
      <c r="T14" s="27">
        <v>11.541325642321604</v>
      </c>
    </row>
    <row r="15" spans="4:20">
      <c r="D15" s="26" t="s">
        <v>288</v>
      </c>
      <c r="E15" s="27">
        <v>186.27021789550781</v>
      </c>
      <c r="F15" s="27">
        <v>297.13357543945312</v>
      </c>
      <c r="G15" s="27">
        <v>108.87999725341797</v>
      </c>
      <c r="H15" s="27">
        <v>123.71162414550781</v>
      </c>
      <c r="I15" s="27">
        <v>12080</v>
      </c>
      <c r="J15" s="27">
        <v>8118</v>
      </c>
      <c r="K15" s="27">
        <v>2459</v>
      </c>
      <c r="L15" s="27">
        <v>6440</v>
      </c>
      <c r="M15" s="27">
        <v>5.5374742149896861</v>
      </c>
      <c r="N15" s="27">
        <v>3.7212926885170754</v>
      </c>
      <c r="O15" s="27">
        <v>2.094548551959114</v>
      </c>
      <c r="P15" s="27">
        <v>7.7777777777777777</v>
      </c>
      <c r="Q15" s="27">
        <v>33.638119233365089</v>
      </c>
      <c r="R15" s="27">
        <v>79.846870512585241</v>
      </c>
      <c r="S15" s="27">
        <v>51.982560705779868</v>
      </c>
      <c r="T15" s="27">
        <v>15.905780247279576</v>
      </c>
    </row>
    <row r="16" spans="4:20">
      <c r="D16" s="26" t="s">
        <v>289</v>
      </c>
      <c r="E16" s="27">
        <v>169.44000244140625</v>
      </c>
      <c r="F16" s="27">
        <v>265.94000244140625</v>
      </c>
      <c r="G16" s="27">
        <v>101.66999816894531</v>
      </c>
      <c r="H16" s="27">
        <v>83.870002746582031</v>
      </c>
      <c r="I16" s="27">
        <v>12080</v>
      </c>
      <c r="J16" s="27">
        <v>8118</v>
      </c>
      <c r="K16" s="27">
        <v>2459</v>
      </c>
      <c r="L16" s="27">
        <v>6440</v>
      </c>
      <c r="M16" s="27">
        <v>5.5374742149896861</v>
      </c>
      <c r="N16" s="27">
        <v>7.9823008849557526</v>
      </c>
      <c r="O16" s="27">
        <v>2.094548551959114</v>
      </c>
      <c r="P16" s="27">
        <v>7.7777777777777777</v>
      </c>
      <c r="Q16" s="27">
        <v>30.598788520358255</v>
      </c>
      <c r="R16" s="27">
        <v>33.316208731573063</v>
      </c>
      <c r="S16" s="27">
        <v>48.540291927751852</v>
      </c>
      <c r="T16" s="27">
        <v>10.78328606741769</v>
      </c>
    </row>
    <row r="19" spans="4:8">
      <c r="D19" s="32" t="s">
        <v>278</v>
      </c>
      <c r="E19" s="30" t="s">
        <v>293</v>
      </c>
      <c r="F19" s="30" t="s">
        <v>282</v>
      </c>
      <c r="G19" s="30" t="s">
        <v>300</v>
      </c>
      <c r="H19" s="30" t="s">
        <v>316</v>
      </c>
    </row>
    <row r="20" spans="4:8">
      <c r="D20" s="30" t="s">
        <v>283</v>
      </c>
      <c r="E20" s="31">
        <v>25.122412692101925</v>
      </c>
      <c r="F20" s="31">
        <v>23.47</v>
      </c>
      <c r="G20" s="31">
        <v>2.8019093078758952</v>
      </c>
      <c r="H20" s="31">
        <v>11.981499549262891</v>
      </c>
    </row>
    <row r="21" spans="4:8">
      <c r="D21" s="30" t="s">
        <v>284</v>
      </c>
      <c r="E21" s="31">
        <v>25.787076041611044</v>
      </c>
      <c r="F21" s="31">
        <v>25.21</v>
      </c>
      <c r="G21" s="31">
        <v>34.49342194597574</v>
      </c>
      <c r="H21" s="31">
        <v>10.194909902037333</v>
      </c>
    </row>
    <row r="22" spans="4:8">
      <c r="D22" s="30" t="s">
        <v>285</v>
      </c>
      <c r="E22" s="31">
        <v>27.832550700847818</v>
      </c>
      <c r="F22" s="31">
        <v>25.44</v>
      </c>
      <c r="G22" s="31">
        <v>33.049649099040934</v>
      </c>
      <c r="H22" s="31">
        <v>10.814220682403745</v>
      </c>
    </row>
    <row r="23" spans="4:8">
      <c r="D23" s="30" t="s">
        <v>286</v>
      </c>
      <c r="E23" s="31">
        <v>35.992777542385312</v>
      </c>
      <c r="F23" s="31">
        <v>48.92</v>
      </c>
      <c r="G23" s="31">
        <v>48.725905292479112</v>
      </c>
      <c r="H23" s="31">
        <v>28.760571475632847</v>
      </c>
    </row>
    <row r="24" spans="4:8">
      <c r="D24" s="30" t="s">
        <v>287</v>
      </c>
      <c r="E24" s="31">
        <v>27.580479766220595</v>
      </c>
      <c r="F24" s="31">
        <v>32.26</v>
      </c>
      <c r="G24" s="31">
        <v>47.958783941125198</v>
      </c>
      <c r="H24" s="31">
        <v>11.541325642321604</v>
      </c>
    </row>
    <row r="25" spans="4:8">
      <c r="D25" s="30" t="s">
        <v>288</v>
      </c>
      <c r="E25" s="31">
        <v>33.638119233365089</v>
      </c>
      <c r="F25" s="31">
        <v>37.22</v>
      </c>
      <c r="G25" s="31">
        <v>51.982560705779868</v>
      </c>
      <c r="H25" s="31">
        <v>15.905780247279576</v>
      </c>
    </row>
    <row r="26" spans="4:8">
      <c r="D26" s="30" t="s">
        <v>289</v>
      </c>
      <c r="E26" s="31">
        <v>30.598788520358255</v>
      </c>
      <c r="F26" s="31">
        <v>32.46</v>
      </c>
      <c r="G26" s="31">
        <v>48.540291927751852</v>
      </c>
      <c r="H26" s="31">
        <v>10.78328606741769</v>
      </c>
    </row>
    <row r="27" spans="4:8">
      <c r="D27" s="2"/>
      <c r="E27" s="2"/>
      <c r="F27" s="2"/>
      <c r="G27" s="2"/>
      <c r="H27" s="2"/>
    </row>
    <row r="28" spans="4:8">
      <c r="D28" s="34" t="s">
        <v>278</v>
      </c>
      <c r="E28" s="35" t="s">
        <v>292</v>
      </c>
      <c r="F28" s="35" t="s">
        <v>281</v>
      </c>
      <c r="G28" s="35" t="s">
        <v>298</v>
      </c>
      <c r="H28" s="35" t="s">
        <v>317</v>
      </c>
    </row>
    <row r="29" spans="4:8">
      <c r="D29" s="35" t="s">
        <v>283</v>
      </c>
      <c r="E29" s="31">
        <v>2.4927801971120789</v>
      </c>
      <c r="F29" s="31">
        <v>3.56</v>
      </c>
      <c r="G29" s="31">
        <v>0.35689948892674617</v>
      </c>
      <c r="H29" s="31">
        <v>7.1074879227053138</v>
      </c>
    </row>
    <row r="30" spans="4:8">
      <c r="D30" s="35" t="s">
        <v>284</v>
      </c>
      <c r="E30" s="31">
        <v>2.9007563603025441</v>
      </c>
      <c r="F30" s="31">
        <v>3.74</v>
      </c>
      <c r="G30" s="31">
        <v>1.0459965928449744</v>
      </c>
      <c r="H30" s="31">
        <v>6.2355072463768115</v>
      </c>
    </row>
    <row r="31" spans="4:8">
      <c r="D31" s="35" t="s">
        <v>285</v>
      </c>
      <c r="E31" s="31">
        <v>2.7462754985101996</v>
      </c>
      <c r="F31" s="31">
        <v>3.99</v>
      </c>
      <c r="G31" s="31">
        <v>1.1933560477001703</v>
      </c>
      <c r="H31" s="31">
        <v>6.5314009661835746</v>
      </c>
    </row>
    <row r="32" spans="4:8">
      <c r="D32" s="35" t="s">
        <v>286</v>
      </c>
      <c r="E32" s="31">
        <v>3.0708228283291312</v>
      </c>
      <c r="F32" s="31">
        <v>3.85</v>
      </c>
      <c r="G32" s="31">
        <v>1.528960817717206</v>
      </c>
      <c r="H32" s="31">
        <v>3.318840579710145</v>
      </c>
    </row>
    <row r="33" spans="4:8">
      <c r="D33" s="35" t="s">
        <v>287</v>
      </c>
      <c r="E33" s="31">
        <v>4.7219802887921158</v>
      </c>
      <c r="F33" s="31">
        <v>5.76</v>
      </c>
      <c r="G33" s="31">
        <v>1.752129471890971</v>
      </c>
      <c r="H33" s="31">
        <v>8.3586956521739122</v>
      </c>
    </row>
    <row r="34" spans="4:8">
      <c r="D34" s="35" t="s">
        <v>288</v>
      </c>
      <c r="E34" s="31">
        <v>5.5374742149896861</v>
      </c>
      <c r="F34" s="31">
        <v>7.98</v>
      </c>
      <c r="G34" s="31">
        <v>2.094548551959114</v>
      </c>
      <c r="H34" s="31">
        <v>7.7777777777777777</v>
      </c>
    </row>
    <row r="35" spans="4:8">
      <c r="D35" s="35" t="s">
        <v>289</v>
      </c>
      <c r="E35" s="31">
        <v>5.5374742149896861</v>
      </c>
      <c r="F35" s="31">
        <v>7.98</v>
      </c>
      <c r="G35" s="31">
        <v>2.094548551959114</v>
      </c>
      <c r="H35" s="31">
        <v>7.7777777777777777</v>
      </c>
    </row>
    <row r="37" spans="4:8">
      <c r="D37" s="36" t="s">
        <v>278</v>
      </c>
      <c r="E37" s="36" t="s">
        <v>290</v>
      </c>
      <c r="F37" s="36" t="s">
        <v>279</v>
      </c>
      <c r="G37" s="36" t="s">
        <v>294</v>
      </c>
      <c r="H37" s="37" t="s">
        <v>318</v>
      </c>
    </row>
    <row r="38" spans="4:8">
      <c r="D38" s="36" t="s">
        <v>283</v>
      </c>
      <c r="E38" s="29">
        <v>62.624652862548828</v>
      </c>
      <c r="F38" s="29">
        <v>83.474113464355469</v>
      </c>
      <c r="G38" s="29">
        <v>1</v>
      </c>
      <c r="H38" s="29">
        <v>85.158363342285156</v>
      </c>
    </row>
    <row r="39" spans="4:8">
      <c r="D39" s="36" t="s">
        <v>284</v>
      </c>
      <c r="E39" s="29">
        <v>74.802024841308594</v>
      </c>
      <c r="F39" s="29">
        <v>94.3837890625</v>
      </c>
      <c r="G39" s="29">
        <v>36.080001831054688</v>
      </c>
      <c r="H39" s="29">
        <v>63.5704345703125</v>
      </c>
    </row>
    <row r="40" spans="4:8">
      <c r="D40" s="36" t="s">
        <v>285</v>
      </c>
      <c r="E40" s="29">
        <v>76.43585205078125</v>
      </c>
      <c r="F40" s="29">
        <v>101.52008819580078</v>
      </c>
      <c r="G40" s="29">
        <v>39.439998626708984</v>
      </c>
      <c r="H40" s="29">
        <v>70.632011413574219</v>
      </c>
    </row>
    <row r="41" spans="4:8">
      <c r="D41" s="36" t="s">
        <v>286</v>
      </c>
      <c r="E41" s="29">
        <v>110.52744293212891</v>
      </c>
      <c r="F41" s="29">
        <v>149.82664489746094</v>
      </c>
      <c r="G41" s="29">
        <v>74.5</v>
      </c>
      <c r="H41" s="29">
        <v>95.451751708984375</v>
      </c>
    </row>
    <row r="42" spans="4:8">
      <c r="D42" s="36" t="s">
        <v>287</v>
      </c>
      <c r="E42" s="29">
        <v>130.23448181152344</v>
      </c>
      <c r="F42" s="29">
        <v>185.83656311035156</v>
      </c>
      <c r="G42" s="29">
        <v>84.029998779296875</v>
      </c>
      <c r="H42" s="29">
        <v>96.470428466796875</v>
      </c>
    </row>
    <row r="43" spans="4:8">
      <c r="D43" s="36" t="s">
        <v>288</v>
      </c>
      <c r="E43" s="29">
        <v>186.27021789550781</v>
      </c>
      <c r="F43" s="29">
        <v>297.13357543945312</v>
      </c>
      <c r="G43" s="29">
        <v>108.87999725341797</v>
      </c>
      <c r="H43" s="29">
        <v>123.71162414550781</v>
      </c>
    </row>
    <row r="44" spans="4:8">
      <c r="D44" s="36" t="s">
        <v>289</v>
      </c>
      <c r="E44" s="29">
        <v>169.44000244140625</v>
      </c>
      <c r="F44" s="29">
        <v>265.94000244140625</v>
      </c>
      <c r="G44" s="29">
        <v>101.66999816894531</v>
      </c>
      <c r="H44" s="29">
        <v>83.870002746582031</v>
      </c>
    </row>
    <row r="47" spans="4:8">
      <c r="D47" s="36" t="s">
        <v>278</v>
      </c>
      <c r="E47" s="26" t="s">
        <v>291</v>
      </c>
      <c r="F47" s="26" t="s">
        <v>280</v>
      </c>
      <c r="G47" s="26" t="s">
        <v>296</v>
      </c>
      <c r="H47" s="33" t="s">
        <v>319</v>
      </c>
    </row>
    <row r="48" spans="4:8">
      <c r="D48" s="36" t="s">
        <v>283</v>
      </c>
      <c r="E48" s="27">
        <v>5438</v>
      </c>
      <c r="F48" s="27">
        <v>3617</v>
      </c>
      <c r="G48" s="27">
        <v>419</v>
      </c>
      <c r="H48" s="27">
        <v>5885</v>
      </c>
    </row>
    <row r="49" spans="4:8">
      <c r="D49" s="36" t="s">
        <v>284</v>
      </c>
      <c r="E49" s="27">
        <v>6328</v>
      </c>
      <c r="F49" s="27">
        <v>3808</v>
      </c>
      <c r="G49" s="27">
        <v>1228</v>
      </c>
      <c r="H49" s="27">
        <v>5163</v>
      </c>
    </row>
    <row r="50" spans="4:8">
      <c r="D50" s="36" t="s">
        <v>285</v>
      </c>
      <c r="E50" s="27">
        <v>5991</v>
      </c>
      <c r="F50" s="27">
        <v>4059</v>
      </c>
      <c r="G50" s="27">
        <v>1401</v>
      </c>
      <c r="H50" s="27">
        <v>5408</v>
      </c>
    </row>
    <row r="51" spans="4:8">
      <c r="D51" s="36" t="s">
        <v>286</v>
      </c>
      <c r="E51" s="27">
        <v>6699</v>
      </c>
      <c r="F51" s="27">
        <v>3915</v>
      </c>
      <c r="G51" s="27">
        <v>1795</v>
      </c>
      <c r="H51" s="27">
        <v>2748</v>
      </c>
    </row>
    <row r="52" spans="4:8">
      <c r="D52" s="36" t="s">
        <v>287</v>
      </c>
      <c r="E52" s="27">
        <v>10301</v>
      </c>
      <c r="F52" s="27">
        <v>5859</v>
      </c>
      <c r="G52" s="27">
        <v>2057</v>
      </c>
      <c r="H52" s="27">
        <v>6921</v>
      </c>
    </row>
    <row r="53" spans="4:8">
      <c r="D53" s="36" t="s">
        <v>288</v>
      </c>
      <c r="E53" s="27">
        <v>12080</v>
      </c>
      <c r="F53" s="27">
        <v>8118</v>
      </c>
      <c r="G53" s="27">
        <v>2459</v>
      </c>
      <c r="H53" s="27">
        <v>6440</v>
      </c>
    </row>
    <row r="54" spans="4:8">
      <c r="D54" s="36" t="s">
        <v>289</v>
      </c>
      <c r="E54" s="27">
        <v>12080</v>
      </c>
      <c r="F54" s="27">
        <v>8118</v>
      </c>
      <c r="G54" s="27">
        <v>2459</v>
      </c>
      <c r="H54" s="27">
        <v>6440</v>
      </c>
    </row>
    <row r="58" spans="4:8">
      <c r="D58" s="32" t="s">
        <v>278</v>
      </c>
      <c r="E58" s="30" t="s">
        <v>293</v>
      </c>
      <c r="F58" s="30" t="s">
        <v>282</v>
      </c>
      <c r="G58" s="30" t="s">
        <v>300</v>
      </c>
      <c r="H58" s="30" t="s">
        <v>316</v>
      </c>
    </row>
    <row r="59" spans="4:8">
      <c r="D59" s="30" t="s">
        <v>286</v>
      </c>
      <c r="E59" s="31">
        <v>35.992777542385312</v>
      </c>
      <c r="F59" s="31">
        <v>48.92</v>
      </c>
      <c r="G59" s="31">
        <v>48.725905292479112</v>
      </c>
      <c r="H59" s="31">
        <v>28.760571475632847</v>
      </c>
    </row>
    <row r="60" spans="4:8">
      <c r="D60" s="30" t="s">
        <v>287</v>
      </c>
      <c r="E60" s="31">
        <v>27.580479766220595</v>
      </c>
      <c r="F60" s="31">
        <v>32.26</v>
      </c>
      <c r="G60" s="31">
        <v>47.958783941125198</v>
      </c>
      <c r="H60" s="31">
        <v>11.541325642321604</v>
      </c>
    </row>
    <row r="61" spans="4:8">
      <c r="D61" s="30" t="s">
        <v>288</v>
      </c>
      <c r="E61" s="31">
        <v>33.638119233365089</v>
      </c>
      <c r="F61" s="31">
        <v>37.22</v>
      </c>
      <c r="G61" s="31">
        <v>51.982560705779868</v>
      </c>
      <c r="H61" s="31">
        <v>15.905780247279576</v>
      </c>
    </row>
    <row r="62" spans="4:8">
      <c r="D62" s="30" t="s">
        <v>289</v>
      </c>
      <c r="E62" s="31">
        <v>30.598788520358255</v>
      </c>
      <c r="F62" s="31">
        <v>32.46</v>
      </c>
      <c r="G62" s="31">
        <v>48.540291927751852</v>
      </c>
      <c r="H62" s="31">
        <v>10.78328606741769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F8:N23"/>
  <sheetViews>
    <sheetView showGridLines="0" topLeftCell="B5" zoomScale="142" workbookViewId="0">
      <selection activeCell="H27" sqref="H27"/>
    </sheetView>
  </sheetViews>
  <sheetFormatPr baseColWidth="10" defaultColWidth="10.83203125" defaultRowHeight="15"/>
  <cols>
    <col min="7" max="7" width="17.5" customWidth="1"/>
    <col min="8" max="8" width="20.83203125" customWidth="1"/>
    <col min="9" max="9" width="20.33203125" customWidth="1"/>
    <col min="10" max="10" width="17" customWidth="1"/>
  </cols>
  <sheetData>
    <row r="8" spans="6:14">
      <c r="F8" s="33" t="s">
        <v>278</v>
      </c>
      <c r="G8" s="40" t="s">
        <v>322</v>
      </c>
      <c r="H8" s="40" t="s">
        <v>323</v>
      </c>
      <c r="I8" s="40" t="s">
        <v>324</v>
      </c>
      <c r="J8" s="40" t="s">
        <v>325</v>
      </c>
    </row>
    <row r="9" spans="6:14">
      <c r="F9" s="26" t="s">
        <v>283</v>
      </c>
      <c r="G9" s="41">
        <v>78.974956300000002</v>
      </c>
      <c r="H9" s="41">
        <v>78.6253916</v>
      </c>
      <c r="I9" s="41">
        <v>78.867712999999995</v>
      </c>
      <c r="J9" s="41">
        <v>104.539148</v>
      </c>
      <c r="N9">
        <v>100</v>
      </c>
    </row>
    <row r="10" spans="6:14">
      <c r="F10" s="26" t="s">
        <v>284</v>
      </c>
      <c r="G10" s="41">
        <v>58.890514000000003</v>
      </c>
      <c r="H10" s="41">
        <v>81.889191600000004</v>
      </c>
      <c r="I10" s="41">
        <v>66.509211100000002</v>
      </c>
      <c r="J10" s="41">
        <v>101.349104</v>
      </c>
    </row>
    <row r="11" spans="6:14">
      <c r="F11" s="26" t="s">
        <v>285</v>
      </c>
      <c r="G11" s="41">
        <v>60.590413099999999</v>
      </c>
      <c r="H11" s="41">
        <v>84.322508400000004</v>
      </c>
      <c r="I11" s="41">
        <v>78.051948100000004</v>
      </c>
      <c r="J11" s="41">
        <v>97.643324399999997</v>
      </c>
    </row>
    <row r="12" spans="6:14">
      <c r="F12" s="26" t="s">
        <v>286</v>
      </c>
      <c r="G12" s="41">
        <v>58.526613699999999</v>
      </c>
      <c r="H12" s="41">
        <v>93.256997499999997</v>
      </c>
      <c r="I12" s="41">
        <v>85.933420400000003</v>
      </c>
      <c r="J12" s="41">
        <v>112.937724</v>
      </c>
    </row>
    <row r="13" spans="6:14">
      <c r="F13" s="26" t="s">
        <v>287</v>
      </c>
      <c r="G13" s="41">
        <v>76.287568800000003</v>
      </c>
      <c r="H13" s="41">
        <v>81.474799899999994</v>
      </c>
      <c r="I13" s="41">
        <v>125.861543</v>
      </c>
      <c r="J13" s="41">
        <v>87.763525700000002</v>
      </c>
    </row>
    <row r="14" spans="6:14">
      <c r="F14" s="26" t="s">
        <v>288</v>
      </c>
      <c r="G14" s="41">
        <v>56.037865099999998</v>
      </c>
      <c r="H14" s="41">
        <v>79.187119600000003</v>
      </c>
      <c r="I14" s="41">
        <v>81.307401400000003</v>
      </c>
      <c r="J14" s="41">
        <v>99.407617700000003</v>
      </c>
    </row>
    <row r="17" spans="6:10">
      <c r="F17" s="32" t="s">
        <v>278</v>
      </c>
      <c r="G17" s="38" t="s">
        <v>322</v>
      </c>
      <c r="H17" s="38" t="s">
        <v>323</v>
      </c>
      <c r="I17" s="38" t="s">
        <v>324</v>
      </c>
      <c r="J17" s="38" t="s">
        <v>325</v>
      </c>
    </row>
    <row r="18" spans="6:10">
      <c r="F18" s="30" t="s">
        <v>283</v>
      </c>
      <c r="G18" s="42">
        <f>G9/100</f>
        <v>0.78974956299999999</v>
      </c>
      <c r="H18" s="42">
        <f>H9/100</f>
        <v>0.78625391600000005</v>
      </c>
      <c r="I18" s="42">
        <f>I9/100</f>
        <v>0.78867712999999995</v>
      </c>
      <c r="J18" s="42">
        <f>J9/100</f>
        <v>1.0453914799999999</v>
      </c>
    </row>
    <row r="19" spans="6:10">
      <c r="F19" s="30" t="s">
        <v>284</v>
      </c>
      <c r="G19" s="42">
        <f t="shared" ref="G19:J23" si="0">G10/100</f>
        <v>0.58890514000000005</v>
      </c>
      <c r="H19" s="42">
        <f t="shared" si="0"/>
        <v>0.818891916</v>
      </c>
      <c r="I19" s="42">
        <f t="shared" si="0"/>
        <v>0.66509211099999999</v>
      </c>
      <c r="J19" s="42">
        <f t="shared" si="0"/>
        <v>1.0134910399999999</v>
      </c>
    </row>
    <row r="20" spans="6:10">
      <c r="F20" s="30" t="s">
        <v>285</v>
      </c>
      <c r="G20" s="42">
        <f t="shared" si="0"/>
        <v>0.60590413099999996</v>
      </c>
      <c r="H20" s="42">
        <f t="shared" si="0"/>
        <v>0.84322508400000007</v>
      </c>
      <c r="I20" s="42">
        <f t="shared" si="0"/>
        <v>0.78051948100000001</v>
      </c>
      <c r="J20" s="42">
        <f t="shared" si="0"/>
        <v>0.97643324399999998</v>
      </c>
    </row>
    <row r="21" spans="6:10">
      <c r="F21" s="30" t="s">
        <v>286</v>
      </c>
      <c r="G21" s="42">
        <f t="shared" si="0"/>
        <v>0.58526613699999996</v>
      </c>
      <c r="H21" s="42">
        <f t="shared" si="0"/>
        <v>0.93256997499999994</v>
      </c>
      <c r="I21" s="42">
        <f t="shared" si="0"/>
        <v>0.85933420400000005</v>
      </c>
      <c r="J21" s="42">
        <f t="shared" si="0"/>
        <v>1.1293772399999999</v>
      </c>
    </row>
    <row r="22" spans="6:10">
      <c r="F22" s="30" t="s">
        <v>287</v>
      </c>
      <c r="G22" s="42">
        <f t="shared" si="0"/>
        <v>0.76287568800000005</v>
      </c>
      <c r="H22" s="42">
        <f t="shared" si="0"/>
        <v>0.81474799899999995</v>
      </c>
      <c r="I22" s="42">
        <f t="shared" si="0"/>
        <v>1.2586154299999999</v>
      </c>
      <c r="J22" s="42">
        <f t="shared" si="0"/>
        <v>0.877635257</v>
      </c>
    </row>
    <row r="23" spans="6:10">
      <c r="F23" s="30" t="s">
        <v>288</v>
      </c>
      <c r="G23" s="42">
        <f t="shared" si="0"/>
        <v>0.56037865099999995</v>
      </c>
      <c r="H23" s="42">
        <f t="shared" si="0"/>
        <v>0.791871196</v>
      </c>
      <c r="I23" s="42">
        <f t="shared" si="0"/>
        <v>0.81307401400000001</v>
      </c>
      <c r="J23" s="42">
        <f t="shared" si="0"/>
        <v>0.99407617700000006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6:M50"/>
  <sheetViews>
    <sheetView showGridLines="0" topLeftCell="C1" zoomScale="169" workbookViewId="0">
      <selection activeCell="G14" sqref="G14"/>
    </sheetView>
  </sheetViews>
  <sheetFormatPr baseColWidth="10" defaultColWidth="10.83203125" defaultRowHeight="15"/>
  <cols>
    <col min="6" max="6" width="20.6640625" customWidth="1"/>
    <col min="7" max="7" width="22" customWidth="1"/>
    <col min="8" max="8" width="18.1640625" customWidth="1"/>
    <col min="9" max="9" width="18.33203125" customWidth="1"/>
    <col min="10" max="10" width="18.83203125" customWidth="1"/>
    <col min="11" max="11" width="23.83203125" customWidth="1"/>
    <col min="12" max="12" width="19" customWidth="1"/>
    <col min="13" max="13" width="28.1640625" customWidth="1"/>
  </cols>
  <sheetData>
    <row r="6" spans="5:9">
      <c r="E6" s="2"/>
      <c r="F6" s="2"/>
      <c r="G6" s="2"/>
      <c r="H6" s="2"/>
      <c r="I6" s="2"/>
    </row>
    <row r="7" spans="5:9">
      <c r="E7" s="32" t="s">
        <v>278</v>
      </c>
      <c r="F7" s="38" t="s">
        <v>302</v>
      </c>
      <c r="G7" s="38" t="s">
        <v>303</v>
      </c>
      <c r="H7" s="38" t="s">
        <v>304</v>
      </c>
      <c r="I7" s="38" t="s">
        <v>320</v>
      </c>
    </row>
    <row r="8" spans="5:9">
      <c r="E8" s="30" t="s">
        <v>283</v>
      </c>
      <c r="F8" s="31">
        <v>17.592740800000001</v>
      </c>
      <c r="G8" s="31">
        <v>15.4638235</v>
      </c>
      <c r="H8" s="31">
        <v>-0.59192829999999996</v>
      </c>
      <c r="I8" s="31">
        <v>4.2947617300000003</v>
      </c>
    </row>
    <row r="9" spans="5:9">
      <c r="E9" s="30" t="s">
        <v>284</v>
      </c>
      <c r="F9" s="31">
        <v>18.314314700000001</v>
      </c>
      <c r="G9" s="31">
        <v>17.539747500000001</v>
      </c>
      <c r="H9" s="31">
        <v>24.585224400000001</v>
      </c>
      <c r="I9" s="31">
        <v>3.6430935299999998</v>
      </c>
    </row>
    <row r="10" spans="5:9">
      <c r="E10" s="30" t="s">
        <v>285</v>
      </c>
      <c r="F10" s="31">
        <v>18.620499800000001</v>
      </c>
      <c r="G10" s="31">
        <v>16.6856391</v>
      </c>
      <c r="H10" s="31">
        <v>23.769073599999999</v>
      </c>
      <c r="I10" s="31">
        <v>3.8697675399999998</v>
      </c>
    </row>
    <row r="11" spans="5:9">
      <c r="E11" s="30" t="s">
        <v>286</v>
      </c>
      <c r="F11" s="31">
        <v>20.6757308</v>
      </c>
      <c r="G11" s="31">
        <v>21.8378145</v>
      </c>
      <c r="H11" s="31">
        <v>31.358355100000001</v>
      </c>
      <c r="I11" s="31">
        <v>4.1014151099999996</v>
      </c>
    </row>
    <row r="12" spans="5:9">
      <c r="E12" s="30" t="s">
        <v>287</v>
      </c>
      <c r="F12" s="31">
        <v>21.574468700000001</v>
      </c>
      <c r="G12" s="31">
        <v>21.606244199999999</v>
      </c>
      <c r="H12" s="31">
        <v>31.863745000000002</v>
      </c>
      <c r="I12" s="31">
        <v>3.9325873200000001</v>
      </c>
    </row>
    <row r="13" spans="5:9">
      <c r="E13" s="30" t="s">
        <v>288</v>
      </c>
      <c r="F13" s="31">
        <v>26.616022900000001</v>
      </c>
      <c r="G13" s="31">
        <v>30.229810499999999</v>
      </c>
      <c r="H13" s="31">
        <v>37.1856078</v>
      </c>
      <c r="I13" s="31">
        <v>4.2897586399999996</v>
      </c>
    </row>
    <row r="14" spans="5:9">
      <c r="E14" s="30" t="s">
        <v>289</v>
      </c>
      <c r="F14" s="31">
        <v>24.329474399999999</v>
      </c>
      <c r="G14" s="31">
        <v>27.115352399999999</v>
      </c>
      <c r="H14" s="31">
        <v>34.899130200000002</v>
      </c>
      <c r="I14" s="31">
        <v>3.4822373400000002</v>
      </c>
    </row>
    <row r="17" spans="5:13">
      <c r="E17" s="26" t="s">
        <v>278</v>
      </c>
      <c r="F17" s="26" t="s">
        <v>290</v>
      </c>
      <c r="G17" s="26" t="s">
        <v>279</v>
      </c>
      <c r="H17" s="26" t="s">
        <v>294</v>
      </c>
      <c r="I17" s="26" t="s">
        <v>295</v>
      </c>
      <c r="J17" s="26" t="s">
        <v>305</v>
      </c>
      <c r="K17" s="26" t="s">
        <v>306</v>
      </c>
      <c r="L17" s="26" t="s">
        <v>307</v>
      </c>
      <c r="M17" s="26" t="s">
        <v>308</v>
      </c>
    </row>
    <row r="18" spans="5:13">
      <c r="E18" s="26" t="s">
        <v>283</v>
      </c>
      <c r="F18" s="27">
        <v>62.62</v>
      </c>
      <c r="G18" s="27">
        <v>83.47</v>
      </c>
      <c r="H18" s="27">
        <v>1</v>
      </c>
      <c r="I18" s="27">
        <v>85.16</v>
      </c>
      <c r="J18" s="27">
        <v>136615.67999999999</v>
      </c>
      <c r="K18" s="27">
        <v>84893.17</v>
      </c>
      <c r="L18" s="27">
        <v>1174</v>
      </c>
      <c r="M18" s="27">
        <v>70511.12</v>
      </c>
    </row>
    <row r="19" spans="5:13">
      <c r="E19" s="26" t="s">
        <v>284</v>
      </c>
      <c r="F19" s="27">
        <v>74.8</v>
      </c>
      <c r="G19" s="27">
        <v>94.38</v>
      </c>
      <c r="H19" s="27">
        <v>36.08</v>
      </c>
      <c r="I19" s="27">
        <v>63.57</v>
      </c>
      <c r="J19" s="27">
        <v>163180.62</v>
      </c>
      <c r="K19" s="27">
        <v>95988.31</v>
      </c>
      <c r="L19" s="27">
        <v>42357.919999999998</v>
      </c>
      <c r="M19" s="27">
        <v>52636.32</v>
      </c>
    </row>
    <row r="20" spans="5:13">
      <c r="E20" s="26" t="s">
        <v>285</v>
      </c>
      <c r="F20" s="27">
        <v>76.44</v>
      </c>
      <c r="G20" s="27">
        <v>101.52</v>
      </c>
      <c r="H20" s="27">
        <v>39.44</v>
      </c>
      <c r="I20" s="27">
        <v>70.63</v>
      </c>
      <c r="J20" s="27">
        <v>166744.81</v>
      </c>
      <c r="K20" s="27">
        <v>103245.93</v>
      </c>
      <c r="L20" s="27">
        <v>46302.559999999998</v>
      </c>
      <c r="M20" s="27">
        <v>58483.31</v>
      </c>
    </row>
    <row r="21" spans="5:13">
      <c r="E21" s="26" t="s">
        <v>286</v>
      </c>
      <c r="F21" s="27">
        <v>110.53</v>
      </c>
      <c r="G21" s="27">
        <v>149.83000000000001</v>
      </c>
      <c r="H21" s="27">
        <v>74.5</v>
      </c>
      <c r="I21" s="27">
        <v>95.45</v>
      </c>
      <c r="J21" s="27">
        <v>241115.62</v>
      </c>
      <c r="K21" s="27">
        <v>152373.70000000001</v>
      </c>
      <c r="L21" s="27">
        <v>87463</v>
      </c>
      <c r="M21" s="27">
        <v>79034.05</v>
      </c>
    </row>
    <row r="22" spans="5:13">
      <c r="E22" s="26" t="s">
        <v>287</v>
      </c>
      <c r="F22" s="27">
        <v>130.22999999999999</v>
      </c>
      <c r="G22" s="27">
        <v>185.84</v>
      </c>
      <c r="H22" s="27">
        <v>84.03</v>
      </c>
      <c r="I22" s="27">
        <v>96.47</v>
      </c>
      <c r="J22" s="27">
        <v>284106.52</v>
      </c>
      <c r="K22" s="27">
        <v>188995.78</v>
      </c>
      <c r="L22" s="27">
        <v>98651.22</v>
      </c>
      <c r="M22" s="27">
        <v>79877.509999999995</v>
      </c>
    </row>
    <row r="23" spans="5:13">
      <c r="E23" s="26" t="s">
        <v>288</v>
      </c>
      <c r="F23" s="27">
        <v>186.27</v>
      </c>
      <c r="G23" s="27">
        <v>297.13</v>
      </c>
      <c r="H23" s="27">
        <v>108.88</v>
      </c>
      <c r="I23" s="27">
        <v>123.71</v>
      </c>
      <c r="J23" s="27">
        <v>406348.48</v>
      </c>
      <c r="K23" s="27">
        <v>302184.84999999998</v>
      </c>
      <c r="L23" s="27">
        <v>127825.12</v>
      </c>
      <c r="M23" s="27">
        <v>102433.22</v>
      </c>
    </row>
    <row r="24" spans="5:13">
      <c r="E24" s="26" t="s">
        <v>289</v>
      </c>
      <c r="F24" s="27">
        <v>169.44</v>
      </c>
      <c r="G24" s="27">
        <v>265.94</v>
      </c>
      <c r="H24" s="27">
        <v>101.67</v>
      </c>
      <c r="I24" s="27">
        <v>83.87</v>
      </c>
      <c r="J24" s="27">
        <v>369633.37</v>
      </c>
      <c r="K24" s="27">
        <v>270460.98</v>
      </c>
      <c r="L24" s="27">
        <v>119360.58</v>
      </c>
      <c r="M24" s="27">
        <v>69444.36</v>
      </c>
    </row>
    <row r="27" spans="5:13">
      <c r="E27" s="32" t="s">
        <v>278</v>
      </c>
      <c r="F27" s="30" t="s">
        <v>309</v>
      </c>
      <c r="G27" s="30" t="s">
        <v>310</v>
      </c>
      <c r="H27" s="30" t="s">
        <v>311</v>
      </c>
      <c r="I27" s="30" t="s">
        <v>321</v>
      </c>
    </row>
    <row r="28" spans="5:13">
      <c r="E28" s="30" t="s">
        <v>283</v>
      </c>
      <c r="F28" s="39">
        <v>151033.68</v>
      </c>
      <c r="G28" s="39">
        <v>83922.17</v>
      </c>
      <c r="H28" s="39">
        <v>-1056</v>
      </c>
      <c r="I28" s="39">
        <v>142397.12</v>
      </c>
    </row>
    <row r="29" spans="5:13">
      <c r="E29" s="30" t="s">
        <v>284</v>
      </c>
      <c r="F29" s="39">
        <v>175304.62</v>
      </c>
      <c r="G29" s="39">
        <v>96556.31</v>
      </c>
      <c r="H29" s="39">
        <v>52046.92</v>
      </c>
      <c r="I29" s="39">
        <v>116116.32</v>
      </c>
    </row>
    <row r="30" spans="5:13">
      <c r="E30" s="30" t="s">
        <v>285</v>
      </c>
      <c r="F30" s="39">
        <v>191120.81</v>
      </c>
      <c r="G30" s="39">
        <v>104301.93</v>
      </c>
      <c r="H30" s="39">
        <v>54906.559999999998</v>
      </c>
      <c r="I30" s="39">
        <v>120690.31</v>
      </c>
    </row>
    <row r="31" spans="5:13">
      <c r="E31" s="30" t="s">
        <v>286</v>
      </c>
      <c r="F31" s="39">
        <v>262974.62</v>
      </c>
      <c r="G31" s="39">
        <v>154480.70000000001</v>
      </c>
      <c r="H31" s="39">
        <v>96082</v>
      </c>
      <c r="I31" s="39">
        <v>145350.04999999999</v>
      </c>
    </row>
    <row r="32" spans="5:13">
      <c r="E32" s="30" t="s">
        <v>287</v>
      </c>
      <c r="F32" s="39">
        <v>305796.52</v>
      </c>
      <c r="G32" s="39">
        <v>191625.78</v>
      </c>
      <c r="H32" s="39">
        <v>104481.22</v>
      </c>
      <c r="I32" s="39">
        <v>150535.51</v>
      </c>
    </row>
    <row r="33" spans="5:9">
      <c r="E33" s="30" t="s">
        <v>288</v>
      </c>
      <c r="F33" s="39">
        <v>427373.48</v>
      </c>
      <c r="G33" s="39">
        <v>307920.84999999998</v>
      </c>
      <c r="H33" s="39">
        <v>137661.12</v>
      </c>
      <c r="I33" s="39">
        <v>175245.22</v>
      </c>
    </row>
    <row r="34" spans="5:9">
      <c r="E34" s="30" t="s">
        <v>289</v>
      </c>
      <c r="F34" s="39">
        <v>390658.37</v>
      </c>
      <c r="G34" s="39">
        <v>276196.98</v>
      </c>
      <c r="H34" s="39">
        <v>129196.58000000002</v>
      </c>
      <c r="I34" s="39">
        <v>142256.35999999999</v>
      </c>
    </row>
    <row r="37" spans="5:9">
      <c r="E37" s="26" t="s">
        <v>278</v>
      </c>
      <c r="F37" s="26" t="s">
        <v>312</v>
      </c>
      <c r="G37" s="26" t="s">
        <v>313</v>
      </c>
      <c r="H37" s="26" t="s">
        <v>314</v>
      </c>
      <c r="I37" s="26" t="s">
        <v>315</v>
      </c>
    </row>
    <row r="38" spans="5:9">
      <c r="E38" s="26" t="s">
        <v>283</v>
      </c>
      <c r="F38" s="27">
        <v>8585</v>
      </c>
      <c r="G38" s="27">
        <v>5427</v>
      </c>
      <c r="H38" s="27">
        <v>1784</v>
      </c>
      <c r="I38" s="27">
        <v>33156</v>
      </c>
    </row>
    <row r="39" spans="5:9">
      <c r="E39" s="26" t="s">
        <v>284</v>
      </c>
      <c r="F39" s="27">
        <v>9572</v>
      </c>
      <c r="G39" s="27">
        <v>5505</v>
      </c>
      <c r="H39" s="27">
        <v>2117</v>
      </c>
      <c r="I39" s="27">
        <v>31873</v>
      </c>
    </row>
    <row r="40" spans="5:9">
      <c r="E40" s="26" t="s">
        <v>285</v>
      </c>
      <c r="F40" s="27">
        <v>10264</v>
      </c>
      <c r="G40" s="27">
        <v>6251</v>
      </c>
      <c r="H40" s="27">
        <v>2310</v>
      </c>
      <c r="I40" s="27">
        <v>31188</v>
      </c>
    </row>
    <row r="41" spans="5:9">
      <c r="E41" s="26" t="s">
        <v>286</v>
      </c>
      <c r="F41" s="27">
        <v>12719</v>
      </c>
      <c r="G41" s="27">
        <v>7074</v>
      </c>
      <c r="H41" s="27">
        <v>3064</v>
      </c>
      <c r="I41" s="27">
        <v>35439</v>
      </c>
    </row>
    <row r="42" spans="5:9">
      <c r="E42" s="26" t="s">
        <v>287</v>
      </c>
      <c r="F42" s="27">
        <v>14174</v>
      </c>
      <c r="G42" s="27">
        <v>8869</v>
      </c>
      <c r="H42" s="27">
        <v>3279</v>
      </c>
      <c r="I42" s="27">
        <v>38279</v>
      </c>
    </row>
    <row r="43" spans="5:9">
      <c r="E43" s="26" t="s">
        <v>288</v>
      </c>
      <c r="F43" s="27">
        <v>16057</v>
      </c>
      <c r="G43" s="27">
        <v>10186</v>
      </c>
      <c r="H43" s="27">
        <v>3702</v>
      </c>
      <c r="I43" s="27">
        <v>40852</v>
      </c>
    </row>
    <row r="44" spans="5:9">
      <c r="E44" s="26" t="s">
        <v>289</v>
      </c>
      <c r="F44" s="27">
        <v>16057</v>
      </c>
      <c r="G44" s="27">
        <v>10186</v>
      </c>
      <c r="H44" s="27">
        <v>3702</v>
      </c>
      <c r="I44" s="27">
        <v>40852</v>
      </c>
    </row>
    <row r="47" spans="5:9">
      <c r="E47" s="32" t="s">
        <v>278</v>
      </c>
      <c r="F47" s="38" t="s">
        <v>302</v>
      </c>
      <c r="G47" s="38" t="s">
        <v>303</v>
      </c>
      <c r="H47" s="38" t="s">
        <v>304</v>
      </c>
      <c r="I47" s="38" t="s">
        <v>320</v>
      </c>
    </row>
    <row r="48" spans="5:9">
      <c r="E48" s="30" t="s">
        <v>287</v>
      </c>
      <c r="F48" s="31">
        <v>21.574468700000001</v>
      </c>
      <c r="G48" s="31">
        <v>21.606244199999999</v>
      </c>
      <c r="H48" s="31">
        <v>31.863745000000002</v>
      </c>
      <c r="I48" s="31">
        <v>3.9325873200000001</v>
      </c>
    </row>
    <row r="49" spans="5:9">
      <c r="E49" s="30" t="s">
        <v>288</v>
      </c>
      <c r="F49" s="31">
        <v>26.616022900000001</v>
      </c>
      <c r="G49" s="31">
        <v>30.229810499999999</v>
      </c>
      <c r="H49" s="31">
        <v>37.1856078</v>
      </c>
      <c r="I49" s="31">
        <v>4.2897586399999996</v>
      </c>
    </row>
    <row r="50" spans="5:9">
      <c r="E50" s="30" t="s">
        <v>289</v>
      </c>
      <c r="F50" s="31">
        <v>24.329474399999999</v>
      </c>
      <c r="G50" s="31">
        <v>27.115352399999999</v>
      </c>
      <c r="H50" s="31">
        <v>34.899130200000002</v>
      </c>
      <c r="I50" s="31">
        <v>3.4822373400000002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6:P69"/>
  <sheetViews>
    <sheetView showGridLines="0" topLeftCell="A25" zoomScale="125" workbookViewId="0">
      <selection activeCell="I21" sqref="I21"/>
    </sheetView>
  </sheetViews>
  <sheetFormatPr baseColWidth="10" defaultColWidth="10.83203125" defaultRowHeight="15"/>
  <cols>
    <col min="3" max="3" width="16" customWidth="1"/>
    <col min="4" max="4" width="17.33203125" customWidth="1"/>
    <col min="5" max="5" width="21.33203125" customWidth="1"/>
    <col min="6" max="6" width="17.33203125" customWidth="1"/>
    <col min="7" max="7" width="22.83203125" customWidth="1"/>
    <col min="8" max="8" width="17.33203125" customWidth="1"/>
    <col min="9" max="9" width="21.83203125" customWidth="1"/>
    <col min="10" max="14" width="17.33203125" customWidth="1"/>
    <col min="15" max="15" width="23.33203125" customWidth="1"/>
  </cols>
  <sheetData>
    <row r="6" spans="3:16">
      <c r="C6" s="53" t="s">
        <v>277</v>
      </c>
      <c r="D6" s="53" t="s">
        <v>367</v>
      </c>
      <c r="E6" s="53" t="s">
        <v>368</v>
      </c>
      <c r="F6" s="54" t="s">
        <v>369</v>
      </c>
      <c r="G6" s="53" t="s">
        <v>370</v>
      </c>
      <c r="H6" s="53" t="s">
        <v>371</v>
      </c>
      <c r="I6" s="54" t="s">
        <v>372</v>
      </c>
      <c r="J6" s="53" t="s">
        <v>373</v>
      </c>
      <c r="K6" s="53" t="s">
        <v>374</v>
      </c>
      <c r="L6" s="54" t="s">
        <v>375</v>
      </c>
      <c r="M6" s="53" t="s">
        <v>376</v>
      </c>
      <c r="N6" s="53" t="s">
        <v>377</v>
      </c>
      <c r="O6" s="54" t="s">
        <v>378</v>
      </c>
      <c r="P6" s="7"/>
    </row>
    <row r="7" spans="3:16">
      <c r="C7" s="53" t="s">
        <v>269</v>
      </c>
      <c r="D7" s="55">
        <v>18358</v>
      </c>
      <c r="E7" s="55">
        <v>22977</v>
      </c>
      <c r="F7" s="56" t="s">
        <v>379</v>
      </c>
      <c r="G7" s="55">
        <v>12163</v>
      </c>
      <c r="H7" s="55">
        <v>15401</v>
      </c>
      <c r="I7" s="56" t="s">
        <v>380</v>
      </c>
      <c r="J7" s="55">
        <v>11694</v>
      </c>
      <c r="K7" s="55">
        <v>14884</v>
      </c>
      <c r="L7" s="56" t="s">
        <v>381</v>
      </c>
      <c r="M7" s="55">
        <v>6699</v>
      </c>
      <c r="N7" s="55">
        <v>12080</v>
      </c>
      <c r="O7" s="56" t="s">
        <v>382</v>
      </c>
      <c r="P7" s="7"/>
    </row>
    <row r="8" spans="3:16">
      <c r="C8" s="53" t="s">
        <v>107</v>
      </c>
      <c r="D8" s="55">
        <v>12497</v>
      </c>
      <c r="E8" s="55">
        <v>16883</v>
      </c>
      <c r="F8" s="56" t="s">
        <v>383</v>
      </c>
      <c r="G8" s="55">
        <v>6637</v>
      </c>
      <c r="H8" s="55">
        <v>9664</v>
      </c>
      <c r="I8" s="56" t="s">
        <v>384</v>
      </c>
      <c r="J8" s="55">
        <v>6522</v>
      </c>
      <c r="K8" s="55">
        <v>9731</v>
      </c>
      <c r="L8" s="56" t="s">
        <v>385</v>
      </c>
      <c r="M8" s="55">
        <v>3915</v>
      </c>
      <c r="N8" s="55">
        <v>8118</v>
      </c>
      <c r="O8" s="56" t="s">
        <v>386</v>
      </c>
      <c r="P8" s="7"/>
    </row>
    <row r="9" spans="3:16">
      <c r="C9" s="53" t="s">
        <v>387</v>
      </c>
      <c r="D9" s="55">
        <v>36878</v>
      </c>
      <c r="E9" s="55">
        <v>42126</v>
      </c>
      <c r="F9" s="56" t="s">
        <v>388</v>
      </c>
      <c r="G9" s="55">
        <v>34118</v>
      </c>
      <c r="H9" s="55">
        <v>39664</v>
      </c>
      <c r="I9" s="56" t="s">
        <v>389</v>
      </c>
      <c r="J9" s="55">
        <v>7425</v>
      </c>
      <c r="K9" s="55">
        <v>8110</v>
      </c>
      <c r="L9" s="56" t="s">
        <v>390</v>
      </c>
      <c r="M9" s="55">
        <v>2748</v>
      </c>
      <c r="N9" s="55">
        <v>6440</v>
      </c>
      <c r="O9" s="56" t="s">
        <v>391</v>
      </c>
      <c r="P9" s="7"/>
    </row>
    <row r="10" spans="3:16">
      <c r="C10" s="53" t="s">
        <v>108</v>
      </c>
      <c r="D10" s="55">
        <v>13094</v>
      </c>
      <c r="E10" s="55">
        <v>17772</v>
      </c>
      <c r="F10" s="56" t="s">
        <v>392</v>
      </c>
      <c r="G10" s="55">
        <v>2259</v>
      </c>
      <c r="H10" s="55">
        <v>2790</v>
      </c>
      <c r="I10" s="56" t="s">
        <v>393</v>
      </c>
      <c r="J10" s="55">
        <v>2200</v>
      </c>
      <c r="K10" s="55">
        <v>2998</v>
      </c>
      <c r="L10" s="56" t="s">
        <v>394</v>
      </c>
      <c r="M10" s="55">
        <v>1795</v>
      </c>
      <c r="N10" s="55">
        <v>2459</v>
      </c>
      <c r="O10" s="56" t="s">
        <v>395</v>
      </c>
      <c r="P10" s="7"/>
    </row>
    <row r="11" spans="3:16">
      <c r="C11" s="57"/>
      <c r="D11" s="57"/>
      <c r="E11" s="57"/>
      <c r="F11" s="58"/>
      <c r="G11" s="57"/>
      <c r="H11" s="57"/>
      <c r="I11" s="58"/>
      <c r="J11" s="57"/>
      <c r="K11" s="57"/>
      <c r="L11" s="58"/>
      <c r="M11" s="57"/>
      <c r="N11" s="57"/>
      <c r="O11" s="58"/>
      <c r="P11" s="7"/>
    </row>
    <row r="12" spans="3:16">
      <c r="C12" s="53" t="s">
        <v>277</v>
      </c>
      <c r="D12" s="53" t="s">
        <v>396</v>
      </c>
      <c r="E12" s="53" t="s">
        <v>367</v>
      </c>
      <c r="F12" s="54" t="s">
        <v>397</v>
      </c>
      <c r="G12" s="53" t="s">
        <v>398</v>
      </c>
      <c r="H12" s="53" t="s">
        <v>373</v>
      </c>
      <c r="I12" s="54" t="s">
        <v>399</v>
      </c>
      <c r="J12" s="53" t="s">
        <v>400</v>
      </c>
      <c r="K12" s="53" t="s">
        <v>376</v>
      </c>
      <c r="L12" s="54" t="s">
        <v>401</v>
      </c>
      <c r="M12" s="53" t="s">
        <v>402</v>
      </c>
      <c r="N12" s="53" t="s">
        <v>370</v>
      </c>
      <c r="O12" s="54" t="s">
        <v>403</v>
      </c>
      <c r="P12" s="7"/>
    </row>
    <row r="13" spans="3:16">
      <c r="C13" s="53" t="s">
        <v>269</v>
      </c>
      <c r="D13" s="55">
        <v>10421</v>
      </c>
      <c r="E13" s="55">
        <v>18358</v>
      </c>
      <c r="F13" s="56" t="s">
        <v>404</v>
      </c>
      <c r="G13" s="55">
        <v>2207</v>
      </c>
      <c r="H13" s="55">
        <v>14884</v>
      </c>
      <c r="I13" s="56" t="s">
        <v>405</v>
      </c>
      <c r="J13" s="55">
        <v>2144</v>
      </c>
      <c r="K13" s="55">
        <v>12080</v>
      </c>
      <c r="L13" s="56" t="s">
        <v>406</v>
      </c>
      <c r="M13" s="55">
        <v>6239</v>
      </c>
      <c r="N13" s="55">
        <v>15401</v>
      </c>
      <c r="O13" s="56" t="s">
        <v>407</v>
      </c>
      <c r="P13" s="7"/>
    </row>
    <row r="14" spans="3:16">
      <c r="C14" s="53" t="s">
        <v>107</v>
      </c>
      <c r="D14" s="55">
        <v>7391</v>
      </c>
      <c r="E14" s="55">
        <v>12497</v>
      </c>
      <c r="F14" s="56" t="s">
        <v>408</v>
      </c>
      <c r="G14" s="55">
        <v>3933</v>
      </c>
      <c r="H14" s="55">
        <v>9731</v>
      </c>
      <c r="I14" s="56" t="s">
        <v>409</v>
      </c>
      <c r="J14" s="55">
        <v>2759</v>
      </c>
      <c r="K14" s="55">
        <v>8118</v>
      </c>
      <c r="L14" s="56" t="s">
        <v>410</v>
      </c>
      <c r="M14" s="55">
        <v>3957</v>
      </c>
      <c r="N14" s="55">
        <v>9664</v>
      </c>
      <c r="O14" s="56" t="s">
        <v>411</v>
      </c>
      <c r="P14" s="7"/>
    </row>
    <row r="15" spans="3:16">
      <c r="C15" s="53" t="s">
        <v>387</v>
      </c>
      <c r="D15" s="55">
        <v>31555</v>
      </c>
      <c r="E15" s="55">
        <v>36878</v>
      </c>
      <c r="F15" s="56" t="s">
        <v>412</v>
      </c>
      <c r="G15" s="55">
        <v>6451</v>
      </c>
      <c r="H15" s="55">
        <v>8110</v>
      </c>
      <c r="I15" s="56" t="s">
        <v>413</v>
      </c>
      <c r="J15" s="55">
        <v>4482</v>
      </c>
      <c r="K15" s="55">
        <v>6440</v>
      </c>
      <c r="L15" s="56" t="s">
        <v>414</v>
      </c>
      <c r="M15" s="55">
        <v>29843</v>
      </c>
      <c r="N15" s="55">
        <v>39664</v>
      </c>
      <c r="O15" s="56" t="s">
        <v>415</v>
      </c>
      <c r="P15" s="7"/>
    </row>
    <row r="16" spans="3:16">
      <c r="C16" s="53" t="s">
        <v>108</v>
      </c>
      <c r="D16" s="55">
        <v>8025</v>
      </c>
      <c r="E16" s="55">
        <v>13094</v>
      </c>
      <c r="F16" s="56" t="s">
        <v>416</v>
      </c>
      <c r="G16" s="55">
        <v>1261</v>
      </c>
      <c r="H16" s="55">
        <v>2998</v>
      </c>
      <c r="I16" s="56" t="s">
        <v>417</v>
      </c>
      <c r="J16" s="55">
        <v>419</v>
      </c>
      <c r="K16" s="55">
        <v>2459</v>
      </c>
      <c r="L16" s="56" t="s">
        <v>418</v>
      </c>
      <c r="M16" s="55">
        <v>1268</v>
      </c>
      <c r="N16" s="55">
        <v>2790</v>
      </c>
      <c r="O16" s="56" t="s">
        <v>419</v>
      </c>
      <c r="P16" s="7"/>
    </row>
    <row r="17" spans="3:16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3:16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3:16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3:16">
      <c r="C20" s="59" t="s">
        <v>277</v>
      </c>
      <c r="D20" s="60" t="s">
        <v>369</v>
      </c>
      <c r="E20" s="60" t="s">
        <v>372</v>
      </c>
      <c r="F20" s="60" t="s">
        <v>375</v>
      </c>
      <c r="G20" s="60" t="s">
        <v>378</v>
      </c>
      <c r="H20" s="7"/>
      <c r="I20" s="7"/>
      <c r="J20" s="7"/>
      <c r="K20" s="7"/>
      <c r="L20" s="7"/>
      <c r="M20" s="7"/>
      <c r="N20" s="7"/>
      <c r="O20" s="7"/>
      <c r="P20" s="7"/>
    </row>
    <row r="21" spans="3:16">
      <c r="C21" s="61" t="s">
        <v>269</v>
      </c>
      <c r="D21" s="62" t="s">
        <v>379</v>
      </c>
      <c r="E21" s="62" t="s">
        <v>380</v>
      </c>
      <c r="F21" s="62" t="s">
        <v>381</v>
      </c>
      <c r="G21" s="63">
        <v>0.2172</v>
      </c>
      <c r="H21" s="7"/>
      <c r="I21" s="7"/>
      <c r="J21" s="7"/>
      <c r="K21" s="7"/>
      <c r="L21" s="7"/>
      <c r="M21" s="7"/>
      <c r="N21" s="7"/>
      <c r="O21" s="7"/>
      <c r="P21" s="7"/>
    </row>
    <row r="22" spans="3:16">
      <c r="C22" s="61" t="s">
        <v>107</v>
      </c>
      <c r="D22" s="62" t="s">
        <v>383</v>
      </c>
      <c r="E22" s="62" t="s">
        <v>384</v>
      </c>
      <c r="F22" s="62" t="s">
        <v>385</v>
      </c>
      <c r="G22" s="63">
        <v>0.2752</v>
      </c>
      <c r="H22" s="7"/>
      <c r="I22" s="7"/>
      <c r="J22" s="7"/>
      <c r="K22" s="7"/>
      <c r="L22" s="7"/>
      <c r="M22" s="7"/>
      <c r="N22" s="7"/>
      <c r="O22" s="7"/>
      <c r="P22" s="7"/>
    </row>
    <row r="23" spans="3:16">
      <c r="C23" s="61" t="s">
        <v>387</v>
      </c>
      <c r="D23" s="62" t="s">
        <v>388</v>
      </c>
      <c r="E23" s="62" t="s">
        <v>389</v>
      </c>
      <c r="F23" s="62" t="s">
        <v>390</v>
      </c>
      <c r="G23" s="63">
        <v>0.32829999999999998</v>
      </c>
      <c r="H23" s="7"/>
      <c r="I23" s="7"/>
      <c r="J23" s="7"/>
      <c r="K23" s="7"/>
      <c r="L23" s="7"/>
      <c r="M23" s="7"/>
      <c r="N23" s="7"/>
      <c r="O23" s="7"/>
      <c r="P23" s="7"/>
    </row>
    <row r="24" spans="3:16">
      <c r="C24" s="61" t="s">
        <v>108</v>
      </c>
      <c r="D24" s="62" t="s">
        <v>392</v>
      </c>
      <c r="E24" s="62" t="s">
        <v>393</v>
      </c>
      <c r="F24" s="62" t="s">
        <v>394</v>
      </c>
      <c r="G24" s="63">
        <v>0.1106</v>
      </c>
      <c r="H24" s="7"/>
      <c r="I24" s="7"/>
      <c r="J24" s="7"/>
      <c r="K24" s="7"/>
      <c r="L24" s="7"/>
      <c r="M24" s="7"/>
      <c r="N24" s="7"/>
      <c r="O24" s="7"/>
      <c r="P24" s="7"/>
    </row>
    <row r="25" spans="3:16">
      <c r="C25" s="57"/>
      <c r="D25" s="57"/>
      <c r="E25" s="57"/>
      <c r="F25" s="57"/>
      <c r="G25" s="57"/>
      <c r="H25" s="7"/>
      <c r="I25" s="7"/>
      <c r="J25" s="7"/>
      <c r="K25" s="7"/>
      <c r="L25" s="7"/>
      <c r="M25" s="7"/>
      <c r="N25" s="7"/>
      <c r="O25" s="7"/>
      <c r="P25" s="7"/>
    </row>
    <row r="26" spans="3:16">
      <c r="C26" s="59" t="s">
        <v>277</v>
      </c>
      <c r="D26" s="60" t="s">
        <v>397</v>
      </c>
      <c r="E26" s="60" t="s">
        <v>403</v>
      </c>
      <c r="F26" s="60" t="s">
        <v>399</v>
      </c>
      <c r="G26" s="60" t="s">
        <v>401</v>
      </c>
      <c r="H26" s="7"/>
      <c r="I26" s="7"/>
      <c r="J26" s="7"/>
      <c r="K26" s="7"/>
      <c r="L26" s="7"/>
      <c r="M26" s="7"/>
      <c r="N26" s="7"/>
      <c r="O26" s="7"/>
      <c r="P26" s="7"/>
    </row>
    <row r="27" spans="3:16">
      <c r="C27" s="61" t="s">
        <v>269</v>
      </c>
      <c r="D27" s="64" t="s">
        <v>420</v>
      </c>
      <c r="E27" s="64" t="s">
        <v>421</v>
      </c>
      <c r="F27" s="64" t="s">
        <v>422</v>
      </c>
      <c r="G27" s="64" t="s">
        <v>423</v>
      </c>
      <c r="H27" s="7"/>
      <c r="I27" s="7"/>
      <c r="J27" s="7"/>
      <c r="K27" s="7"/>
      <c r="L27" s="7"/>
      <c r="M27" s="7"/>
      <c r="N27" s="7"/>
      <c r="O27" s="7"/>
      <c r="P27" s="7"/>
    </row>
    <row r="28" spans="3:16">
      <c r="C28" s="61" t="s">
        <v>107</v>
      </c>
      <c r="D28" s="64" t="s">
        <v>424</v>
      </c>
      <c r="E28" s="64" t="s">
        <v>425</v>
      </c>
      <c r="F28" s="64" t="s">
        <v>426</v>
      </c>
      <c r="G28" s="64" t="s">
        <v>427</v>
      </c>
      <c r="H28" s="7"/>
      <c r="I28" s="7"/>
      <c r="J28" s="7"/>
      <c r="K28" s="7"/>
      <c r="L28" s="7"/>
      <c r="M28" s="7"/>
      <c r="N28" s="7"/>
      <c r="O28" s="7"/>
      <c r="P28" s="7"/>
    </row>
    <row r="29" spans="3:16">
      <c r="C29" s="61" t="s">
        <v>387</v>
      </c>
      <c r="D29" s="64" t="s">
        <v>428</v>
      </c>
      <c r="E29" s="64" t="s">
        <v>429</v>
      </c>
      <c r="F29" s="64" t="s">
        <v>430</v>
      </c>
      <c r="G29" s="64" t="s">
        <v>431</v>
      </c>
      <c r="H29" s="7"/>
      <c r="I29" s="7"/>
      <c r="J29" s="7"/>
      <c r="K29" s="7"/>
      <c r="L29" s="7"/>
      <c r="M29" s="7"/>
      <c r="N29" s="7"/>
      <c r="O29" s="7"/>
      <c r="P29" s="7"/>
    </row>
    <row r="30" spans="3:16">
      <c r="C30" s="61" t="s">
        <v>108</v>
      </c>
      <c r="D30" s="64" t="s">
        <v>416</v>
      </c>
      <c r="E30" s="64" t="s">
        <v>419</v>
      </c>
      <c r="F30" s="64" t="s">
        <v>432</v>
      </c>
      <c r="G30" s="64" t="s">
        <v>433</v>
      </c>
      <c r="H30" s="7"/>
      <c r="I30" s="7"/>
      <c r="J30" s="7"/>
      <c r="K30" s="7"/>
      <c r="L30" s="7"/>
      <c r="M30" s="7"/>
      <c r="N30" s="7"/>
      <c r="O30" s="7"/>
      <c r="P30" s="7"/>
    </row>
    <row r="31" spans="3:16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3:16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3:16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3:16">
      <c r="C34" s="26" t="s">
        <v>277</v>
      </c>
      <c r="D34" s="26" t="s">
        <v>396</v>
      </c>
      <c r="E34" s="26" t="s">
        <v>367</v>
      </c>
      <c r="F34" s="26" t="s">
        <v>271</v>
      </c>
      <c r="G34" s="26" t="s">
        <v>398</v>
      </c>
      <c r="H34" s="26" t="s">
        <v>373</v>
      </c>
      <c r="I34" s="26" t="s">
        <v>96</v>
      </c>
      <c r="J34" s="26" t="s">
        <v>400</v>
      </c>
      <c r="K34" s="26" t="s">
        <v>376</v>
      </c>
      <c r="L34" s="26" t="s">
        <v>97</v>
      </c>
      <c r="M34" s="26" t="s">
        <v>402</v>
      </c>
      <c r="N34" s="26" t="s">
        <v>370</v>
      </c>
      <c r="O34" s="26" t="s">
        <v>95</v>
      </c>
      <c r="P34" s="7"/>
    </row>
    <row r="35" spans="3:16">
      <c r="C35" s="26" t="s">
        <v>269</v>
      </c>
      <c r="D35" s="27">
        <v>10421</v>
      </c>
      <c r="E35" s="27">
        <v>18358</v>
      </c>
      <c r="F35" s="27" t="s">
        <v>420</v>
      </c>
      <c r="G35" s="27">
        <v>2207</v>
      </c>
      <c r="H35" s="27">
        <v>11694</v>
      </c>
      <c r="I35" s="27" t="s">
        <v>422</v>
      </c>
      <c r="J35" s="27">
        <v>2144</v>
      </c>
      <c r="K35" s="27">
        <v>6699</v>
      </c>
      <c r="L35" s="27" t="s">
        <v>423</v>
      </c>
      <c r="M35" s="27">
        <v>6239</v>
      </c>
      <c r="N35" s="27">
        <v>12163</v>
      </c>
      <c r="O35" s="27" t="s">
        <v>434</v>
      </c>
      <c r="P35" s="7"/>
    </row>
    <row r="36" spans="3:16">
      <c r="C36" s="26" t="s">
        <v>107</v>
      </c>
      <c r="D36" s="27">
        <v>7391</v>
      </c>
      <c r="E36" s="27">
        <v>12497</v>
      </c>
      <c r="F36" s="27" t="s">
        <v>424</v>
      </c>
      <c r="G36" s="27">
        <v>3933</v>
      </c>
      <c r="H36" s="27">
        <v>6522</v>
      </c>
      <c r="I36" s="27" t="s">
        <v>426</v>
      </c>
      <c r="J36" s="27">
        <v>2759</v>
      </c>
      <c r="K36" s="27">
        <v>3915</v>
      </c>
      <c r="L36" s="27" t="s">
        <v>427</v>
      </c>
      <c r="M36" s="27">
        <v>3957</v>
      </c>
      <c r="N36" s="27">
        <v>6637</v>
      </c>
      <c r="O36" s="27" t="s">
        <v>435</v>
      </c>
      <c r="P36" s="7"/>
    </row>
    <row r="37" spans="3:16">
      <c r="C37" s="26" t="s">
        <v>387</v>
      </c>
      <c r="D37" s="27">
        <v>31555</v>
      </c>
      <c r="E37" s="27">
        <v>36878</v>
      </c>
      <c r="F37" s="27" t="s">
        <v>428</v>
      </c>
      <c r="G37" s="27">
        <v>6451</v>
      </c>
      <c r="H37" s="27">
        <v>7425</v>
      </c>
      <c r="I37" s="27" t="s">
        <v>430</v>
      </c>
      <c r="J37" s="27">
        <v>4482</v>
      </c>
      <c r="K37" s="27">
        <v>2748</v>
      </c>
      <c r="L37" s="27" t="s">
        <v>431</v>
      </c>
      <c r="M37" s="27">
        <v>29843</v>
      </c>
      <c r="N37" s="27">
        <v>34118</v>
      </c>
      <c r="O37" s="27" t="s">
        <v>436</v>
      </c>
      <c r="P37" s="7"/>
    </row>
    <row r="38" spans="3:16">
      <c r="C38" s="26" t="s">
        <v>108</v>
      </c>
      <c r="D38" s="27">
        <v>8025</v>
      </c>
      <c r="E38" s="27">
        <v>13094</v>
      </c>
      <c r="F38" s="27" t="s">
        <v>437</v>
      </c>
      <c r="G38" s="27">
        <v>1261</v>
      </c>
      <c r="H38" s="27">
        <v>2200</v>
      </c>
      <c r="I38" s="27" t="s">
        <v>438</v>
      </c>
      <c r="J38" s="27">
        <v>419</v>
      </c>
      <c r="K38" s="27">
        <v>1795</v>
      </c>
      <c r="L38" s="27" t="s">
        <v>439</v>
      </c>
      <c r="M38" s="27">
        <v>1268</v>
      </c>
      <c r="N38" s="27">
        <v>2259</v>
      </c>
      <c r="O38" s="27" t="s">
        <v>440</v>
      </c>
      <c r="P38" s="7"/>
    </row>
    <row r="39" spans="3:16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3:16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3:16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3:16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3:16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3:16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3:16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3:16">
      <c r="C46" s="26" t="s">
        <v>277</v>
      </c>
      <c r="D46" s="26" t="s">
        <v>396</v>
      </c>
      <c r="E46" s="26" t="s">
        <v>367</v>
      </c>
      <c r="F46" s="26" t="s">
        <v>271</v>
      </c>
      <c r="G46" s="26" t="s">
        <v>398</v>
      </c>
      <c r="H46" s="26" t="s">
        <v>373</v>
      </c>
      <c r="I46" s="26" t="s">
        <v>96</v>
      </c>
      <c r="J46" s="26" t="s">
        <v>400</v>
      </c>
      <c r="K46" s="26" t="s">
        <v>376</v>
      </c>
      <c r="L46" s="26" t="s">
        <v>97</v>
      </c>
      <c r="M46" s="26" t="s">
        <v>402</v>
      </c>
      <c r="N46" s="26" t="s">
        <v>370</v>
      </c>
      <c r="O46" s="26" t="s">
        <v>95</v>
      </c>
      <c r="P46" s="7"/>
    </row>
    <row r="47" spans="3:16">
      <c r="C47" s="26" t="s">
        <v>269</v>
      </c>
      <c r="D47" s="27">
        <v>10421</v>
      </c>
      <c r="E47" s="27">
        <v>18358</v>
      </c>
      <c r="F47" s="27" t="s">
        <v>420</v>
      </c>
      <c r="G47" s="27">
        <v>2207</v>
      </c>
      <c r="H47" s="27">
        <v>11694</v>
      </c>
      <c r="I47" s="27" t="s">
        <v>422</v>
      </c>
      <c r="J47" s="27">
        <v>2144</v>
      </c>
      <c r="K47" s="27">
        <v>6699</v>
      </c>
      <c r="L47" s="27" t="s">
        <v>423</v>
      </c>
      <c r="M47" s="27">
        <v>6239</v>
      </c>
      <c r="N47" s="27">
        <v>12163</v>
      </c>
      <c r="O47" s="27" t="s">
        <v>423</v>
      </c>
      <c r="P47" s="7"/>
    </row>
    <row r="48" spans="3:16">
      <c r="C48" s="26" t="s">
        <v>107</v>
      </c>
      <c r="D48" s="27">
        <v>7391</v>
      </c>
      <c r="E48" s="27">
        <v>12497</v>
      </c>
      <c r="F48" s="27" t="s">
        <v>424</v>
      </c>
      <c r="G48" s="27">
        <v>3933</v>
      </c>
      <c r="H48" s="27">
        <v>6522</v>
      </c>
      <c r="I48" s="27" t="s">
        <v>426</v>
      </c>
      <c r="J48" s="27">
        <v>2759</v>
      </c>
      <c r="K48" s="27">
        <v>3915</v>
      </c>
      <c r="L48" s="27" t="s">
        <v>427</v>
      </c>
      <c r="M48" s="27">
        <v>3957</v>
      </c>
      <c r="N48" s="27">
        <v>6637</v>
      </c>
      <c r="O48" s="27" t="s">
        <v>427</v>
      </c>
      <c r="P48" s="7"/>
    </row>
    <row r="49" spans="3:16">
      <c r="C49" s="26" t="s">
        <v>387</v>
      </c>
      <c r="D49" s="27">
        <v>31555</v>
      </c>
      <c r="E49" s="27">
        <v>36878</v>
      </c>
      <c r="F49" s="27" t="s">
        <v>428</v>
      </c>
      <c r="G49" s="27">
        <v>6451</v>
      </c>
      <c r="H49" s="27">
        <v>7425</v>
      </c>
      <c r="I49" s="27" t="s">
        <v>430</v>
      </c>
      <c r="J49" s="27">
        <v>4482</v>
      </c>
      <c r="K49" s="27">
        <v>2748</v>
      </c>
      <c r="L49" s="27" t="s">
        <v>431</v>
      </c>
      <c r="M49" s="27">
        <v>29843</v>
      </c>
      <c r="N49" s="27">
        <v>34118</v>
      </c>
      <c r="O49" s="27" t="s">
        <v>431</v>
      </c>
      <c r="P49" s="7"/>
    </row>
    <row r="50" spans="3:16">
      <c r="C50" s="26" t="s">
        <v>108</v>
      </c>
      <c r="D50" s="27">
        <v>8025</v>
      </c>
      <c r="E50" s="27">
        <v>13094</v>
      </c>
      <c r="F50" s="27" t="s">
        <v>416</v>
      </c>
      <c r="G50" s="27">
        <v>1261</v>
      </c>
      <c r="H50" s="27">
        <v>2200</v>
      </c>
      <c r="I50" s="27" t="s">
        <v>432</v>
      </c>
      <c r="J50" s="27">
        <v>419</v>
      </c>
      <c r="K50" s="27">
        <v>1795</v>
      </c>
      <c r="L50" s="27" t="s">
        <v>433</v>
      </c>
      <c r="M50" s="27">
        <v>1268</v>
      </c>
      <c r="N50" s="27">
        <v>2259</v>
      </c>
      <c r="O50" s="27" t="s">
        <v>433</v>
      </c>
      <c r="P50" s="7"/>
    </row>
    <row r="51" spans="3:16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3:16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3:16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3:16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3:16">
      <c r="C55" s="26" t="s">
        <v>277</v>
      </c>
      <c r="D55" s="26" t="s">
        <v>367</v>
      </c>
      <c r="E55" s="26" t="s">
        <v>368</v>
      </c>
      <c r="F55" s="26" t="s">
        <v>271</v>
      </c>
      <c r="G55" s="26" t="s">
        <v>370</v>
      </c>
      <c r="H55" s="26" t="s">
        <v>371</v>
      </c>
      <c r="I55" s="26" t="s">
        <v>95</v>
      </c>
      <c r="J55" s="26" t="s">
        <v>373</v>
      </c>
      <c r="K55" s="26" t="s">
        <v>374</v>
      </c>
      <c r="L55" s="26" t="s">
        <v>96</v>
      </c>
      <c r="M55" s="26" t="s">
        <v>376</v>
      </c>
      <c r="N55" s="26" t="s">
        <v>377</v>
      </c>
      <c r="O55" s="26" t="s">
        <v>97</v>
      </c>
      <c r="P55" s="7"/>
    </row>
    <row r="56" spans="3:16">
      <c r="C56" s="26" t="s">
        <v>269</v>
      </c>
      <c r="D56" s="27">
        <v>18358</v>
      </c>
      <c r="E56" s="27">
        <v>22977</v>
      </c>
      <c r="F56" s="27">
        <v>7.77</v>
      </c>
      <c r="G56" s="27">
        <v>12163</v>
      </c>
      <c r="H56" s="27">
        <v>15401</v>
      </c>
      <c r="I56" s="27">
        <v>8.19</v>
      </c>
      <c r="J56" s="27">
        <v>11694</v>
      </c>
      <c r="K56" s="27">
        <v>14884</v>
      </c>
      <c r="L56" s="27">
        <v>8.3699999999999992</v>
      </c>
      <c r="M56" s="27">
        <v>6699</v>
      </c>
      <c r="N56" s="27">
        <v>12080</v>
      </c>
      <c r="O56" s="27">
        <v>21.72</v>
      </c>
      <c r="P56" s="7"/>
    </row>
    <row r="57" spans="3:16">
      <c r="C57" s="26" t="s">
        <v>107</v>
      </c>
      <c r="D57" s="27">
        <v>12497</v>
      </c>
      <c r="E57" s="27">
        <v>16883</v>
      </c>
      <c r="F57" s="27">
        <v>10.55</v>
      </c>
      <c r="G57" s="27">
        <v>6637</v>
      </c>
      <c r="H57" s="27">
        <v>9664</v>
      </c>
      <c r="I57" s="27">
        <v>13.34</v>
      </c>
      <c r="J57" s="27">
        <v>6522</v>
      </c>
      <c r="K57" s="27">
        <v>9731</v>
      </c>
      <c r="L57" s="27">
        <v>14.27</v>
      </c>
      <c r="M57" s="27">
        <v>3915</v>
      </c>
      <c r="N57" s="27">
        <v>8118</v>
      </c>
      <c r="O57" s="27">
        <v>27.52</v>
      </c>
      <c r="P57" s="7"/>
    </row>
    <row r="58" spans="3:16">
      <c r="C58" s="26" t="s">
        <v>387</v>
      </c>
      <c r="D58" s="27">
        <v>36878</v>
      </c>
      <c r="E58" s="27">
        <v>42126</v>
      </c>
      <c r="F58" s="27">
        <v>4.53</v>
      </c>
      <c r="G58" s="27">
        <v>34118</v>
      </c>
      <c r="H58" s="27">
        <v>39664</v>
      </c>
      <c r="I58" s="27">
        <v>5.15</v>
      </c>
      <c r="J58" s="27">
        <v>7425</v>
      </c>
      <c r="K58" s="27">
        <v>8110</v>
      </c>
      <c r="L58" s="27">
        <v>2.99</v>
      </c>
      <c r="M58" s="27">
        <v>2748</v>
      </c>
      <c r="N58" s="27">
        <v>6440</v>
      </c>
      <c r="O58" s="27">
        <v>32.83</v>
      </c>
      <c r="P58" s="7"/>
    </row>
    <row r="59" spans="3:16">
      <c r="C59" s="26" t="s">
        <v>108</v>
      </c>
      <c r="D59" s="27">
        <v>13094</v>
      </c>
      <c r="E59" s="27">
        <v>17772</v>
      </c>
      <c r="F59" s="27">
        <v>10.72</v>
      </c>
      <c r="G59" s="27">
        <v>2259</v>
      </c>
      <c r="H59" s="27">
        <v>2790</v>
      </c>
      <c r="I59" s="27">
        <v>7.29</v>
      </c>
      <c r="J59" s="27">
        <v>2200</v>
      </c>
      <c r="K59" s="27">
        <v>2998</v>
      </c>
      <c r="L59" s="27">
        <v>10.87</v>
      </c>
      <c r="M59" s="27">
        <v>1795</v>
      </c>
      <c r="N59" s="27">
        <v>2459</v>
      </c>
      <c r="O59" s="27">
        <v>11.06</v>
      </c>
      <c r="P59" s="7"/>
    </row>
    <row r="60" spans="3:16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3:16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3:16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3:16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3:16">
      <c r="C64" s="59" t="s">
        <v>277</v>
      </c>
      <c r="D64" s="60" t="s">
        <v>441</v>
      </c>
      <c r="E64" s="60" t="s">
        <v>442</v>
      </c>
      <c r="F64" s="60" t="s">
        <v>443</v>
      </c>
      <c r="G64" s="60" t="s">
        <v>444</v>
      </c>
      <c r="H64" s="7"/>
      <c r="I64" s="7"/>
      <c r="J64" s="7"/>
      <c r="K64" s="7"/>
      <c r="L64" s="7"/>
      <c r="M64" s="7"/>
      <c r="N64" s="7"/>
      <c r="O64" s="7"/>
      <c r="P64" s="7"/>
    </row>
    <row r="65" spans="3:16">
      <c r="C65" s="61" t="s">
        <v>269</v>
      </c>
      <c r="D65" s="66">
        <v>0.11</v>
      </c>
      <c r="E65" s="66">
        <v>0.128</v>
      </c>
      <c r="F65" s="66">
        <v>0.124</v>
      </c>
      <c r="G65" s="66">
        <v>0.151</v>
      </c>
      <c r="H65" s="7"/>
      <c r="I65" s="7"/>
      <c r="J65" s="7"/>
      <c r="K65" s="7"/>
      <c r="L65" s="7"/>
      <c r="M65" s="7"/>
      <c r="N65" s="7"/>
      <c r="O65" s="7"/>
      <c r="P65" s="7"/>
    </row>
    <row r="66" spans="3:16">
      <c r="C66" s="61" t="s">
        <v>107</v>
      </c>
      <c r="D66" s="66">
        <v>0.11799999999999999</v>
      </c>
      <c r="E66" s="66">
        <v>0.14199999999999999</v>
      </c>
      <c r="F66" s="66">
        <v>0.13400000000000001</v>
      </c>
      <c r="G66" s="66">
        <v>0.16</v>
      </c>
      <c r="H66" s="7"/>
      <c r="I66" s="7"/>
      <c r="J66" s="7"/>
      <c r="K66" s="7"/>
      <c r="L66" s="7"/>
      <c r="M66" s="7"/>
      <c r="N66" s="7"/>
      <c r="O66" s="7"/>
      <c r="P66" s="7"/>
    </row>
    <row r="67" spans="3:16">
      <c r="C67" s="61" t="s">
        <v>387</v>
      </c>
      <c r="D67" s="65">
        <v>0.04</v>
      </c>
      <c r="E67" s="65">
        <v>4.4999999999999998E-2</v>
      </c>
      <c r="F67" s="65">
        <v>3.1E-2</v>
      </c>
      <c r="G67" s="65">
        <v>4.7E-2</v>
      </c>
      <c r="H67" s="7"/>
      <c r="I67" s="7"/>
      <c r="J67" s="7"/>
      <c r="K67" s="7"/>
      <c r="L67" s="7"/>
      <c r="M67" s="7"/>
      <c r="N67" s="7"/>
      <c r="O67" s="7"/>
      <c r="P67" s="7"/>
    </row>
    <row r="68" spans="3:16">
      <c r="C68" s="61" t="s">
        <v>108</v>
      </c>
      <c r="D68" s="65">
        <v>0.14199999999999999</v>
      </c>
      <c r="E68" s="65">
        <v>0.129</v>
      </c>
      <c r="F68" s="65">
        <v>0.155</v>
      </c>
      <c r="G68" s="65">
        <v>0.19400000000000001</v>
      </c>
      <c r="H68" s="7"/>
      <c r="I68" s="7"/>
      <c r="J68" s="7"/>
      <c r="K68" s="7"/>
      <c r="L68" s="7"/>
      <c r="M68" s="7"/>
      <c r="N68" s="7"/>
      <c r="O68" s="7"/>
      <c r="P68" s="7"/>
    </row>
    <row r="69" spans="3:16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</sheetData>
  <pageMargins left="0.7" right="0.7" top="0.75" bottom="0.75" header="0.3" footer="0.3"/>
  <ignoredErrors>
    <ignoredError sqref="D21:G24 D27:G30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6E41E-DB02-1D4B-9084-138A9DA3CE57}">
  <dimension ref="B2:S49"/>
  <sheetViews>
    <sheetView showGridLines="0" zoomScale="180" zoomScaleNormal="400" workbookViewId="0">
      <selection activeCell="N2" sqref="N2"/>
    </sheetView>
  </sheetViews>
  <sheetFormatPr baseColWidth="10" defaultColWidth="10.83203125" defaultRowHeight="15"/>
  <cols>
    <col min="4" max="4" width="15.83203125" customWidth="1"/>
    <col min="6" max="7" width="14.5" customWidth="1"/>
  </cols>
  <sheetData>
    <row r="2" spans="2:4">
      <c r="B2" s="252"/>
      <c r="C2" s="253" t="s">
        <v>100</v>
      </c>
      <c r="D2" s="253" t="s">
        <v>331</v>
      </c>
    </row>
    <row r="3" spans="2:4">
      <c r="B3" s="252" t="s">
        <v>105</v>
      </c>
      <c r="C3" s="50">
        <v>20.03</v>
      </c>
      <c r="D3" s="52">
        <v>4.8599999999999997E-2</v>
      </c>
    </row>
    <row r="4" spans="2:4">
      <c r="B4" s="252" t="s">
        <v>106</v>
      </c>
      <c r="C4" s="50">
        <v>37.42</v>
      </c>
      <c r="D4" s="52">
        <v>5.2600000000000001E-2</v>
      </c>
    </row>
    <row r="5" spans="2:4">
      <c r="B5" s="252" t="s">
        <v>107</v>
      </c>
      <c r="C5" s="50">
        <v>45.17</v>
      </c>
      <c r="D5" s="52">
        <v>7.2300000000000003E-2</v>
      </c>
    </row>
    <row r="6" spans="2:4">
      <c r="B6" s="252" t="s">
        <v>108</v>
      </c>
      <c r="C6" s="50">
        <v>83.42</v>
      </c>
      <c r="D6" s="52">
        <v>2.18E-2</v>
      </c>
    </row>
    <row r="7" spans="2:4">
      <c r="B7" s="7"/>
      <c r="C7" s="7"/>
      <c r="D7" s="7"/>
    </row>
    <row r="8" spans="2:4">
      <c r="B8" s="254" t="s">
        <v>101</v>
      </c>
      <c r="C8" s="255">
        <f>SLOPE(D3:D6,C3:C6)</f>
        <v>-4.9223678144801617E-4</v>
      </c>
      <c r="D8" s="7"/>
    </row>
    <row r="9" spans="2:4">
      <c r="B9" s="254" t="s">
        <v>102</v>
      </c>
      <c r="C9" s="255">
        <f>INTERCEPT(D3:D6,C3:C6)</f>
        <v>7.1718932705147231E-2</v>
      </c>
      <c r="D9" s="7"/>
    </row>
    <row r="10" spans="2:4">
      <c r="B10" s="254" t="s">
        <v>103</v>
      </c>
      <c r="C10" s="255">
        <f>CORREL(D3:D6,C3:C6)</f>
        <v>-0.63376834197134613</v>
      </c>
      <c r="D10" s="7"/>
    </row>
    <row r="11" spans="2:4">
      <c r="B11" s="256" t="s">
        <v>104</v>
      </c>
      <c r="C11" s="255">
        <f>C10*C10</f>
        <v>0.40166231128510915</v>
      </c>
      <c r="D11" s="7"/>
    </row>
    <row r="19" spans="2:19" ht="19">
      <c r="S19" s="48"/>
    </row>
    <row r="21" spans="2:19">
      <c r="B21" s="252"/>
      <c r="C21" s="252" t="s">
        <v>273</v>
      </c>
      <c r="D21" s="252" t="s">
        <v>332</v>
      </c>
    </row>
    <row r="22" spans="2:19">
      <c r="B22" s="252" t="s">
        <v>105</v>
      </c>
      <c r="C22" s="50">
        <v>5</v>
      </c>
      <c r="D22" s="52">
        <v>0.01</v>
      </c>
    </row>
    <row r="23" spans="2:19">
      <c r="B23" s="252" t="s">
        <v>106</v>
      </c>
      <c r="C23" s="50">
        <v>10</v>
      </c>
      <c r="D23" s="52">
        <v>0.02</v>
      </c>
    </row>
    <row r="24" spans="2:19">
      <c r="B24" s="252" t="s">
        <v>107</v>
      </c>
      <c r="C24" s="50">
        <v>30</v>
      </c>
      <c r="D24" s="52">
        <v>0.03</v>
      </c>
    </row>
    <row r="25" spans="2:19">
      <c r="B25" s="252" t="s">
        <v>108</v>
      </c>
      <c r="C25" s="50">
        <v>50</v>
      </c>
      <c r="D25" s="52">
        <v>0.04</v>
      </c>
    </row>
    <row r="27" spans="2:19">
      <c r="B27" s="254" t="s">
        <v>101</v>
      </c>
      <c r="C27" s="255">
        <f>SLOPE(D22:D25,C22:C25)</f>
        <v>6.1083743842364529E-4</v>
      </c>
    </row>
    <row r="28" spans="2:19">
      <c r="B28" s="254" t="s">
        <v>102</v>
      </c>
      <c r="C28" s="255">
        <f>INTERCEPT(D22:D25,C22:C25)</f>
        <v>1.0492610837438425E-2</v>
      </c>
    </row>
    <row r="29" spans="2:19">
      <c r="B29" s="254" t="s">
        <v>103</v>
      </c>
      <c r="C29" s="255">
        <f>CORREL(D22:D25,C22:C25)</f>
        <v>0.97303547189023398</v>
      </c>
    </row>
    <row r="30" spans="2:19">
      <c r="B30" s="256" t="s">
        <v>104</v>
      </c>
      <c r="C30" s="255">
        <f>C29*C29</f>
        <v>0.94679802955665038</v>
      </c>
    </row>
    <row r="40" spans="2:4">
      <c r="B40" s="252"/>
      <c r="C40" s="252" t="s">
        <v>366</v>
      </c>
      <c r="D40" s="252" t="s">
        <v>365</v>
      </c>
    </row>
    <row r="41" spans="2:4">
      <c r="B41" s="252" t="s">
        <v>105</v>
      </c>
      <c r="C41" s="50">
        <v>5</v>
      </c>
      <c r="D41" s="52">
        <v>0.01</v>
      </c>
    </row>
    <row r="42" spans="2:4">
      <c r="B42" s="252" t="s">
        <v>106</v>
      </c>
      <c r="C42" s="50">
        <v>10</v>
      </c>
      <c r="D42" s="52">
        <v>0.02</v>
      </c>
    </row>
    <row r="43" spans="2:4">
      <c r="B43" s="252" t="s">
        <v>107</v>
      </c>
      <c r="C43" s="50">
        <v>30</v>
      </c>
      <c r="D43" s="52">
        <v>0.03</v>
      </c>
    </row>
    <row r="44" spans="2:4">
      <c r="B44" s="252" t="s">
        <v>108</v>
      </c>
      <c r="C44" s="50">
        <v>50</v>
      </c>
      <c r="D44" s="52">
        <v>0.04</v>
      </c>
    </row>
    <row r="46" spans="2:4">
      <c r="B46" s="254" t="s">
        <v>101</v>
      </c>
      <c r="C46" s="255">
        <f>SLOPE(D41:D44,C41:C44)</f>
        <v>6.1083743842364529E-4</v>
      </c>
    </row>
    <row r="47" spans="2:4">
      <c r="B47" s="254" t="s">
        <v>102</v>
      </c>
      <c r="C47" s="255">
        <f>INTERCEPT(D41:D44,C41:C44)</f>
        <v>1.0492610837438425E-2</v>
      </c>
    </row>
    <row r="48" spans="2:4">
      <c r="B48" s="254" t="s">
        <v>103</v>
      </c>
      <c r="C48" s="255">
        <f>CORREL(D41:D44,C41:C44)</f>
        <v>0.97303547189023398</v>
      </c>
    </row>
    <row r="49" spans="2:3">
      <c r="B49" s="256" t="s">
        <v>104</v>
      </c>
      <c r="C49" s="255">
        <f>C48*C48</f>
        <v>0.94679802955665038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E4:S57"/>
  <sheetViews>
    <sheetView tabSelected="1" zoomScale="133" zoomScaleNormal="400" workbookViewId="0">
      <selection activeCell="F13" sqref="F13"/>
    </sheetView>
  </sheetViews>
  <sheetFormatPr baseColWidth="10" defaultColWidth="10.83203125" defaultRowHeight="15"/>
  <cols>
    <col min="6" max="6" width="12.33203125" customWidth="1"/>
    <col min="7" max="7" width="13.83203125" customWidth="1"/>
  </cols>
  <sheetData>
    <row r="4" spans="5:7">
      <c r="E4" s="7"/>
      <c r="F4" s="8" t="s">
        <v>100</v>
      </c>
      <c r="G4" s="47" t="s">
        <v>331</v>
      </c>
    </row>
    <row r="5" spans="5:7">
      <c r="E5" s="9" t="s">
        <v>105</v>
      </c>
      <c r="F5" s="50">
        <f>AXP!D14</f>
        <v>11.52</v>
      </c>
      <c r="G5" s="52">
        <f>AMEX!N8</f>
        <v>1.5133671519258263E-2</v>
      </c>
    </row>
    <row r="6" spans="5:7">
      <c r="E6" s="9" t="s">
        <v>106</v>
      </c>
      <c r="F6" s="50">
        <f>VS!D14</f>
        <v>31.94</v>
      </c>
      <c r="G6" s="52">
        <f>'VISA INC'!N8</f>
        <v>0.14227662187979639</v>
      </c>
    </row>
    <row r="7" spans="5:7">
      <c r="E7" s="9" t="s">
        <v>107</v>
      </c>
      <c r="F7" s="50">
        <f>MC!D14</f>
        <v>34.119999999999997</v>
      </c>
      <c r="G7" s="52">
        <f>Mastercard!N8</f>
        <v>0.14423902710266812</v>
      </c>
    </row>
    <row r="8" spans="5:7">
      <c r="E8" s="9" t="s">
        <v>108</v>
      </c>
      <c r="F8" s="50">
        <f>PYPL!D14</f>
        <v>50.75</v>
      </c>
      <c r="G8" s="52">
        <f>PayPal!I8</f>
        <v>0.34304557705580563</v>
      </c>
    </row>
    <row r="9" spans="5:7">
      <c r="E9" s="7"/>
      <c r="F9" s="7"/>
      <c r="G9" s="7"/>
    </row>
    <row r="10" spans="5:7">
      <c r="E10" s="7" t="s">
        <v>101</v>
      </c>
      <c r="F10" s="7">
        <f>SLOPE(G5:G8,F5:F8)</f>
        <v>8.2095783379902594E-3</v>
      </c>
      <c r="G10" s="7"/>
    </row>
    <row r="11" spans="5:7">
      <c r="E11" s="7" t="s">
        <v>102</v>
      </c>
      <c r="F11" s="7">
        <f>INTERCEPT(G5:G8,F5:F8)</f>
        <v>-0.10221007263919035</v>
      </c>
      <c r="G11" s="7"/>
    </row>
    <row r="12" spans="5:7">
      <c r="E12" s="7" t="s">
        <v>103</v>
      </c>
      <c r="F12" s="7">
        <f>CORREL(G5:G8,F5:F8)</f>
        <v>0.97437706288902837</v>
      </c>
      <c r="G12" s="7"/>
    </row>
    <row r="13" spans="5:7">
      <c r="E13" s="7" t="s">
        <v>104</v>
      </c>
      <c r="F13" s="7">
        <f>F12*F12</f>
        <v>0.94941066068424951</v>
      </c>
      <c r="G13" s="7"/>
    </row>
    <row r="19" spans="5:19" ht="19">
      <c r="S19" s="48"/>
    </row>
    <row r="27" spans="5:19">
      <c r="E27" s="7"/>
    </row>
    <row r="28" spans="5:19">
      <c r="E28" s="10"/>
    </row>
    <row r="29" spans="5:19">
      <c r="E29" s="7"/>
    </row>
    <row r="31" spans="5:19">
      <c r="F31" s="47" t="s">
        <v>273</v>
      </c>
      <c r="G31" s="47" t="s">
        <v>332</v>
      </c>
    </row>
    <row r="32" spans="5:19">
      <c r="E32" s="9" t="s">
        <v>105</v>
      </c>
      <c r="F32" s="85">
        <f>'EV-EBITDA'!I50</f>
        <v>3.4822373400000002</v>
      </c>
      <c r="G32" s="51">
        <f>AMEX!N6</f>
        <v>3.5400885452471664E-2</v>
      </c>
    </row>
    <row r="33" spans="5:7">
      <c r="E33" s="9" t="s">
        <v>106</v>
      </c>
      <c r="F33" s="85">
        <f>'EV-EBITDA'!F14</f>
        <v>24.329474399999999</v>
      </c>
      <c r="G33" s="51">
        <f>'VISA INC'!N6</f>
        <v>0.1099941364909276</v>
      </c>
    </row>
    <row r="34" spans="5:7">
      <c r="E34" s="9" t="s">
        <v>107</v>
      </c>
      <c r="F34" s="85">
        <f>'EV-EBITDA'!G14</f>
        <v>27.115352399999999</v>
      </c>
      <c r="G34" s="51">
        <f>Mastercard!N6</f>
        <v>0.11064169907960064</v>
      </c>
    </row>
    <row r="35" spans="5:7">
      <c r="E35" s="9" t="s">
        <v>108</v>
      </c>
      <c r="F35" s="85">
        <f>'EV-EBITDA'!H14</f>
        <v>34.899130200000002</v>
      </c>
      <c r="G35" s="51">
        <f>PayPal!I6</f>
        <v>0.12938043716453462</v>
      </c>
    </row>
    <row r="37" spans="5:7">
      <c r="E37" s="7" t="s">
        <v>101</v>
      </c>
      <c r="F37" s="7">
        <f>SLOPE(G32:G35,F32:F35)</f>
        <v>3.0730003403510288E-3</v>
      </c>
    </row>
    <row r="38" spans="5:7">
      <c r="E38" s="7" t="s">
        <v>102</v>
      </c>
      <c r="F38" s="7">
        <f>INTERCEPT(G32:G35,F32:F35)</f>
        <v>2.7345308102069213E-2</v>
      </c>
    </row>
    <row r="39" spans="5:7">
      <c r="E39" s="7" t="s">
        <v>103</v>
      </c>
      <c r="F39" s="7">
        <f>CORREL(G32:G35,F32:F35)</f>
        <v>0.99068985326605252</v>
      </c>
    </row>
    <row r="40" spans="5:7">
      <c r="E40" s="7" t="s">
        <v>104</v>
      </c>
      <c r="F40" s="7">
        <f>F39*F39</f>
        <v>0.98146638536431263</v>
      </c>
    </row>
    <row r="48" spans="5:7">
      <c r="F48" s="47" t="s">
        <v>366</v>
      </c>
      <c r="G48" s="47" t="s">
        <v>365</v>
      </c>
    </row>
    <row r="49" spans="5:7">
      <c r="E49" s="9" t="s">
        <v>105</v>
      </c>
      <c r="F49" s="49">
        <v>3</v>
      </c>
      <c r="G49" s="50">
        <v>11.5</v>
      </c>
    </row>
    <row r="50" spans="5:7">
      <c r="E50" s="9" t="s">
        <v>106</v>
      </c>
      <c r="F50" s="49">
        <v>24</v>
      </c>
      <c r="G50" s="50">
        <v>31.9</v>
      </c>
    </row>
    <row r="51" spans="5:7">
      <c r="E51" s="9" t="s">
        <v>107</v>
      </c>
      <c r="F51" s="49">
        <v>27</v>
      </c>
      <c r="G51" s="50">
        <v>34.1</v>
      </c>
    </row>
    <row r="52" spans="5:7">
      <c r="E52" s="9" t="s">
        <v>108</v>
      </c>
      <c r="F52" s="49">
        <v>35</v>
      </c>
      <c r="G52" s="50">
        <v>50.8</v>
      </c>
    </row>
    <row r="54" spans="5:7">
      <c r="E54" s="7" t="s">
        <v>101</v>
      </c>
      <c r="F54" s="7">
        <f>SLOPE(G49:G52,F49:F52)</f>
        <v>1.1527964205816554</v>
      </c>
    </row>
    <row r="55" spans="5:7">
      <c r="E55" s="7" t="s">
        <v>102</v>
      </c>
      <c r="F55" s="7">
        <f>INTERCEPT(G49:G52,F49:F52)</f>
        <v>6.4252796420581682</v>
      </c>
    </row>
    <row r="56" spans="5:7">
      <c r="E56" s="7" t="s">
        <v>103</v>
      </c>
      <c r="F56" s="7">
        <f>CORREL(G49:G52,F49:F52)</f>
        <v>0.97689338362270051</v>
      </c>
    </row>
    <row r="57" spans="5:7">
      <c r="E57" s="7" t="s">
        <v>104</v>
      </c>
      <c r="F57" s="7">
        <f>F56*F56</f>
        <v>0.95432068296580874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D4:K16"/>
  <sheetViews>
    <sheetView showGridLines="0" zoomScale="120" zoomScaleNormal="120" workbookViewId="0">
      <selection activeCell="D4" sqref="D4:J10"/>
    </sheetView>
  </sheetViews>
  <sheetFormatPr baseColWidth="10" defaultColWidth="10.83203125" defaultRowHeight="15"/>
  <cols>
    <col min="4" max="4" width="16.83203125" customWidth="1"/>
  </cols>
  <sheetData>
    <row r="4" spans="4:11" ht="16" thickBot="1">
      <c r="E4" s="265" t="s">
        <v>473</v>
      </c>
      <c r="F4" s="265"/>
      <c r="G4" s="265"/>
      <c r="H4" s="265"/>
      <c r="I4" s="265"/>
    </row>
    <row r="5" spans="4:11" ht="17" thickTop="1" thickBot="1">
      <c r="D5" s="94" t="s">
        <v>455</v>
      </c>
      <c r="E5" s="93" t="s">
        <v>456</v>
      </c>
      <c r="F5" s="93" t="s">
        <v>457</v>
      </c>
      <c r="G5" s="93" t="s">
        <v>458</v>
      </c>
      <c r="H5" s="93" t="s">
        <v>459</v>
      </c>
      <c r="I5" s="93" t="s">
        <v>460</v>
      </c>
      <c r="J5" s="93" t="s">
        <v>461</v>
      </c>
    </row>
    <row r="6" spans="4:11" ht="17" thickTop="1" thickBot="1">
      <c r="D6" s="93" t="s">
        <v>463</v>
      </c>
      <c r="E6" s="117">
        <v>0.94799999999999995</v>
      </c>
      <c r="F6" s="117">
        <v>0.3</v>
      </c>
      <c r="G6" s="117">
        <v>0.20300000000000001</v>
      </c>
      <c r="H6" s="117">
        <v>8.6999999999999994E-2</v>
      </c>
      <c r="I6" s="117">
        <v>0.26700000000000002</v>
      </c>
      <c r="J6" s="117">
        <v>8.4000000000000005E-2</v>
      </c>
    </row>
    <row r="7" spans="4:11" ht="17" thickTop="1" thickBot="1">
      <c r="D7" s="93" t="s">
        <v>106</v>
      </c>
      <c r="E7" s="117">
        <v>1.8759999999999999</v>
      </c>
      <c r="F7" s="117">
        <v>0.45800000000000002</v>
      </c>
      <c r="G7" s="117">
        <v>8.6999999999999994E-2</v>
      </c>
      <c r="H7" s="117">
        <v>0.01</v>
      </c>
      <c r="I7" s="117">
        <v>0.17699999999999999</v>
      </c>
      <c r="J7" s="117">
        <v>5.6000000000000001E-2</v>
      </c>
    </row>
    <row r="8" spans="4:11" ht="17" thickTop="1" thickBot="1">
      <c r="D8" s="93" t="s">
        <v>107</v>
      </c>
      <c r="E8" s="117">
        <v>2.1720000000000002</v>
      </c>
      <c r="F8" s="117">
        <v>0.49</v>
      </c>
      <c r="G8" s="117">
        <v>7.4999999999999997E-2</v>
      </c>
      <c r="H8" s="117">
        <v>-2.8000000000000001E-2</v>
      </c>
      <c r="I8" s="117">
        <v>0.2</v>
      </c>
      <c r="J8" s="117">
        <v>6.3E-2</v>
      </c>
    </row>
    <row r="9" spans="4:11" ht="17" thickTop="1" thickBot="1">
      <c r="D9" s="93" t="s">
        <v>387</v>
      </c>
      <c r="E9" s="117">
        <v>0.28999999999999998</v>
      </c>
      <c r="F9" s="117">
        <v>-1.4999999999999999E-2</v>
      </c>
      <c r="G9" s="117">
        <v>-0.24099999999999999</v>
      </c>
      <c r="H9" s="117">
        <v>-0.24299999999999999</v>
      </c>
      <c r="I9" s="117">
        <v>9.7000000000000003E-2</v>
      </c>
      <c r="J9" s="117">
        <v>0.124</v>
      </c>
    </row>
    <row r="10" spans="4:11" ht="17" thickTop="1" thickBot="1">
      <c r="D10" s="93" t="s">
        <v>108</v>
      </c>
      <c r="E10" s="117" t="s">
        <v>462</v>
      </c>
      <c r="F10" s="117">
        <v>1.052</v>
      </c>
      <c r="G10" s="117">
        <v>0.47099999999999997</v>
      </c>
      <c r="H10" s="117">
        <v>0.57999999999999996</v>
      </c>
      <c r="I10" s="117">
        <v>0.78500000000000003</v>
      </c>
      <c r="J10" s="117">
        <v>0.21199999999999999</v>
      </c>
    </row>
    <row r="11" spans="4:11" ht="16" thickTop="1"/>
    <row r="15" spans="4:11">
      <c r="E15" s="115"/>
      <c r="F15" s="116"/>
      <c r="G15" s="116"/>
      <c r="H15" s="116"/>
      <c r="I15" s="116"/>
      <c r="J15" s="116"/>
      <c r="K15" s="116"/>
    </row>
    <row r="16" spans="4:11">
      <c r="E16" s="115"/>
      <c r="F16" s="116"/>
      <c r="G16" s="116"/>
      <c r="H16" s="116"/>
      <c r="I16" s="116"/>
      <c r="J16" s="116"/>
      <c r="K16" s="116"/>
    </row>
  </sheetData>
  <mergeCells count="1">
    <mergeCell ref="E4:I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4:P25"/>
  <sheetViews>
    <sheetView showGridLines="0" zoomScaleNormal="100" workbookViewId="0">
      <selection activeCell="E12" sqref="E12:L17"/>
    </sheetView>
  </sheetViews>
  <sheetFormatPr baseColWidth="10" defaultColWidth="10.83203125" defaultRowHeight="15"/>
  <cols>
    <col min="6" max="6" width="8.33203125" customWidth="1"/>
    <col min="7" max="7" width="9.83203125" customWidth="1"/>
    <col min="8" max="8" width="11.33203125" customWidth="1"/>
    <col min="9" max="9" width="13.1640625" customWidth="1"/>
    <col min="10" max="10" width="12" customWidth="1"/>
    <col min="11" max="11" width="15.6640625" customWidth="1"/>
    <col min="12" max="12" width="20.5" customWidth="1"/>
    <col min="13" max="13" width="18.6640625" customWidth="1"/>
  </cols>
  <sheetData>
    <row r="4" spans="5:13">
      <c r="E4" s="25" t="s">
        <v>277</v>
      </c>
      <c r="F4" s="22" t="s">
        <v>272</v>
      </c>
      <c r="G4" s="22" t="s">
        <v>271</v>
      </c>
      <c r="H4" s="22" t="s">
        <v>276</v>
      </c>
      <c r="I4" s="22" t="s">
        <v>270</v>
      </c>
      <c r="J4" s="23" t="s">
        <v>273</v>
      </c>
      <c r="K4" s="23" t="s">
        <v>274</v>
      </c>
      <c r="L4" s="23" t="s">
        <v>275</v>
      </c>
      <c r="M4" s="16"/>
    </row>
    <row r="5" spans="5:13">
      <c r="E5" s="24" t="s">
        <v>269</v>
      </c>
      <c r="F5" s="17">
        <f>'VISA INC'!L25</f>
        <v>22977</v>
      </c>
      <c r="G5" s="18">
        <f>'VISA INC'!R36</f>
        <v>0</v>
      </c>
      <c r="H5" s="19" t="str">
        <f>VS!I5</f>
        <v>373.58B</v>
      </c>
      <c r="I5" s="19">
        <f>VS!D14</f>
        <v>31.94</v>
      </c>
      <c r="J5" s="20">
        <f>VS!I13</f>
        <v>23.4</v>
      </c>
      <c r="K5" s="20">
        <f>VS!I9</f>
        <v>2.15</v>
      </c>
      <c r="L5" s="20">
        <f>VS!I8</f>
        <v>30.67</v>
      </c>
      <c r="M5" s="16"/>
    </row>
    <row r="6" spans="5:13">
      <c r="E6" s="24" t="s">
        <v>107</v>
      </c>
      <c r="F6" s="17">
        <f>Mastercard!L22</f>
        <v>16883</v>
      </c>
      <c r="G6" s="18">
        <f>Mastercard!Q39</f>
        <v>0</v>
      </c>
      <c r="H6" s="19" t="str">
        <f>MC!I5</f>
        <v>260.40B</v>
      </c>
      <c r="I6" s="19">
        <f>MC!D14</f>
        <v>34.119999999999997</v>
      </c>
      <c r="J6" s="20">
        <f>MC!I13</f>
        <v>24.94</v>
      </c>
      <c r="K6" s="20">
        <f>MC!I9</f>
        <v>2.2400000000000002</v>
      </c>
      <c r="L6" s="20">
        <f>MC!I8</f>
        <v>33.44</v>
      </c>
      <c r="M6" s="16"/>
    </row>
    <row r="7" spans="5:13">
      <c r="E7" s="24" t="s">
        <v>108</v>
      </c>
      <c r="F7" s="17">
        <f>PayPal!H22</f>
        <v>17772</v>
      </c>
      <c r="G7" s="18">
        <f>PayPal!P32</f>
        <v>2576</v>
      </c>
      <c r="H7" s="19" t="str">
        <f>PYPL!I5</f>
        <v>117.62B</v>
      </c>
      <c r="I7" s="19">
        <f>PYPL!D14</f>
        <v>50.75</v>
      </c>
      <c r="J7" s="20">
        <f>PYPL!I13</f>
        <v>27.78</v>
      </c>
      <c r="K7" s="20">
        <f>PYPL!I9</f>
        <v>1.93</v>
      </c>
      <c r="L7" s="20">
        <f>PYPL!I8</f>
        <v>29.24</v>
      </c>
      <c r="M7" s="16"/>
    </row>
    <row r="8" spans="5:13">
      <c r="E8" s="24" t="s">
        <v>268</v>
      </c>
      <c r="F8" s="17">
        <f>AMEX!L22</f>
        <v>42126</v>
      </c>
      <c r="G8" s="18">
        <f>AMEX!Q32</f>
        <v>0</v>
      </c>
      <c r="H8" s="19" t="str">
        <f>AXP!I5</f>
        <v>70.57B</v>
      </c>
      <c r="I8" s="19">
        <f>AXP!D14</f>
        <v>11.52</v>
      </c>
      <c r="J8" s="21" t="str">
        <f>AXP!I13</f>
        <v>N/A</v>
      </c>
      <c r="K8" s="20">
        <f>AXP!I9</f>
        <v>1.07</v>
      </c>
      <c r="L8" s="20">
        <f>AXP!I8</f>
        <v>11.52</v>
      </c>
      <c r="M8" s="16"/>
    </row>
    <row r="9" spans="5:13">
      <c r="M9" s="16"/>
    </row>
    <row r="10" spans="5:13">
      <c r="E10" s="16"/>
      <c r="F10" s="16"/>
      <c r="G10" s="16"/>
      <c r="H10" s="16"/>
      <c r="I10" s="16"/>
      <c r="J10" s="16"/>
      <c r="K10" s="16"/>
      <c r="L10" s="16"/>
      <c r="M10" s="16"/>
    </row>
    <row r="11" spans="5:13" ht="16" thickBot="1"/>
    <row r="12" spans="5:13" ht="17" thickTop="1" thickBot="1">
      <c r="I12" s="266" t="s">
        <v>465</v>
      </c>
      <c r="J12" s="266"/>
      <c r="K12" s="266"/>
      <c r="L12" s="266"/>
    </row>
    <row r="13" spans="5:13" ht="16" thickTop="1">
      <c r="E13" s="25" t="s">
        <v>277</v>
      </c>
      <c r="F13" s="22" t="s">
        <v>270</v>
      </c>
      <c r="G13" s="23" t="s">
        <v>273</v>
      </c>
      <c r="H13" s="22" t="s">
        <v>469</v>
      </c>
      <c r="I13" s="96" t="s">
        <v>464</v>
      </c>
      <c r="J13" s="96" t="s">
        <v>95</v>
      </c>
      <c r="K13" s="96" t="s">
        <v>97</v>
      </c>
      <c r="L13" s="90" t="s">
        <v>472</v>
      </c>
    </row>
    <row r="14" spans="5:13">
      <c r="E14" s="97" t="s">
        <v>269</v>
      </c>
      <c r="F14" s="95">
        <v>34.07</v>
      </c>
      <c r="G14" s="95">
        <v>26.42</v>
      </c>
      <c r="H14" s="107">
        <f>VS!I49</f>
        <v>0.52600000000000002</v>
      </c>
      <c r="I14" s="106">
        <f>'VISA INC'!N4</f>
        <v>0.10383341291347525</v>
      </c>
      <c r="J14" s="106">
        <f>'VISA INC'!N6</f>
        <v>0.1099941364909276</v>
      </c>
      <c r="K14" s="106">
        <f>'VISA INC'!N8</f>
        <v>0.14227662187979639</v>
      </c>
      <c r="L14" s="106">
        <f>'VISA INC'!N17</f>
        <v>0.64884655172268846</v>
      </c>
    </row>
    <row r="15" spans="5:13">
      <c r="E15" s="24" t="s">
        <v>107</v>
      </c>
      <c r="F15" s="95">
        <v>36.979999999999997</v>
      </c>
      <c r="G15" s="95">
        <v>29.18</v>
      </c>
      <c r="H15" s="107">
        <f>MC!I49</f>
        <v>0.48080000000000001</v>
      </c>
      <c r="I15" s="106">
        <f>Mastercard!N4</f>
        <v>0.10172178515065111</v>
      </c>
      <c r="J15" s="106">
        <f>Mastercard!N6</f>
        <v>0.11064169907960064</v>
      </c>
      <c r="K15" s="106">
        <f>Mastercard!N8</f>
        <v>0.14423902710266812</v>
      </c>
      <c r="L15" s="106">
        <f>Mastercard!N17</f>
        <v>0.83126001416564621</v>
      </c>
    </row>
    <row r="16" spans="5:13">
      <c r="E16" s="24" t="s">
        <v>108</v>
      </c>
      <c r="F16" s="95">
        <v>108</v>
      </c>
      <c r="G16" s="95">
        <v>54.89</v>
      </c>
      <c r="H16" s="107">
        <f>PYPL!I49</f>
        <v>0.1384</v>
      </c>
      <c r="I16" s="106">
        <f>PayPal!I4</f>
        <v>0.14169091169634185</v>
      </c>
      <c r="J16" s="106">
        <f>PayPal!I6</f>
        <v>0.12938043716453462</v>
      </c>
      <c r="K16" s="106">
        <f>PayPal!I8</f>
        <v>0.34304557705580563</v>
      </c>
      <c r="L16" s="106">
        <f>PayPal!I17</f>
        <v>0.87044767144643775</v>
      </c>
    </row>
    <row r="17" spans="5:16">
      <c r="E17" s="24" t="s">
        <v>268</v>
      </c>
      <c r="F17" s="95">
        <v>14.09</v>
      </c>
      <c r="G17" s="95">
        <v>4</v>
      </c>
      <c r="H17" s="107">
        <f>AXP!I49</f>
        <v>0.1691</v>
      </c>
      <c r="I17" s="106">
        <f>AMEX!N4</f>
        <v>3.5410952699532983E-2</v>
      </c>
      <c r="J17" s="106">
        <f>AMEX!N6</f>
        <v>3.5400885452471664E-2</v>
      </c>
      <c r="K17" s="106">
        <f>AMEX!N8</f>
        <v>1.5133671519258263E-2</v>
      </c>
      <c r="L17" s="106">
        <f>AMEX!N17</f>
        <v>1.0060674071554594</v>
      </c>
    </row>
    <row r="19" spans="5:16" ht="16" thickBot="1">
      <c r="J19" s="28"/>
      <c r="K19" s="28"/>
      <c r="L19" s="28"/>
      <c r="M19" s="28"/>
      <c r="N19" s="28"/>
      <c r="O19" s="28"/>
      <c r="P19" s="28"/>
    </row>
    <row r="20" spans="5:16" ht="17" thickTop="1" thickBot="1">
      <c r="J20" s="266" t="s">
        <v>465</v>
      </c>
      <c r="K20" s="266"/>
      <c r="L20" s="266"/>
      <c r="M20" s="266"/>
      <c r="N20" s="114"/>
      <c r="O20" s="114"/>
      <c r="P20" s="114"/>
    </row>
    <row r="21" spans="5:16" ht="16" thickTop="1">
      <c r="H21" s="25" t="s">
        <v>277</v>
      </c>
      <c r="I21" s="113" t="s">
        <v>469</v>
      </c>
      <c r="J21" s="96" t="s">
        <v>464</v>
      </c>
      <c r="K21" s="96" t="s">
        <v>95</v>
      </c>
      <c r="L21" s="96" t="s">
        <v>97</v>
      </c>
      <c r="M21" s="90" t="s">
        <v>472</v>
      </c>
      <c r="N21" s="114"/>
      <c r="O21" s="114"/>
      <c r="P21" s="114"/>
    </row>
    <row r="22" spans="5:16">
      <c r="H22" s="97" t="s">
        <v>269</v>
      </c>
      <c r="I22" s="107">
        <f>H14</f>
        <v>0.52600000000000002</v>
      </c>
      <c r="J22" s="106">
        <f>I14</f>
        <v>0.10383341291347525</v>
      </c>
      <c r="K22" s="106">
        <f t="shared" ref="K22:M23" si="0">J14</f>
        <v>0.1099941364909276</v>
      </c>
      <c r="L22" s="106">
        <f t="shared" si="0"/>
        <v>0.14227662187979639</v>
      </c>
      <c r="M22" s="106">
        <f t="shared" si="0"/>
        <v>0.64884655172268846</v>
      </c>
      <c r="N22" s="114"/>
      <c r="O22" s="114"/>
      <c r="P22" s="114"/>
    </row>
    <row r="23" spans="5:16">
      <c r="H23" s="24" t="s">
        <v>107</v>
      </c>
      <c r="I23" s="107">
        <f>H15</f>
        <v>0.48080000000000001</v>
      </c>
      <c r="J23" s="106">
        <f>I15</f>
        <v>0.10172178515065111</v>
      </c>
      <c r="K23" s="106">
        <f t="shared" si="0"/>
        <v>0.11064169907960064</v>
      </c>
      <c r="L23" s="106">
        <f t="shared" si="0"/>
        <v>0.14423902710266812</v>
      </c>
      <c r="M23" s="106">
        <f t="shared" si="0"/>
        <v>0.83126001416564621</v>
      </c>
      <c r="N23" s="114"/>
      <c r="O23" s="114"/>
      <c r="P23" s="114"/>
    </row>
    <row r="24" spans="5:16">
      <c r="J24" s="106"/>
      <c r="K24" s="106"/>
      <c r="L24" s="106"/>
      <c r="M24" s="106"/>
      <c r="N24" s="114"/>
      <c r="O24" s="114"/>
      <c r="P24" s="114"/>
    </row>
    <row r="25" spans="5:16">
      <c r="J25" s="106"/>
      <c r="K25" s="106"/>
      <c r="L25" s="106"/>
      <c r="M25" s="106"/>
    </row>
  </sheetData>
  <mergeCells count="2">
    <mergeCell ref="I12:L12"/>
    <mergeCell ref="J20:M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9"/>
  <sheetViews>
    <sheetView showGridLines="0" topLeftCell="J16" zoomScale="90" zoomScaleNormal="90" workbookViewId="0">
      <selection activeCell="Q51" sqref="Q51"/>
    </sheetView>
  </sheetViews>
  <sheetFormatPr baseColWidth="10" defaultColWidth="10.83203125" defaultRowHeight="15"/>
  <cols>
    <col min="1" max="1" width="1.83203125" customWidth="1"/>
    <col min="2" max="2" width="42" customWidth="1"/>
    <col min="3" max="12" width="10.6640625" customWidth="1"/>
    <col min="13" max="13" width="11.33203125" customWidth="1"/>
    <col min="14" max="14" width="9.83203125" customWidth="1"/>
    <col min="16" max="16" width="26.33203125" customWidth="1"/>
    <col min="17" max="17" width="6" customWidth="1"/>
    <col min="18" max="18" width="9.1640625" customWidth="1"/>
    <col min="19" max="19" width="8.83203125" customWidth="1"/>
    <col min="20" max="20" width="9.33203125" customWidth="1"/>
    <col min="37" max="37" width="11.1640625" bestFit="1" customWidth="1"/>
  </cols>
  <sheetData>
    <row r="1" spans="1:38" ht="16" thickBot="1">
      <c r="A1" s="3" t="s">
        <v>0</v>
      </c>
      <c r="B1" s="259" t="s">
        <v>107</v>
      </c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</row>
    <row r="2" spans="1:38" ht="18" thickTop="1" thickBot="1">
      <c r="A2" s="2"/>
      <c r="C2" s="69" t="s">
        <v>3</v>
      </c>
      <c r="D2" s="69" t="s">
        <v>4</v>
      </c>
      <c r="E2" s="69" t="s">
        <v>5</v>
      </c>
      <c r="F2" s="69" t="s">
        <v>6</v>
      </c>
      <c r="G2" s="69" t="s">
        <v>7</v>
      </c>
      <c r="H2" s="69" t="s">
        <v>8</v>
      </c>
      <c r="I2" s="69" t="s">
        <v>9</v>
      </c>
      <c r="J2" s="69" t="s">
        <v>10</v>
      </c>
      <c r="K2" s="69" t="s">
        <v>11</v>
      </c>
      <c r="L2" s="69" t="s">
        <v>12</v>
      </c>
      <c r="M2" s="81" t="s">
        <v>467</v>
      </c>
      <c r="N2" s="81" t="s">
        <v>466</v>
      </c>
      <c r="P2" s="125" t="s">
        <v>482</v>
      </c>
      <c r="Q2" s="125"/>
      <c r="R2" s="126" t="s">
        <v>7</v>
      </c>
      <c r="S2" s="126" t="s">
        <v>8</v>
      </c>
      <c r="T2" s="126" t="s">
        <v>9</v>
      </c>
      <c r="U2" s="126" t="s">
        <v>10</v>
      </c>
      <c r="V2" s="126" t="s">
        <v>11</v>
      </c>
      <c r="W2" s="126" t="s">
        <v>12</v>
      </c>
      <c r="X2" s="126" t="s">
        <v>474</v>
      </c>
      <c r="Y2" s="126" t="s">
        <v>475</v>
      </c>
      <c r="Z2" s="126" t="s">
        <v>476</v>
      </c>
      <c r="AA2" s="126" t="s">
        <v>490</v>
      </c>
      <c r="AB2" s="126" t="s">
        <v>491</v>
      </c>
      <c r="AC2" s="126" t="s">
        <v>531</v>
      </c>
      <c r="AD2" s="126" t="s">
        <v>532</v>
      </c>
      <c r="AE2" s="126" t="s">
        <v>533</v>
      </c>
      <c r="AF2" s="126" t="s">
        <v>534</v>
      </c>
      <c r="AH2" s="121" t="s">
        <v>499</v>
      </c>
      <c r="AI2" s="122"/>
      <c r="AJ2" s="122"/>
      <c r="AK2" s="122" t="s">
        <v>515</v>
      </c>
    </row>
    <row r="3" spans="1:38" ht="18" thickTop="1" thickBot="1">
      <c r="A3" s="2"/>
      <c r="B3" s="78" t="s">
        <v>447</v>
      </c>
      <c r="C3" s="79">
        <f>C22</f>
        <v>5539</v>
      </c>
      <c r="D3" s="79">
        <f t="shared" ref="D3:L3" si="0">D22</f>
        <v>6714</v>
      </c>
      <c r="E3" s="79">
        <f t="shared" si="0"/>
        <v>7391</v>
      </c>
      <c r="F3" s="79">
        <f t="shared" si="0"/>
        <v>8312</v>
      </c>
      <c r="G3" s="79">
        <f t="shared" si="0"/>
        <v>9441</v>
      </c>
      <c r="H3" s="79">
        <f t="shared" si="0"/>
        <v>9667</v>
      </c>
      <c r="I3" s="79">
        <f t="shared" si="0"/>
        <v>10776</v>
      </c>
      <c r="J3" s="79">
        <f t="shared" si="0"/>
        <v>12497</v>
      </c>
      <c r="K3" s="79">
        <f t="shared" si="0"/>
        <v>14950</v>
      </c>
      <c r="L3" s="79">
        <f t="shared" si="0"/>
        <v>16883</v>
      </c>
      <c r="M3" s="82"/>
      <c r="N3" s="98"/>
      <c r="P3" s="145" t="s">
        <v>447</v>
      </c>
      <c r="Q3" s="145"/>
      <c r="R3" s="146">
        <f>G22</f>
        <v>9441</v>
      </c>
      <c r="S3" s="146">
        <f t="shared" ref="S3:W3" si="1">H22</f>
        <v>9667</v>
      </c>
      <c r="T3" s="146">
        <f t="shared" si="1"/>
        <v>10776</v>
      </c>
      <c r="U3" s="146">
        <f t="shared" si="1"/>
        <v>12497</v>
      </c>
      <c r="V3" s="146">
        <f t="shared" si="1"/>
        <v>14950</v>
      </c>
      <c r="W3" s="146">
        <f t="shared" si="1"/>
        <v>16883</v>
      </c>
      <c r="X3" s="147">
        <f>W3*(1+$X$4)</f>
        <v>18908.960000000003</v>
      </c>
      <c r="Y3" s="147">
        <f>X3*(1+X4)</f>
        <v>21178.035200000006</v>
      </c>
      <c r="Z3" s="147">
        <f t="shared" ref="Z3:AF3" si="2">Y3*(1+Y4)</f>
        <v>23719.39942400001</v>
      </c>
      <c r="AA3" s="147">
        <f t="shared" si="2"/>
        <v>26565.727354880015</v>
      </c>
      <c r="AB3" s="147">
        <f t="shared" si="2"/>
        <v>28690.985543270417</v>
      </c>
      <c r="AC3" s="147">
        <f t="shared" si="2"/>
        <v>30986.264386732051</v>
      </c>
      <c r="AD3" s="147">
        <f t="shared" si="2"/>
        <v>33465.165537670619</v>
      </c>
      <c r="AE3" s="147">
        <f t="shared" si="2"/>
        <v>34803.772159177446</v>
      </c>
      <c r="AF3" s="147">
        <f t="shared" si="2"/>
        <v>36195.923045544543</v>
      </c>
      <c r="AH3" s="2" t="s">
        <v>500</v>
      </c>
      <c r="AK3" s="165">
        <v>8.3000000000000001E-3</v>
      </c>
    </row>
    <row r="4" spans="1:38" ht="17" thickTop="1">
      <c r="A4" s="2"/>
      <c r="B4" s="70" t="s">
        <v>446</v>
      </c>
      <c r="C4" s="71"/>
      <c r="D4" s="72">
        <f>(D3-C3)/C3</f>
        <v>0.21213215381837877</v>
      </c>
      <c r="E4" s="72">
        <f t="shared" ref="E4:L4" si="3">(E3-D3)/D3</f>
        <v>0.1008340780458743</v>
      </c>
      <c r="F4" s="72">
        <f t="shared" si="3"/>
        <v>0.12461101339466919</v>
      </c>
      <c r="G4" s="72">
        <f t="shared" si="3"/>
        <v>0.13582771896053897</v>
      </c>
      <c r="H4" s="72">
        <f t="shared" si="3"/>
        <v>2.3938142145959115E-2</v>
      </c>
      <c r="I4" s="72">
        <f t="shared" si="3"/>
        <v>0.1147201820626875</v>
      </c>
      <c r="J4" s="72">
        <f t="shared" si="3"/>
        <v>0.15970675575352636</v>
      </c>
      <c r="K4" s="72">
        <f t="shared" si="3"/>
        <v>0.19628710890613749</v>
      </c>
      <c r="L4" s="72">
        <f t="shared" si="3"/>
        <v>0.12929765886287625</v>
      </c>
      <c r="M4" s="99">
        <f>(L3/C3)^(1/10)-1</f>
        <v>0.1178970897191205</v>
      </c>
      <c r="N4" s="100">
        <f>(L3/G3)^(1/6)-1</f>
        <v>0.10172178515065111</v>
      </c>
      <c r="P4" s="148" t="s">
        <v>477</v>
      </c>
      <c r="Q4" s="149"/>
      <c r="R4" s="150"/>
      <c r="S4" s="151">
        <f>(S3-R3)/R3</f>
        <v>2.3938142145959115E-2</v>
      </c>
      <c r="T4" s="151">
        <f t="shared" ref="T4:W4" si="4">(T3-S3)/S3</f>
        <v>0.1147201820626875</v>
      </c>
      <c r="U4" s="151">
        <f t="shared" si="4"/>
        <v>0.15970675575352636</v>
      </c>
      <c r="V4" s="151">
        <f t="shared" si="4"/>
        <v>0.19628710890613749</v>
      </c>
      <c r="W4" s="151">
        <f t="shared" si="4"/>
        <v>0.12929765886287625</v>
      </c>
      <c r="X4" s="164">
        <v>0.12</v>
      </c>
      <c r="Y4" s="151">
        <f>X4</f>
        <v>0.12</v>
      </c>
      <c r="Z4" s="151">
        <f t="shared" ref="Z4:AF4" si="5">Y4</f>
        <v>0.12</v>
      </c>
      <c r="AA4" s="164">
        <v>0.08</v>
      </c>
      <c r="AB4" s="151">
        <f t="shared" si="5"/>
        <v>0.08</v>
      </c>
      <c r="AC4" s="151">
        <f t="shared" si="5"/>
        <v>0.08</v>
      </c>
      <c r="AD4" s="164">
        <v>0.04</v>
      </c>
      <c r="AE4" s="151">
        <f t="shared" si="5"/>
        <v>0.04</v>
      </c>
      <c r="AF4" s="151">
        <f t="shared" si="5"/>
        <v>0.04</v>
      </c>
      <c r="AG4" s="67"/>
      <c r="AH4" s="67" t="s">
        <v>501</v>
      </c>
      <c r="AI4" s="67"/>
      <c r="AJ4" s="67"/>
      <c r="AK4" s="165">
        <v>5.6000000000000001E-2</v>
      </c>
      <c r="AL4" s="67"/>
    </row>
    <row r="5" spans="1:38" ht="17" thickBot="1">
      <c r="A5" s="2"/>
      <c r="B5" s="75" t="s">
        <v>267</v>
      </c>
      <c r="C5" s="77">
        <f>C26+C69</f>
        <v>2900</v>
      </c>
      <c r="D5" s="77">
        <f t="shared" ref="D5:L5" si="6">D26+D69</f>
        <v>3677</v>
      </c>
      <c r="E5" s="77">
        <f t="shared" si="6"/>
        <v>4187</v>
      </c>
      <c r="F5" s="77">
        <f t="shared" si="6"/>
        <v>4856</v>
      </c>
      <c r="G5" s="77">
        <f t="shared" si="6"/>
        <v>5427</v>
      </c>
      <c r="H5" s="77">
        <f t="shared" si="6"/>
        <v>5505</v>
      </c>
      <c r="I5" s="77">
        <f t="shared" si="6"/>
        <v>6251</v>
      </c>
      <c r="J5" s="77">
        <f t="shared" si="6"/>
        <v>7074</v>
      </c>
      <c r="K5" s="77">
        <f t="shared" si="6"/>
        <v>8869</v>
      </c>
      <c r="L5" s="77">
        <f t="shared" si="6"/>
        <v>10186</v>
      </c>
      <c r="M5" s="101"/>
      <c r="N5" s="102"/>
      <c r="P5" s="148"/>
      <c r="Q5" s="149"/>
      <c r="R5" s="150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K5" s="2"/>
    </row>
    <row r="6" spans="1:38" ht="18" thickTop="1" thickBot="1">
      <c r="A6" s="2"/>
      <c r="B6" s="70" t="s">
        <v>446</v>
      </c>
      <c r="C6" s="73"/>
      <c r="D6" s="72">
        <f>(D5-C5)/C5</f>
        <v>0.26793103448275862</v>
      </c>
      <c r="E6" s="72">
        <f t="shared" ref="E6:L6" si="7">(E5-D5)/D5</f>
        <v>0.13870002719608376</v>
      </c>
      <c r="F6" s="72">
        <f t="shared" si="7"/>
        <v>0.15978027227131597</v>
      </c>
      <c r="G6" s="72">
        <f t="shared" si="7"/>
        <v>0.11758649093904448</v>
      </c>
      <c r="H6" s="72">
        <f t="shared" si="7"/>
        <v>1.4372581536760642E-2</v>
      </c>
      <c r="I6" s="72">
        <f t="shared" si="7"/>
        <v>0.13551316984559492</v>
      </c>
      <c r="J6" s="72">
        <f t="shared" si="7"/>
        <v>0.13165893457046873</v>
      </c>
      <c r="K6" s="72">
        <f t="shared" si="7"/>
        <v>0.2537461125247385</v>
      </c>
      <c r="L6" s="72">
        <f t="shared" si="7"/>
        <v>0.14849475701882964</v>
      </c>
      <c r="M6" s="99">
        <f>(L5/C5)^(1/10)-1</f>
        <v>0.13386295739757892</v>
      </c>
      <c r="N6" s="100">
        <f>(L5/G5)^(1/6)-1</f>
        <v>0.11064169907960064</v>
      </c>
      <c r="P6" s="145" t="s">
        <v>267</v>
      </c>
      <c r="Q6" s="145"/>
      <c r="R6" s="146">
        <f>G26+G69</f>
        <v>5427</v>
      </c>
      <c r="S6" s="146">
        <f t="shared" ref="S6:W6" si="8">H26+H69</f>
        <v>5505</v>
      </c>
      <c r="T6" s="146">
        <f t="shared" si="8"/>
        <v>6251</v>
      </c>
      <c r="U6" s="146">
        <f t="shared" si="8"/>
        <v>7074</v>
      </c>
      <c r="V6" s="146">
        <f t="shared" si="8"/>
        <v>8869</v>
      </c>
      <c r="W6" s="146">
        <f t="shared" si="8"/>
        <v>10186</v>
      </c>
      <c r="X6" s="147">
        <f>W6*(1+$X$7)</f>
        <v>11408.320000000002</v>
      </c>
      <c r="Y6" s="147">
        <f>X6*(1+X7)</f>
        <v>12777.318400000004</v>
      </c>
      <c r="Z6" s="147">
        <f t="shared" ref="Z6:AF6" si="9">Y6*(1+Y7)</f>
        <v>14310.596608000005</v>
      </c>
      <c r="AA6" s="147">
        <f t="shared" si="9"/>
        <v>16027.868200960007</v>
      </c>
      <c r="AB6" s="147">
        <f t="shared" si="9"/>
        <v>17310.097657036808</v>
      </c>
      <c r="AC6" s="147">
        <f t="shared" si="9"/>
        <v>18694.905469599755</v>
      </c>
      <c r="AD6" s="147">
        <f t="shared" si="9"/>
        <v>20190.497907167737</v>
      </c>
      <c r="AE6" s="147">
        <f t="shared" si="9"/>
        <v>20998.117823454446</v>
      </c>
      <c r="AF6" s="147">
        <f t="shared" si="9"/>
        <v>21838.042536392626</v>
      </c>
      <c r="AG6" s="67"/>
      <c r="AH6" s="121" t="s">
        <v>502</v>
      </c>
      <c r="AI6" s="122"/>
      <c r="AJ6" s="122"/>
      <c r="AK6" s="166"/>
      <c r="AL6" s="67"/>
    </row>
    <row r="7" spans="1:38" ht="17" thickBot="1">
      <c r="A7" s="2"/>
      <c r="B7" s="75" t="s">
        <v>448</v>
      </c>
      <c r="C7" s="77">
        <f>C34</f>
        <v>1848</v>
      </c>
      <c r="D7" s="77">
        <f t="shared" ref="D7:K7" si="10">D34</f>
        <v>1906</v>
      </c>
      <c r="E7" s="77">
        <f t="shared" si="10"/>
        <v>2759</v>
      </c>
      <c r="F7" s="77">
        <f t="shared" si="10"/>
        <v>3116</v>
      </c>
      <c r="G7" s="77">
        <f t="shared" si="10"/>
        <v>3617</v>
      </c>
      <c r="H7" s="77">
        <f t="shared" si="10"/>
        <v>3808</v>
      </c>
      <c r="I7" s="77">
        <f t="shared" si="10"/>
        <v>4059</v>
      </c>
      <c r="J7" s="77">
        <f t="shared" si="10"/>
        <v>3915</v>
      </c>
      <c r="K7" s="77">
        <f t="shared" si="10"/>
        <v>5859</v>
      </c>
      <c r="L7" s="77">
        <f>L34</f>
        <v>8118</v>
      </c>
      <c r="M7" s="99"/>
      <c r="N7" s="102"/>
      <c r="P7" s="149" t="s">
        <v>477</v>
      </c>
      <c r="Q7" s="149"/>
      <c r="R7" s="152"/>
      <c r="S7" s="153">
        <f>(S6-R6)/R6</f>
        <v>1.4372581536760642E-2</v>
      </c>
      <c r="T7" s="153">
        <f t="shared" ref="T7:W7" si="11">(T6-S6)/S6</f>
        <v>0.13551316984559492</v>
      </c>
      <c r="U7" s="153">
        <f t="shared" si="11"/>
        <v>0.13165893457046873</v>
      </c>
      <c r="V7" s="153">
        <f t="shared" si="11"/>
        <v>0.2537461125247385</v>
      </c>
      <c r="W7" s="153">
        <f t="shared" si="11"/>
        <v>0.14849475701882964</v>
      </c>
      <c r="X7" s="164">
        <v>0.12</v>
      </c>
      <c r="Y7" s="153">
        <f>X7</f>
        <v>0.12</v>
      </c>
      <c r="Z7" s="153">
        <f t="shared" ref="Z7:AF7" si="12">Y7</f>
        <v>0.12</v>
      </c>
      <c r="AA7" s="164">
        <v>0.08</v>
      </c>
      <c r="AB7" s="153">
        <f t="shared" si="12"/>
        <v>0.08</v>
      </c>
      <c r="AC7" s="153">
        <f t="shared" si="12"/>
        <v>0.08</v>
      </c>
      <c r="AD7" s="164">
        <v>0.04</v>
      </c>
      <c r="AE7" s="153">
        <f t="shared" si="12"/>
        <v>0.04</v>
      </c>
      <c r="AF7" s="153">
        <f t="shared" si="12"/>
        <v>0.04</v>
      </c>
      <c r="AH7" s="2" t="s">
        <v>503</v>
      </c>
      <c r="AK7" s="2">
        <v>1.08</v>
      </c>
    </row>
    <row r="8" spans="1:38" ht="18" thickTop="1" thickBot="1">
      <c r="A8" s="2"/>
      <c r="B8" s="70" t="s">
        <v>446</v>
      </c>
      <c r="C8" s="74"/>
      <c r="D8" s="72">
        <f>(D7-C7)/C7</f>
        <v>3.1385281385281384E-2</v>
      </c>
      <c r="E8" s="72">
        <f t="shared" ref="E8:L8" si="13">(E7-D7)/D7</f>
        <v>0.44753410283315842</v>
      </c>
      <c r="F8" s="72">
        <f t="shared" si="13"/>
        <v>0.1293947082276187</v>
      </c>
      <c r="G8" s="72">
        <f t="shared" si="13"/>
        <v>0.16078305519897304</v>
      </c>
      <c r="H8" s="72">
        <f t="shared" si="13"/>
        <v>5.2806192977605748E-2</v>
      </c>
      <c r="I8" s="72">
        <f t="shared" si="13"/>
        <v>6.5913865546218489E-2</v>
      </c>
      <c r="J8" s="72">
        <f t="shared" si="13"/>
        <v>-3.5476718403547672E-2</v>
      </c>
      <c r="K8" s="72">
        <f t="shared" si="13"/>
        <v>0.49655172413793103</v>
      </c>
      <c r="L8" s="72">
        <f t="shared" si="13"/>
        <v>0.38556067588325654</v>
      </c>
      <c r="M8" s="103">
        <f>(L7/C7)^(1/10)-1</f>
        <v>0.15951055938995351</v>
      </c>
      <c r="N8" s="104">
        <f>(L7/G7)^(1/6)-1</f>
        <v>0.14423902710266812</v>
      </c>
      <c r="P8" s="149"/>
      <c r="Q8" s="149"/>
      <c r="R8" s="152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67"/>
      <c r="AH8" s="67" t="s">
        <v>504</v>
      </c>
      <c r="AI8" s="67"/>
      <c r="AJ8" s="67"/>
      <c r="AK8" s="120">
        <f>AK3+AK7* AK4</f>
        <v>6.8780000000000008E-2</v>
      </c>
      <c r="AL8" s="67"/>
    </row>
    <row r="9" spans="1:38" ht="17" thickTop="1">
      <c r="A9" s="2"/>
      <c r="B9" s="2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P9" s="127" t="s">
        <v>55</v>
      </c>
      <c r="R9" s="154">
        <f>-G69</f>
        <v>-321</v>
      </c>
      <c r="S9" s="154">
        <f t="shared" ref="S9:W9" si="14">-H69</f>
        <v>-366</v>
      </c>
      <c r="T9" s="154">
        <f t="shared" si="14"/>
        <v>-373</v>
      </c>
      <c r="U9" s="154">
        <f t="shared" si="14"/>
        <v>-437</v>
      </c>
      <c r="V9" s="154">
        <f t="shared" si="14"/>
        <v>-459</v>
      </c>
      <c r="W9" s="154">
        <f t="shared" si="14"/>
        <v>-522</v>
      </c>
      <c r="X9" s="244">
        <f>-X3*X10</f>
        <v>-756.35840000000007</v>
      </c>
      <c r="Y9" s="244">
        <f t="shared" ref="Y9:AF9" si="15">-Y3*Y10</f>
        <v>-847.1214080000002</v>
      </c>
      <c r="Z9" s="244">
        <f t="shared" si="15"/>
        <v>-948.77597696000043</v>
      </c>
      <c r="AA9" s="244">
        <f t="shared" si="15"/>
        <v>-1062.6290941952007</v>
      </c>
      <c r="AB9" s="244">
        <f t="shared" si="15"/>
        <v>-1147.6394217308168</v>
      </c>
      <c r="AC9" s="244">
        <f t="shared" si="15"/>
        <v>-1239.4505754692821</v>
      </c>
      <c r="AD9" s="244">
        <f t="shared" si="15"/>
        <v>-1338.6066215068247</v>
      </c>
      <c r="AE9" s="244">
        <f t="shared" si="15"/>
        <v>-1392.1508863670979</v>
      </c>
      <c r="AF9" s="244">
        <f t="shared" si="15"/>
        <v>-1447.8369218217817</v>
      </c>
      <c r="AH9" s="2" t="s">
        <v>505</v>
      </c>
      <c r="AK9" s="169">
        <v>305619</v>
      </c>
    </row>
    <row r="10" spans="1:38" ht="17" thickBot="1">
      <c r="A10" s="2"/>
      <c r="B10" s="75" t="s">
        <v>468</v>
      </c>
      <c r="C10" s="76">
        <f>C7/1710</f>
        <v>1.0807017543859649</v>
      </c>
      <c r="D10" s="76">
        <f t="shared" ref="D10:K10" si="16">D7/1710</f>
        <v>1.1146198830409357</v>
      </c>
      <c r="E10" s="76">
        <f t="shared" si="16"/>
        <v>1.6134502923976608</v>
      </c>
      <c r="F10" s="76">
        <f t="shared" si="16"/>
        <v>1.8222222222222222</v>
      </c>
      <c r="G10" s="76">
        <f t="shared" si="16"/>
        <v>2.1152046783625731</v>
      </c>
      <c r="H10" s="76">
        <f t="shared" si="16"/>
        <v>2.2269005847953216</v>
      </c>
      <c r="I10" s="76">
        <f t="shared" si="16"/>
        <v>2.3736842105263158</v>
      </c>
      <c r="J10" s="76">
        <f t="shared" si="16"/>
        <v>2.2894736842105261</v>
      </c>
      <c r="K10" s="76">
        <f t="shared" si="16"/>
        <v>3.4263157894736844</v>
      </c>
      <c r="L10" s="76">
        <f>L7/1710</f>
        <v>4.7473684210526317</v>
      </c>
      <c r="M10" s="16"/>
      <c r="N10" s="16"/>
      <c r="P10" s="127"/>
      <c r="Q10" s="128"/>
      <c r="R10" s="151">
        <f t="shared" ref="R10:W10" si="17">R9/R3</f>
        <v>-3.4000635525897681E-2</v>
      </c>
      <c r="S10" s="151">
        <f t="shared" si="17"/>
        <v>-3.7860763421950966E-2</v>
      </c>
      <c r="T10" s="151">
        <f t="shared" si="17"/>
        <v>-3.4613956941351151E-2</v>
      </c>
      <c r="U10" s="151">
        <f t="shared" si="17"/>
        <v>-3.49683924141794E-2</v>
      </c>
      <c r="V10" s="151">
        <f t="shared" si="17"/>
        <v>-3.0702341137123747E-2</v>
      </c>
      <c r="W10" s="151">
        <f t="shared" si="17"/>
        <v>-3.0918675590831012E-2</v>
      </c>
      <c r="X10" s="164">
        <v>0.04</v>
      </c>
      <c r="Y10" s="151">
        <f>X10</f>
        <v>0.04</v>
      </c>
      <c r="Z10" s="151">
        <f t="shared" ref="Z10:AF10" si="18">Y10</f>
        <v>0.04</v>
      </c>
      <c r="AA10" s="151">
        <f t="shared" si="18"/>
        <v>0.04</v>
      </c>
      <c r="AB10" s="151">
        <f t="shared" si="18"/>
        <v>0.04</v>
      </c>
      <c r="AC10" s="151">
        <f t="shared" si="18"/>
        <v>0.04</v>
      </c>
      <c r="AD10" s="151">
        <f t="shared" si="18"/>
        <v>0.04</v>
      </c>
      <c r="AE10" s="151">
        <f t="shared" si="18"/>
        <v>0.04</v>
      </c>
      <c r="AF10" s="151">
        <f t="shared" si="18"/>
        <v>0.04</v>
      </c>
      <c r="AK10" s="2"/>
    </row>
    <row r="11" spans="1:38" ht="18" thickTop="1" thickBot="1">
      <c r="A11" s="2"/>
      <c r="B11" s="2" t="s">
        <v>94</v>
      </c>
      <c r="C11" s="1">
        <f>C50+C53-C39</f>
        <v>-4198</v>
      </c>
      <c r="D11" s="1">
        <f t="shared" ref="D11:L11" si="19">D50+D53-D39</f>
        <v>-4949</v>
      </c>
      <c r="E11" s="1">
        <f t="shared" si="19"/>
        <v>-5003</v>
      </c>
      <c r="F11" s="1">
        <f t="shared" si="19"/>
        <v>-6295</v>
      </c>
      <c r="G11" s="1">
        <f t="shared" si="19"/>
        <v>-4881</v>
      </c>
      <c r="H11" s="1">
        <f t="shared" si="19"/>
        <v>-3470</v>
      </c>
      <c r="I11" s="1">
        <f t="shared" si="19"/>
        <v>-3155</v>
      </c>
      <c r="J11" s="1">
        <f t="shared" si="19"/>
        <v>-2358</v>
      </c>
      <c r="K11" s="1">
        <f t="shared" si="19"/>
        <v>-2044</v>
      </c>
      <c r="L11" s="1">
        <f t="shared" si="19"/>
        <v>851</v>
      </c>
      <c r="P11" s="127"/>
      <c r="Q11" s="128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H11" s="121" t="s">
        <v>506</v>
      </c>
      <c r="AI11" s="122"/>
      <c r="AJ11" s="122"/>
      <c r="AK11" s="166"/>
    </row>
    <row r="12" spans="1:38" ht="16">
      <c r="A12" s="2"/>
      <c r="B12" s="70" t="s">
        <v>446</v>
      </c>
      <c r="D12" s="72">
        <f>(D11-C11)/C11</f>
        <v>0.17889471176750835</v>
      </c>
      <c r="E12" s="72">
        <f t="shared" ref="E12:L12" si="20">(E11-D11)/D11</f>
        <v>1.0911295211153768E-2</v>
      </c>
      <c r="F12" s="72">
        <f t="shared" si="20"/>
        <v>0.25824505296821909</v>
      </c>
      <c r="G12" s="72">
        <f t="shared" si="20"/>
        <v>-0.22462271644162032</v>
      </c>
      <c r="H12" s="72">
        <f t="shared" si="20"/>
        <v>-0.289080106535546</v>
      </c>
      <c r="I12" s="72">
        <f t="shared" si="20"/>
        <v>-9.077809798270893E-2</v>
      </c>
      <c r="J12" s="72">
        <f t="shared" si="20"/>
        <v>-0.25261489698890649</v>
      </c>
      <c r="K12" s="72">
        <f t="shared" si="20"/>
        <v>-0.13316369804919423</v>
      </c>
      <c r="L12" s="72">
        <f t="shared" si="20"/>
        <v>-1.4163405088062622</v>
      </c>
      <c r="N12" s="68"/>
      <c r="P12" s="145" t="s">
        <v>478</v>
      </c>
      <c r="Q12" s="145"/>
      <c r="R12" s="155">
        <f t="shared" ref="R12:AF12" si="21">R6+R9</f>
        <v>5106</v>
      </c>
      <c r="S12" s="155">
        <f t="shared" si="21"/>
        <v>5139</v>
      </c>
      <c r="T12" s="155">
        <f t="shared" si="21"/>
        <v>5878</v>
      </c>
      <c r="U12" s="155">
        <f t="shared" si="21"/>
        <v>6637</v>
      </c>
      <c r="V12" s="155">
        <f t="shared" si="21"/>
        <v>8410</v>
      </c>
      <c r="W12" s="155">
        <f t="shared" si="21"/>
        <v>9664</v>
      </c>
      <c r="X12" s="155">
        <f t="shared" si="21"/>
        <v>10651.961600000002</v>
      </c>
      <c r="Y12" s="155">
        <f t="shared" si="21"/>
        <v>11930.196992000003</v>
      </c>
      <c r="Z12" s="155">
        <f t="shared" si="21"/>
        <v>13361.820631040006</v>
      </c>
      <c r="AA12" s="155">
        <f t="shared" si="21"/>
        <v>14965.239106764806</v>
      </c>
      <c r="AB12" s="155">
        <f t="shared" si="21"/>
        <v>16162.45823530599</v>
      </c>
      <c r="AC12" s="155">
        <f t="shared" si="21"/>
        <v>17455.454894130471</v>
      </c>
      <c r="AD12" s="155">
        <f t="shared" si="21"/>
        <v>18851.891285660913</v>
      </c>
      <c r="AE12" s="155">
        <f t="shared" si="21"/>
        <v>19605.966937087349</v>
      </c>
      <c r="AF12" s="155">
        <f t="shared" si="21"/>
        <v>20390.205614570845</v>
      </c>
      <c r="AH12" s="2" t="s">
        <v>507</v>
      </c>
      <c r="AK12" s="167">
        <v>4.4999999999999998E-2</v>
      </c>
    </row>
    <row r="13" spans="1:38" ht="16">
      <c r="A13" s="2"/>
      <c r="P13" s="124" t="s">
        <v>479</v>
      </c>
      <c r="Q13" s="124"/>
      <c r="R13" s="154">
        <f>-G79</f>
        <v>-1530</v>
      </c>
      <c r="S13" s="154">
        <f t="shared" ref="S13:W13" si="22">-H79</f>
        <v>-1735</v>
      </c>
      <c r="T13" s="154">
        <f t="shared" si="22"/>
        <v>-1972</v>
      </c>
      <c r="U13" s="154">
        <f t="shared" si="22"/>
        <v>64</v>
      </c>
      <c r="V13" s="154">
        <f t="shared" si="22"/>
        <v>-991</v>
      </c>
      <c r="W13" s="154">
        <f t="shared" si="22"/>
        <v>-2224</v>
      </c>
      <c r="X13" s="154">
        <v>0</v>
      </c>
      <c r="Y13" s="154">
        <v>0</v>
      </c>
      <c r="Z13" s="154">
        <v>0</v>
      </c>
      <c r="AA13" s="154">
        <v>0</v>
      </c>
      <c r="AB13" s="154">
        <v>0</v>
      </c>
      <c r="AC13" s="154">
        <v>0</v>
      </c>
      <c r="AD13" s="154">
        <v>0</v>
      </c>
      <c r="AE13" s="154">
        <v>0</v>
      </c>
      <c r="AF13" s="154">
        <v>0</v>
      </c>
      <c r="AH13" s="2" t="s">
        <v>508</v>
      </c>
      <c r="AK13" s="167">
        <v>0.21</v>
      </c>
    </row>
    <row r="14" spans="1:38" ht="16">
      <c r="A14" s="2"/>
      <c r="B14" s="2" t="s">
        <v>449</v>
      </c>
      <c r="C14" s="1">
        <f>C73</f>
        <v>-61</v>
      </c>
      <c r="D14" s="1">
        <f t="shared" ref="D14:L14" si="23">D73</f>
        <v>-77</v>
      </c>
      <c r="E14" s="1">
        <f t="shared" si="23"/>
        <v>-96</v>
      </c>
      <c r="F14" s="1">
        <f t="shared" si="23"/>
        <v>-155</v>
      </c>
      <c r="G14" s="1">
        <f t="shared" si="23"/>
        <v>-175</v>
      </c>
      <c r="H14" s="1">
        <f t="shared" si="23"/>
        <v>-177</v>
      </c>
      <c r="I14" s="1">
        <f t="shared" si="23"/>
        <v>-215</v>
      </c>
      <c r="J14" s="1">
        <f t="shared" si="23"/>
        <v>-300</v>
      </c>
      <c r="K14" s="1">
        <f t="shared" si="23"/>
        <v>-330</v>
      </c>
      <c r="L14" s="1">
        <f t="shared" si="23"/>
        <v>-422</v>
      </c>
      <c r="P14" s="124"/>
      <c r="Q14" s="129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H14" s="2" t="s">
        <v>509</v>
      </c>
      <c r="AK14" s="168">
        <f>(1-AK13)*AK12</f>
        <v>3.5549999999999998E-2</v>
      </c>
    </row>
    <row r="15" spans="1:38" ht="17" thickBot="1">
      <c r="A15" s="2"/>
      <c r="B15" s="2" t="s">
        <v>450</v>
      </c>
      <c r="C15" s="1">
        <f>C71</f>
        <v>-439</v>
      </c>
      <c r="D15" s="1">
        <f t="shared" ref="D15:L15" si="24">D71</f>
        <v>707</v>
      </c>
      <c r="E15" s="1">
        <f t="shared" si="24"/>
        <v>-1579</v>
      </c>
      <c r="F15" s="1">
        <f t="shared" si="24"/>
        <v>150</v>
      </c>
      <c r="G15" s="1">
        <f t="shared" si="24"/>
        <v>-985</v>
      </c>
      <c r="H15" s="1">
        <f t="shared" si="24"/>
        <v>-820</v>
      </c>
      <c r="I15" s="1">
        <f t="shared" si="24"/>
        <v>-765</v>
      </c>
      <c r="J15" s="1">
        <f t="shared" si="24"/>
        <v>-177</v>
      </c>
      <c r="K15" s="1">
        <f t="shared" si="24"/>
        <v>-1313</v>
      </c>
      <c r="L15" s="1">
        <f t="shared" si="24"/>
        <v>-1698</v>
      </c>
      <c r="P15" s="130" t="s">
        <v>480</v>
      </c>
      <c r="Q15" s="130"/>
      <c r="R15" s="146">
        <f>G30</f>
        <v>5079</v>
      </c>
      <c r="S15" s="146">
        <f t="shared" ref="S15:W15" si="25">H30</f>
        <v>4958</v>
      </c>
      <c r="T15" s="146">
        <f t="shared" si="25"/>
        <v>5646</v>
      </c>
      <c r="U15" s="146">
        <f t="shared" si="25"/>
        <v>6522</v>
      </c>
      <c r="V15" s="146">
        <f t="shared" si="25"/>
        <v>7204</v>
      </c>
      <c r="W15" s="146">
        <f t="shared" si="25"/>
        <v>9731</v>
      </c>
      <c r="X15" s="155">
        <f>X12+X13</f>
        <v>10651.961600000002</v>
      </c>
      <c r="Y15" s="155">
        <f t="shared" ref="Y15:AF15" si="26">Y12+Y13</f>
        <v>11930.196992000003</v>
      </c>
      <c r="Z15" s="155">
        <f t="shared" si="26"/>
        <v>13361.820631040006</v>
      </c>
      <c r="AA15" s="155">
        <f t="shared" si="26"/>
        <v>14965.239106764806</v>
      </c>
      <c r="AB15" s="155">
        <f t="shared" si="26"/>
        <v>16162.45823530599</v>
      </c>
      <c r="AC15" s="155">
        <f t="shared" si="26"/>
        <v>17455.454894130471</v>
      </c>
      <c r="AD15" s="155">
        <f t="shared" si="26"/>
        <v>18851.891285660913</v>
      </c>
      <c r="AE15" s="155">
        <f t="shared" si="26"/>
        <v>19605.966937087349</v>
      </c>
      <c r="AF15" s="155">
        <f t="shared" si="26"/>
        <v>20390.205614570845</v>
      </c>
      <c r="AH15" s="2" t="s">
        <v>510</v>
      </c>
      <c r="AK15" s="4">
        <f>W38</f>
        <v>851</v>
      </c>
    </row>
    <row r="16" spans="1:38" ht="17" thickTop="1">
      <c r="A16" s="2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12" t="s">
        <v>470</v>
      </c>
      <c r="N16" s="108" t="s">
        <v>471</v>
      </c>
      <c r="P16" s="245"/>
      <c r="Q16" s="245"/>
      <c r="R16" s="246"/>
      <c r="S16" s="246"/>
      <c r="T16" s="246"/>
      <c r="U16" s="246"/>
      <c r="V16" s="246"/>
      <c r="W16" s="246"/>
      <c r="X16" s="240"/>
      <c r="Y16" s="240"/>
      <c r="Z16" s="240"/>
      <c r="AA16" s="240"/>
      <c r="AB16" s="240"/>
      <c r="AC16" s="240"/>
      <c r="AD16" s="240"/>
      <c r="AE16" s="240"/>
      <c r="AF16" s="240"/>
      <c r="AK16" s="2"/>
    </row>
    <row r="17" spans="1:37" ht="17" thickBot="1">
      <c r="A17" s="2"/>
      <c r="B17" s="75" t="s">
        <v>93</v>
      </c>
      <c r="C17" s="80">
        <f t="shared" ref="C17:L17" si="27">(C5+C14+C15)/C5</f>
        <v>0.82758620689655171</v>
      </c>
      <c r="D17" s="105">
        <f t="shared" si="27"/>
        <v>1.1713353277128093</v>
      </c>
      <c r="E17" s="80">
        <f t="shared" si="27"/>
        <v>0.59995223310246004</v>
      </c>
      <c r="F17" s="80">
        <f t="shared" si="27"/>
        <v>0.99897034596375622</v>
      </c>
      <c r="G17" s="80">
        <f t="shared" si="27"/>
        <v>0.78625391560714941</v>
      </c>
      <c r="H17" s="80">
        <f t="shared" si="27"/>
        <v>0.81889191643960035</v>
      </c>
      <c r="I17" s="80">
        <f t="shared" si="27"/>
        <v>0.84322508398656215</v>
      </c>
      <c r="J17" s="80">
        <f t="shared" si="27"/>
        <v>0.93256997455470736</v>
      </c>
      <c r="K17" s="80">
        <f t="shared" si="27"/>
        <v>0.81474799864697256</v>
      </c>
      <c r="L17" s="80">
        <f t="shared" si="27"/>
        <v>0.79187119575888476</v>
      </c>
      <c r="M17" s="111">
        <f>AVERAGE(C17:L17)</f>
        <v>0.85854041986694529</v>
      </c>
      <c r="N17" s="110">
        <f>AVERAGE(G17:L17)</f>
        <v>0.83126001416564621</v>
      </c>
      <c r="P17" s="124" t="s">
        <v>481</v>
      </c>
      <c r="Q17" s="124"/>
      <c r="R17" s="154">
        <f>G31</f>
        <v>-1462</v>
      </c>
      <c r="S17" s="154">
        <f t="shared" ref="S17:W17" si="28">H31</f>
        <v>-1150</v>
      </c>
      <c r="T17" s="154">
        <f t="shared" si="28"/>
        <v>-1587</v>
      </c>
      <c r="U17" s="154">
        <f t="shared" si="28"/>
        <v>-2607</v>
      </c>
      <c r="V17" s="154">
        <f t="shared" si="28"/>
        <v>-1345</v>
      </c>
      <c r="W17" s="154">
        <f t="shared" si="28"/>
        <v>-1613</v>
      </c>
      <c r="X17" s="156">
        <f>-X15*$X$18</f>
        <v>-2236.9119360000004</v>
      </c>
      <c r="Y17" s="156">
        <f>-Y15*$X$18</f>
        <v>-2505.3413683200006</v>
      </c>
      <c r="Z17" s="156">
        <f>-Z15*$X$18</f>
        <v>-2805.9823325184011</v>
      </c>
      <c r="AA17" s="156">
        <f>-AA15*$X$18</f>
        <v>-3142.7002124206092</v>
      </c>
      <c r="AB17" s="156">
        <f>-AB15*$X$18</f>
        <v>-3394.1162294142578</v>
      </c>
      <c r="AC17" s="156">
        <f t="shared" ref="AC17:AF17" si="29">-AC15*$X$18</f>
        <v>-3665.645527767399</v>
      </c>
      <c r="AD17" s="156">
        <f t="shared" si="29"/>
        <v>-3958.8971699887916</v>
      </c>
      <c r="AE17" s="156">
        <f t="shared" si="29"/>
        <v>-4117.2530567883432</v>
      </c>
      <c r="AF17" s="156">
        <f t="shared" si="29"/>
        <v>-4281.9431790598774</v>
      </c>
      <c r="AH17" s="121" t="s">
        <v>511</v>
      </c>
      <c r="AI17" s="122"/>
      <c r="AJ17" s="122"/>
      <c r="AK17" s="166"/>
    </row>
    <row r="18" spans="1:37" ht="17" thickTop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P18" s="124"/>
      <c r="Q18" s="129"/>
      <c r="R18" s="153">
        <f t="shared" ref="R18:W18" si="30">-R17/R15</f>
        <v>0.28785193935814135</v>
      </c>
      <c r="S18" s="153">
        <f t="shared" si="30"/>
        <v>0.23194836627672449</v>
      </c>
      <c r="T18" s="153">
        <f t="shared" si="30"/>
        <v>0.28108395324123275</v>
      </c>
      <c r="U18" s="153">
        <f t="shared" si="30"/>
        <v>0.3997240110395584</v>
      </c>
      <c r="V18" s="153">
        <f t="shared" si="30"/>
        <v>0.18670183231538034</v>
      </c>
      <c r="W18" s="153">
        <f t="shared" si="30"/>
        <v>0.16575891480834445</v>
      </c>
      <c r="X18" s="163">
        <v>0.21</v>
      </c>
      <c r="Y18" s="153">
        <f>X18</f>
        <v>0.21</v>
      </c>
      <c r="Z18" s="153">
        <f t="shared" ref="Z18:AF18" si="31">Y18</f>
        <v>0.21</v>
      </c>
      <c r="AA18" s="153">
        <f t="shared" si="31"/>
        <v>0.21</v>
      </c>
      <c r="AB18" s="153">
        <f t="shared" si="31"/>
        <v>0.21</v>
      </c>
      <c r="AC18" s="153">
        <f t="shared" si="31"/>
        <v>0.21</v>
      </c>
      <c r="AD18" s="153">
        <f t="shared" si="31"/>
        <v>0.21</v>
      </c>
      <c r="AE18" s="153">
        <f t="shared" si="31"/>
        <v>0.21</v>
      </c>
      <c r="AF18" s="153">
        <f t="shared" si="31"/>
        <v>0.21</v>
      </c>
      <c r="AH18" s="2" t="s">
        <v>512</v>
      </c>
      <c r="AK18" s="2"/>
    </row>
    <row r="19" spans="1:37" ht="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P19" s="124"/>
      <c r="Q19" s="129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H19" s="2" t="s">
        <v>513</v>
      </c>
      <c r="AK19" s="165">
        <f>AK15/AK9</f>
        <v>2.7845127429904555E-3</v>
      </c>
    </row>
    <row r="20" spans="1:37" ht="16">
      <c r="A20" s="2" t="s">
        <v>1</v>
      </c>
      <c r="B20" s="2"/>
      <c r="C20" s="2"/>
      <c r="D20" s="2"/>
      <c r="E20" s="2"/>
      <c r="F20" s="2"/>
      <c r="G20" s="2"/>
      <c r="H20" s="2"/>
      <c r="I20" s="2"/>
      <c r="J20" s="2"/>
      <c r="K20" s="2"/>
      <c r="P20" s="130" t="s">
        <v>448</v>
      </c>
      <c r="Q20" s="131"/>
      <c r="R20" s="146">
        <f>G34</f>
        <v>3617</v>
      </c>
      <c r="S20" s="146">
        <f t="shared" ref="S20:W20" si="32">H34</f>
        <v>3808</v>
      </c>
      <c r="T20" s="146">
        <f t="shared" si="32"/>
        <v>4059</v>
      </c>
      <c r="U20" s="146">
        <f t="shared" si="32"/>
        <v>3915</v>
      </c>
      <c r="V20" s="146">
        <f t="shared" si="32"/>
        <v>5859</v>
      </c>
      <c r="W20" s="146">
        <f t="shared" si="32"/>
        <v>8118</v>
      </c>
      <c r="X20" s="155">
        <f>X15+X17</f>
        <v>8415.0496640000019</v>
      </c>
      <c r="Y20" s="155">
        <f>Y15+Y17</f>
        <v>9424.8556236800032</v>
      </c>
      <c r="Z20" s="155">
        <f>Z15+Z17</f>
        <v>10555.838298521605</v>
      </c>
      <c r="AA20" s="155">
        <f>AA15+AA17</f>
        <v>11822.538894344198</v>
      </c>
      <c r="AB20" s="155">
        <f>AB15+AB17</f>
        <v>12768.342005891733</v>
      </c>
      <c r="AC20" s="155">
        <f t="shared" ref="AC20:AF20" si="33">AC15+AC17</f>
        <v>13789.809366363072</v>
      </c>
      <c r="AD20" s="155">
        <f t="shared" si="33"/>
        <v>14892.994115672122</v>
      </c>
      <c r="AE20" s="155">
        <f t="shared" si="33"/>
        <v>15488.713880299005</v>
      </c>
      <c r="AF20" s="155">
        <f t="shared" si="33"/>
        <v>16108.262435510967</v>
      </c>
      <c r="AH20" s="119" t="s">
        <v>514</v>
      </c>
      <c r="AI20" s="118"/>
      <c r="AJ20" s="118"/>
      <c r="AK20" s="123">
        <f>(1-AK19)*AK8+AK19*AK14</f>
        <v>6.8687470641550438E-2</v>
      </c>
    </row>
    <row r="21" spans="1:37" ht="16">
      <c r="A21" s="2"/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H21" s="2" t="s">
        <v>8</v>
      </c>
      <c r="I21" s="2" t="s">
        <v>9</v>
      </c>
      <c r="J21" s="2" t="s">
        <v>10</v>
      </c>
      <c r="K21" s="2" t="s">
        <v>11</v>
      </c>
      <c r="L21" s="2" t="s">
        <v>12</v>
      </c>
      <c r="P21" s="149" t="s">
        <v>477</v>
      </c>
      <c r="Q21" s="149"/>
      <c r="R21" s="152"/>
      <c r="S21" s="153">
        <f>(S20-R20)/R20</f>
        <v>5.2806192977605748E-2</v>
      </c>
      <c r="T21" s="153">
        <f t="shared" ref="T21:AF21" si="34">(T20-S20)/S20</f>
        <v>6.5913865546218489E-2</v>
      </c>
      <c r="U21" s="153">
        <f t="shared" si="34"/>
        <v>-3.5476718403547672E-2</v>
      </c>
      <c r="V21" s="153">
        <f t="shared" si="34"/>
        <v>0.49655172413793103</v>
      </c>
      <c r="W21" s="153">
        <f t="shared" si="34"/>
        <v>0.38556067588325654</v>
      </c>
      <c r="X21" s="153">
        <f t="shared" si="34"/>
        <v>3.659148361665459E-2</v>
      </c>
      <c r="Y21" s="153">
        <f t="shared" si="34"/>
        <v>0.12000000000000012</v>
      </c>
      <c r="Z21" s="153">
        <f t="shared" si="34"/>
        <v>0.12000000000000013</v>
      </c>
      <c r="AA21" s="153">
        <f t="shared" si="34"/>
        <v>0.12000000000000001</v>
      </c>
      <c r="AB21" s="153">
        <f t="shared" si="34"/>
        <v>7.9999999999999932E-2</v>
      </c>
      <c r="AC21" s="153">
        <f t="shared" si="34"/>
        <v>8.0000000000000029E-2</v>
      </c>
      <c r="AD21" s="153">
        <f t="shared" si="34"/>
        <v>8.0000000000000307E-2</v>
      </c>
      <c r="AE21" s="153">
        <f t="shared" si="34"/>
        <v>3.999999999999989E-2</v>
      </c>
      <c r="AF21" s="153">
        <f t="shared" si="34"/>
        <v>4.0000000000000153E-2</v>
      </c>
    </row>
    <row r="22" spans="1:37" ht="16">
      <c r="A22" s="2"/>
      <c r="B22" s="2" t="s">
        <v>13</v>
      </c>
      <c r="C22" s="4">
        <v>5539</v>
      </c>
      <c r="D22" s="4">
        <v>6714</v>
      </c>
      <c r="E22" s="4">
        <v>7391</v>
      </c>
      <c r="F22" s="4">
        <v>8312</v>
      </c>
      <c r="G22" s="4">
        <v>9441</v>
      </c>
      <c r="H22" s="4">
        <v>9667</v>
      </c>
      <c r="I22" s="4">
        <v>10776</v>
      </c>
      <c r="J22" s="4">
        <v>12497</v>
      </c>
      <c r="K22" s="4">
        <v>14950</v>
      </c>
      <c r="L22" s="4">
        <v>16883</v>
      </c>
      <c r="P22" s="124"/>
      <c r="Q22" s="129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</row>
    <row r="23" spans="1:37" ht="17" thickBot="1">
      <c r="A23" s="2"/>
      <c r="B23" s="43" t="s">
        <v>326</v>
      </c>
      <c r="C23" s="44"/>
      <c r="D23" s="45">
        <f>(D22-C22)/C22</f>
        <v>0.21213215381837877</v>
      </c>
      <c r="E23" s="45">
        <f t="shared" ref="E23:L23" si="35">(E22-D22)/D22</f>
        <v>0.1008340780458743</v>
      </c>
      <c r="F23" s="45">
        <f t="shared" si="35"/>
        <v>0.12461101339466919</v>
      </c>
      <c r="G23" s="45">
        <f t="shared" si="35"/>
        <v>0.13582771896053897</v>
      </c>
      <c r="H23" s="45">
        <f t="shared" si="35"/>
        <v>2.3938142145959115E-2</v>
      </c>
      <c r="I23" s="45">
        <f t="shared" si="35"/>
        <v>0.1147201820626875</v>
      </c>
      <c r="J23" s="45">
        <f t="shared" si="35"/>
        <v>0.15970675575352636</v>
      </c>
      <c r="K23" s="45">
        <f t="shared" si="35"/>
        <v>0.19628710890613749</v>
      </c>
      <c r="L23" s="45">
        <f t="shared" si="35"/>
        <v>0.12929765886287625</v>
      </c>
      <c r="P23" s="132" t="s">
        <v>483</v>
      </c>
      <c r="Q23" s="133"/>
      <c r="R23" s="126" t="s">
        <v>7</v>
      </c>
      <c r="S23" s="126" t="s">
        <v>8</v>
      </c>
      <c r="T23" s="126" t="s">
        <v>9</v>
      </c>
      <c r="U23" s="126" t="s">
        <v>10</v>
      </c>
      <c r="V23" s="126" t="s">
        <v>11</v>
      </c>
      <c r="W23" s="126" t="s">
        <v>12</v>
      </c>
      <c r="X23" s="126" t="s">
        <v>474</v>
      </c>
      <c r="Y23" s="126" t="s">
        <v>475</v>
      </c>
      <c r="Z23" s="126" t="s">
        <v>476</v>
      </c>
      <c r="AA23" s="126" t="s">
        <v>490</v>
      </c>
      <c r="AB23" s="126" t="s">
        <v>491</v>
      </c>
      <c r="AC23" s="126" t="s">
        <v>531</v>
      </c>
      <c r="AD23" s="126" t="s">
        <v>532</v>
      </c>
      <c r="AE23" s="126" t="s">
        <v>533</v>
      </c>
      <c r="AF23" s="126" t="s">
        <v>534</v>
      </c>
    </row>
    <row r="24" spans="1:37" ht="17" thickTop="1">
      <c r="A24" s="2"/>
      <c r="B24" s="5" t="s">
        <v>14</v>
      </c>
      <c r="C24" s="6">
        <v>5539</v>
      </c>
      <c r="D24" s="6">
        <v>6714</v>
      </c>
      <c r="E24" s="6">
        <v>7391</v>
      </c>
      <c r="F24" s="6">
        <v>8312</v>
      </c>
      <c r="G24" s="6">
        <v>9441</v>
      </c>
      <c r="H24" s="6">
        <v>9667</v>
      </c>
      <c r="I24" s="6">
        <v>10776</v>
      </c>
      <c r="J24" s="6">
        <v>12497</v>
      </c>
      <c r="K24" s="6">
        <v>14950</v>
      </c>
      <c r="L24" s="6">
        <v>16883</v>
      </c>
      <c r="P24" s="132"/>
      <c r="Q24" s="133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</row>
    <row r="25" spans="1:37" ht="16">
      <c r="A25" s="2"/>
      <c r="B25" s="2" t="s">
        <v>15</v>
      </c>
      <c r="C25" s="4">
        <v>-2787</v>
      </c>
      <c r="D25" s="4">
        <v>-3231</v>
      </c>
      <c r="E25" s="4">
        <v>-3434</v>
      </c>
      <c r="F25" s="4">
        <v>-3714</v>
      </c>
      <c r="G25" s="4">
        <v>-4335</v>
      </c>
      <c r="H25" s="4">
        <v>-4528</v>
      </c>
      <c r="I25" s="4">
        <v>-4898</v>
      </c>
      <c r="J25" s="4">
        <v>-5860</v>
      </c>
      <c r="K25" s="4">
        <v>-6540</v>
      </c>
      <c r="L25" s="4">
        <v>-7219</v>
      </c>
      <c r="P25" s="145" t="s">
        <v>267</v>
      </c>
      <c r="Q25" s="157"/>
      <c r="R25" s="155">
        <f t="shared" ref="R25:AF25" si="36">R6</f>
        <v>5427</v>
      </c>
      <c r="S25" s="155">
        <f t="shared" si="36"/>
        <v>5505</v>
      </c>
      <c r="T25" s="155">
        <f t="shared" si="36"/>
        <v>6251</v>
      </c>
      <c r="U25" s="155">
        <f t="shared" si="36"/>
        <v>7074</v>
      </c>
      <c r="V25" s="155">
        <f t="shared" si="36"/>
        <v>8869</v>
      </c>
      <c r="W25" s="155">
        <f t="shared" si="36"/>
        <v>10186</v>
      </c>
      <c r="X25" s="155">
        <f t="shared" si="36"/>
        <v>11408.320000000002</v>
      </c>
      <c r="Y25" s="155">
        <f t="shared" si="36"/>
        <v>12777.318400000004</v>
      </c>
      <c r="Z25" s="155">
        <f t="shared" si="36"/>
        <v>14310.596608000005</v>
      </c>
      <c r="AA25" s="155">
        <f t="shared" si="36"/>
        <v>16027.868200960007</v>
      </c>
      <c r="AB25" s="155">
        <f t="shared" si="36"/>
        <v>17310.097657036808</v>
      </c>
      <c r="AC25" s="155">
        <f t="shared" si="36"/>
        <v>18694.905469599755</v>
      </c>
      <c r="AD25" s="155">
        <f t="shared" si="36"/>
        <v>20190.497907167737</v>
      </c>
      <c r="AE25" s="155">
        <f t="shared" si="36"/>
        <v>20998.117823454446</v>
      </c>
      <c r="AF25" s="155">
        <f t="shared" si="36"/>
        <v>21838.042536392626</v>
      </c>
    </row>
    <row r="26" spans="1:37" ht="16">
      <c r="A26" s="2"/>
      <c r="B26" s="5" t="s">
        <v>16</v>
      </c>
      <c r="C26" s="6">
        <v>2752</v>
      </c>
      <c r="D26" s="6">
        <v>3483</v>
      </c>
      <c r="E26" s="6">
        <v>3957</v>
      </c>
      <c r="F26" s="6">
        <v>4598</v>
      </c>
      <c r="G26" s="6">
        <v>5106</v>
      </c>
      <c r="H26" s="6">
        <v>5139</v>
      </c>
      <c r="I26" s="6">
        <v>5878</v>
      </c>
      <c r="J26" s="6">
        <v>6637</v>
      </c>
      <c r="K26" s="6">
        <v>8410</v>
      </c>
      <c r="L26" s="6">
        <v>9664</v>
      </c>
      <c r="P26" s="124" t="s">
        <v>484</v>
      </c>
      <c r="Q26" s="129"/>
      <c r="R26" s="154">
        <f>G73</f>
        <v>-175</v>
      </c>
      <c r="S26" s="154">
        <f t="shared" ref="S26:W26" si="37">H73</f>
        <v>-177</v>
      </c>
      <c r="T26" s="154">
        <f t="shared" si="37"/>
        <v>-215</v>
      </c>
      <c r="U26" s="154">
        <f t="shared" si="37"/>
        <v>-300</v>
      </c>
      <c r="V26" s="154">
        <f t="shared" si="37"/>
        <v>-330</v>
      </c>
      <c r="W26" s="154">
        <f t="shared" si="37"/>
        <v>-422</v>
      </c>
      <c r="X26" s="156">
        <f>X9</f>
        <v>-756.35840000000007</v>
      </c>
      <c r="Y26" s="156">
        <f>Y9</f>
        <v>-847.1214080000002</v>
      </c>
      <c r="Z26" s="156">
        <f>Z9</f>
        <v>-948.77597696000043</v>
      </c>
      <c r="AA26" s="156">
        <f>AA9</f>
        <v>-1062.6290941952007</v>
      </c>
      <c r="AB26" s="156">
        <f>AB9</f>
        <v>-1147.6394217308168</v>
      </c>
      <c r="AC26" s="156">
        <f t="shared" ref="AC26:AF26" si="38">AC9</f>
        <v>-1239.4505754692821</v>
      </c>
      <c r="AD26" s="156">
        <f t="shared" si="38"/>
        <v>-1338.6066215068247</v>
      </c>
      <c r="AE26" s="156">
        <f t="shared" si="38"/>
        <v>-1392.1508863670979</v>
      </c>
      <c r="AF26" s="156">
        <f t="shared" si="38"/>
        <v>-1447.8369218217817</v>
      </c>
    </row>
    <row r="27" spans="1:37" ht="16">
      <c r="A27" s="2"/>
      <c r="B27" s="2" t="s">
        <v>17</v>
      </c>
      <c r="C27" s="2">
        <v>5</v>
      </c>
      <c r="D27" s="2">
        <v>35</v>
      </c>
      <c r="E27" s="2">
        <v>-4</v>
      </c>
      <c r="F27" s="2">
        <v>-3</v>
      </c>
      <c r="G27" s="2">
        <v>-27</v>
      </c>
      <c r="H27" s="2">
        <v>-120</v>
      </c>
      <c r="I27" s="2">
        <v>-115</v>
      </c>
      <c r="J27" s="2">
        <v>-100</v>
      </c>
      <c r="K27" s="2">
        <v>-78</v>
      </c>
      <c r="L27" s="2">
        <v>-100</v>
      </c>
      <c r="P27" s="124" t="s">
        <v>57</v>
      </c>
      <c r="Q27" s="129"/>
      <c r="R27" s="154">
        <f>G71</f>
        <v>-985</v>
      </c>
      <c r="S27" s="154">
        <f t="shared" ref="S27:W27" si="39">H71</f>
        <v>-820</v>
      </c>
      <c r="T27" s="154">
        <f t="shared" si="39"/>
        <v>-765</v>
      </c>
      <c r="U27" s="154">
        <f t="shared" si="39"/>
        <v>-177</v>
      </c>
      <c r="V27" s="154">
        <f t="shared" si="39"/>
        <v>-1313</v>
      </c>
      <c r="W27" s="154">
        <f t="shared" si="39"/>
        <v>-1698</v>
      </c>
      <c r="X27" s="244">
        <f>-(X3-W3)*X28</f>
        <v>-2005.3623458662821</v>
      </c>
      <c r="Y27" s="244">
        <f>-(Y3-X3)*Y28</f>
        <v>-2246.0058273702357</v>
      </c>
      <c r="Z27" s="244">
        <f>-(Z3-Y3)*Z28</f>
        <v>-2515.5265266546653</v>
      </c>
      <c r="AA27" s="244">
        <f>-(AA3-Z3)*AA28</f>
        <v>-2817.3897098532248</v>
      </c>
      <c r="AB27" s="244">
        <f>-(AB3-AA3)*AB28</f>
        <v>-2103.6509833570731</v>
      </c>
      <c r="AC27" s="244">
        <f t="shared" ref="AC27:AF27" si="40">-(AC3-AB3)*AC28</f>
        <v>-2271.9430620256389</v>
      </c>
      <c r="AD27" s="244">
        <f t="shared" si="40"/>
        <v>-2453.6985069876923</v>
      </c>
      <c r="AE27" s="244">
        <f t="shared" si="40"/>
        <v>-1324.9971937733551</v>
      </c>
      <c r="AF27" s="244">
        <f t="shared" si="40"/>
        <v>-1377.9970815242857</v>
      </c>
    </row>
    <row r="28" spans="1:37" ht="16">
      <c r="A28" s="2"/>
      <c r="B28" s="2" t="s">
        <v>18</v>
      </c>
      <c r="C28" s="4">
        <v>2757</v>
      </c>
      <c r="D28" s="4">
        <v>3518</v>
      </c>
      <c r="E28" s="4">
        <v>3953</v>
      </c>
      <c r="F28" s="4">
        <v>4595</v>
      </c>
      <c r="G28" s="4">
        <v>5079</v>
      </c>
      <c r="H28" s="4">
        <v>5019</v>
      </c>
      <c r="I28" s="4">
        <v>5763</v>
      </c>
      <c r="J28" s="4">
        <v>6537</v>
      </c>
      <c r="K28" s="4">
        <v>8332</v>
      </c>
      <c r="L28" s="4">
        <v>9564</v>
      </c>
      <c r="P28" s="124"/>
      <c r="R28" s="199">
        <f t="shared" ref="R28:W28" si="41">-R27/(R3-Q3)</f>
        <v>0.10433216820252092</v>
      </c>
      <c r="S28" s="199">
        <f t="shared" si="41"/>
        <v>3.6283185840707963</v>
      </c>
      <c r="T28" s="199">
        <f t="shared" si="41"/>
        <v>0.68981064021641114</v>
      </c>
      <c r="U28" s="199">
        <f t="shared" si="41"/>
        <v>0.10284718187100524</v>
      </c>
      <c r="V28" s="199">
        <f t="shared" si="41"/>
        <v>0.53526294333469226</v>
      </c>
      <c r="W28" s="199">
        <f t="shared" si="41"/>
        <v>0.8784273150543197</v>
      </c>
      <c r="X28" s="163">
        <f>AVERAGE(R28:W28)</f>
        <v>0.98983313879162438</v>
      </c>
      <c r="Y28" s="134">
        <f>X28</f>
        <v>0.98983313879162438</v>
      </c>
      <c r="Z28" s="134">
        <f t="shared" ref="Z28:AF28" si="42">Y28</f>
        <v>0.98983313879162438</v>
      </c>
      <c r="AA28" s="134">
        <f t="shared" si="42"/>
        <v>0.98983313879162438</v>
      </c>
      <c r="AB28" s="134">
        <f t="shared" si="42"/>
        <v>0.98983313879162438</v>
      </c>
      <c r="AC28" s="134">
        <f t="shared" si="42"/>
        <v>0.98983313879162438</v>
      </c>
      <c r="AD28" s="134">
        <f t="shared" si="42"/>
        <v>0.98983313879162438</v>
      </c>
      <c r="AE28" s="134">
        <f t="shared" si="42"/>
        <v>0.98983313879162438</v>
      </c>
      <c r="AF28" s="134">
        <f t="shared" si="42"/>
        <v>0.98983313879162438</v>
      </c>
    </row>
    <row r="29" spans="1:37" ht="16">
      <c r="A29" s="2"/>
      <c r="B29" s="2" t="s">
        <v>19</v>
      </c>
      <c r="C29" s="2">
        <v>0</v>
      </c>
      <c r="D29" s="2">
        <v>-770</v>
      </c>
      <c r="E29" s="2">
        <v>-20</v>
      </c>
      <c r="F29" s="2">
        <v>-95</v>
      </c>
      <c r="G29" s="2">
        <v>0</v>
      </c>
      <c r="H29" s="2">
        <v>-61</v>
      </c>
      <c r="I29" s="2">
        <v>-117</v>
      </c>
      <c r="J29" s="2">
        <v>-15</v>
      </c>
      <c r="K29" s="4">
        <v>-1128</v>
      </c>
      <c r="L29" s="2">
        <v>167</v>
      </c>
      <c r="P29" s="135" t="s">
        <v>481</v>
      </c>
      <c r="Q29" s="136"/>
      <c r="R29" s="158">
        <f t="shared" ref="R29:AF29" si="43">R17</f>
        <v>-1462</v>
      </c>
      <c r="S29" s="158">
        <f t="shared" si="43"/>
        <v>-1150</v>
      </c>
      <c r="T29" s="158">
        <f t="shared" si="43"/>
        <v>-1587</v>
      </c>
      <c r="U29" s="158">
        <f t="shared" si="43"/>
        <v>-2607</v>
      </c>
      <c r="V29" s="158">
        <f t="shared" si="43"/>
        <v>-1345</v>
      </c>
      <c r="W29" s="158">
        <f t="shared" si="43"/>
        <v>-1613</v>
      </c>
      <c r="X29" s="158">
        <f t="shared" si="43"/>
        <v>-2236.9119360000004</v>
      </c>
      <c r="Y29" s="158">
        <f t="shared" si="43"/>
        <v>-2505.3413683200006</v>
      </c>
      <c r="Z29" s="158">
        <f t="shared" si="43"/>
        <v>-2805.9823325184011</v>
      </c>
      <c r="AA29" s="158">
        <f t="shared" si="43"/>
        <v>-3142.7002124206092</v>
      </c>
      <c r="AB29" s="158">
        <f t="shared" si="43"/>
        <v>-3394.1162294142578</v>
      </c>
      <c r="AC29" s="158">
        <f t="shared" si="43"/>
        <v>-3665.645527767399</v>
      </c>
      <c r="AD29" s="158">
        <f t="shared" si="43"/>
        <v>-3958.8971699887916</v>
      </c>
      <c r="AE29" s="158">
        <f t="shared" si="43"/>
        <v>-4117.2530567883432</v>
      </c>
      <c r="AF29" s="158">
        <f t="shared" si="43"/>
        <v>-4281.9431790598774</v>
      </c>
    </row>
    <row r="30" spans="1:37" ht="16">
      <c r="A30" s="2"/>
      <c r="B30" s="5" t="s">
        <v>20</v>
      </c>
      <c r="C30" s="6">
        <v>2757</v>
      </c>
      <c r="D30" s="6">
        <v>2748</v>
      </c>
      <c r="E30" s="6">
        <v>3933</v>
      </c>
      <c r="F30" s="6">
        <v>4500</v>
      </c>
      <c r="G30" s="6">
        <v>5079</v>
      </c>
      <c r="H30" s="6">
        <v>4958</v>
      </c>
      <c r="I30" s="6">
        <v>5646</v>
      </c>
      <c r="J30" s="6">
        <v>6522</v>
      </c>
      <c r="K30" s="6">
        <v>7204</v>
      </c>
      <c r="L30" s="6">
        <v>9731</v>
      </c>
      <c r="P30" s="135" t="s">
        <v>485</v>
      </c>
      <c r="Q30" s="163">
        <v>0.19</v>
      </c>
      <c r="R30" s="154">
        <f>G78</f>
        <v>-515</v>
      </c>
      <c r="S30" s="154">
        <f t="shared" ref="S30:W30" si="44">H78</f>
        <v>-727</v>
      </c>
      <c r="T30" s="154">
        <f t="shared" si="44"/>
        <v>-837</v>
      </c>
      <c r="U30" s="154">
        <f t="shared" si="44"/>
        <v>-942</v>
      </c>
      <c r="V30" s="154">
        <f t="shared" si="44"/>
        <v>-1044</v>
      </c>
      <c r="W30" s="154">
        <f t="shared" si="44"/>
        <v>-1345</v>
      </c>
      <c r="X30" s="156">
        <f>-$Q$30*X20</f>
        <v>-1598.8594361600003</v>
      </c>
      <c r="Y30" s="156">
        <f>-$Q$30*Y20</f>
        <v>-1790.7225684992006</v>
      </c>
      <c r="Z30" s="156">
        <f>-$Q$30*Z20</f>
        <v>-2005.6092767191049</v>
      </c>
      <c r="AA30" s="156">
        <f>-$Q$30*AA20</f>
        <v>-2246.2823899253976</v>
      </c>
      <c r="AB30" s="156">
        <f>-$Q$30*AB20</f>
        <v>-2425.9849811194294</v>
      </c>
      <c r="AC30" s="156">
        <f t="shared" ref="AC30:AF30" si="45">-$Q$30*AC20</f>
        <v>-2620.0637796089836</v>
      </c>
      <c r="AD30" s="156">
        <f t="shared" si="45"/>
        <v>-2829.6688819777032</v>
      </c>
      <c r="AE30" s="156">
        <f t="shared" si="45"/>
        <v>-2942.855637256811</v>
      </c>
      <c r="AF30" s="156">
        <f t="shared" si="45"/>
        <v>-3060.5698627470838</v>
      </c>
    </row>
    <row r="31" spans="1:37" ht="16">
      <c r="A31" s="2"/>
      <c r="B31" s="2" t="s">
        <v>21</v>
      </c>
      <c r="C31" s="2">
        <v>-910</v>
      </c>
      <c r="D31" s="2">
        <v>-842</v>
      </c>
      <c r="E31" s="4">
        <v>-1174</v>
      </c>
      <c r="F31" s="4">
        <v>-1384</v>
      </c>
      <c r="G31" s="4">
        <v>-1462</v>
      </c>
      <c r="H31" s="4">
        <v>-1150</v>
      </c>
      <c r="I31" s="4">
        <v>-1587</v>
      </c>
      <c r="J31" s="4">
        <v>-2607</v>
      </c>
      <c r="K31" s="4">
        <v>-1345</v>
      </c>
      <c r="L31" s="4">
        <v>-1613</v>
      </c>
      <c r="P31" s="124" t="s">
        <v>479</v>
      </c>
      <c r="Q31" s="129"/>
      <c r="R31" s="158">
        <f t="shared" ref="R31:AF31" si="46">R13</f>
        <v>-1530</v>
      </c>
      <c r="S31" s="158">
        <f t="shared" si="46"/>
        <v>-1735</v>
      </c>
      <c r="T31" s="158">
        <f t="shared" si="46"/>
        <v>-1972</v>
      </c>
      <c r="U31" s="158">
        <f t="shared" si="46"/>
        <v>64</v>
      </c>
      <c r="V31" s="158">
        <f t="shared" si="46"/>
        <v>-991</v>
      </c>
      <c r="W31" s="158">
        <f t="shared" si="46"/>
        <v>-2224</v>
      </c>
      <c r="X31" s="158">
        <f t="shared" si="46"/>
        <v>0</v>
      </c>
      <c r="Y31" s="158">
        <f t="shared" si="46"/>
        <v>0</v>
      </c>
      <c r="Z31" s="158">
        <f t="shared" si="46"/>
        <v>0</v>
      </c>
      <c r="AA31" s="158">
        <f t="shared" si="46"/>
        <v>0</v>
      </c>
      <c r="AB31" s="158">
        <f t="shared" si="46"/>
        <v>0</v>
      </c>
      <c r="AC31" s="158">
        <f t="shared" si="46"/>
        <v>0</v>
      </c>
      <c r="AD31" s="158">
        <f t="shared" si="46"/>
        <v>0</v>
      </c>
      <c r="AE31" s="158">
        <f t="shared" si="46"/>
        <v>0</v>
      </c>
      <c r="AF31" s="158">
        <f t="shared" si="46"/>
        <v>0</v>
      </c>
    </row>
    <row r="32" spans="1:37" ht="16">
      <c r="A32" s="2"/>
      <c r="B32" s="2" t="s">
        <v>22</v>
      </c>
      <c r="C32" s="4">
        <v>1847</v>
      </c>
      <c r="D32" s="4">
        <v>1906</v>
      </c>
      <c r="E32" s="4">
        <v>2759</v>
      </c>
      <c r="F32" s="4">
        <v>3116</v>
      </c>
      <c r="G32" s="4">
        <v>3617</v>
      </c>
      <c r="H32" s="4">
        <v>3808</v>
      </c>
      <c r="I32" s="4">
        <v>4059</v>
      </c>
      <c r="J32" s="4">
        <v>3915</v>
      </c>
      <c r="K32" s="4">
        <v>5859</v>
      </c>
      <c r="L32" s="4">
        <v>8118</v>
      </c>
      <c r="P32" s="137" t="s">
        <v>486</v>
      </c>
      <c r="Q32" s="138"/>
      <c r="R32" s="159">
        <f>R25+R26+R27+R29+R30+R31</f>
        <v>760</v>
      </c>
      <c r="S32" s="159">
        <f t="shared" ref="S32:AF32" si="47">S25+S26+S27+S29+S30+S31</f>
        <v>896</v>
      </c>
      <c r="T32" s="159">
        <f t="shared" si="47"/>
        <v>875</v>
      </c>
      <c r="U32" s="159">
        <f t="shared" si="47"/>
        <v>3112</v>
      </c>
      <c r="V32" s="159">
        <f t="shared" si="47"/>
        <v>3846</v>
      </c>
      <c r="W32" s="159">
        <f t="shared" si="47"/>
        <v>2884</v>
      </c>
      <c r="X32" s="159">
        <f t="shared" si="47"/>
        <v>4810.8278819737188</v>
      </c>
      <c r="Y32" s="159">
        <f t="shared" si="47"/>
        <v>5388.1272278105653</v>
      </c>
      <c r="Z32" s="159">
        <f t="shared" si="47"/>
        <v>6034.7024951478352</v>
      </c>
      <c r="AA32" s="159">
        <f t="shared" si="47"/>
        <v>6758.8667945655743</v>
      </c>
      <c r="AB32" s="159">
        <f t="shared" si="47"/>
        <v>8238.7060414152311</v>
      </c>
      <c r="AC32" s="159">
        <f t="shared" si="47"/>
        <v>8897.8025247284495</v>
      </c>
      <c r="AD32" s="159">
        <f t="shared" si="47"/>
        <v>9609.6267267067251</v>
      </c>
      <c r="AE32" s="159">
        <f t="shared" si="47"/>
        <v>11220.86104926884</v>
      </c>
      <c r="AF32" s="159">
        <f t="shared" si="47"/>
        <v>11669.6954912396</v>
      </c>
    </row>
    <row r="33" spans="1:32" ht="16">
      <c r="A33" s="2"/>
      <c r="B33" s="2" t="s">
        <v>23</v>
      </c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</row>
    <row r="34" spans="1:32" ht="16">
      <c r="A34" s="2"/>
      <c r="B34" s="5" t="s">
        <v>24</v>
      </c>
      <c r="C34" s="6">
        <v>1848</v>
      </c>
      <c r="D34" s="6">
        <v>1906</v>
      </c>
      <c r="E34" s="6">
        <v>2759</v>
      </c>
      <c r="F34" s="6">
        <v>3116</v>
      </c>
      <c r="G34" s="6">
        <v>3617</v>
      </c>
      <c r="H34" s="6">
        <v>3808</v>
      </c>
      <c r="I34" s="6">
        <v>4059</v>
      </c>
      <c r="J34" s="6">
        <v>3915</v>
      </c>
      <c r="K34" s="6">
        <v>5859</v>
      </c>
      <c r="L34" s="6">
        <v>8118</v>
      </c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</row>
    <row r="35" spans="1:32" ht="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</row>
    <row r="36" spans="1:32" ht="16">
      <c r="A36" s="2" t="s">
        <v>25</v>
      </c>
      <c r="B36" s="2"/>
      <c r="C36" s="2"/>
      <c r="D36" s="2"/>
      <c r="E36" s="2"/>
      <c r="F36" s="2"/>
      <c r="G36" s="2"/>
      <c r="H36" s="2"/>
      <c r="I36" s="2"/>
      <c r="J36" s="2"/>
      <c r="K36" s="2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</row>
    <row r="37" spans="1:32" ht="17" thickBot="1">
      <c r="A37" s="2"/>
      <c r="B37" s="2" t="s">
        <v>2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10</v>
      </c>
      <c r="K37" s="2" t="s">
        <v>11</v>
      </c>
      <c r="L37" s="2" t="s">
        <v>12</v>
      </c>
      <c r="P37" s="132" t="s">
        <v>487</v>
      </c>
      <c r="Q37" s="133"/>
      <c r="R37" s="126" t="s">
        <v>7</v>
      </c>
      <c r="S37" s="126" t="s">
        <v>8</v>
      </c>
      <c r="T37" s="126" t="s">
        <v>9</v>
      </c>
      <c r="U37" s="126" t="s">
        <v>10</v>
      </c>
      <c r="V37" s="126" t="s">
        <v>11</v>
      </c>
      <c r="W37" s="126" t="s">
        <v>12</v>
      </c>
      <c r="X37" s="126" t="s">
        <v>474</v>
      </c>
      <c r="Y37" s="126" t="s">
        <v>475</v>
      </c>
      <c r="Z37" s="126" t="s">
        <v>476</v>
      </c>
      <c r="AA37" s="126" t="s">
        <v>490</v>
      </c>
      <c r="AB37" s="126" t="s">
        <v>491</v>
      </c>
      <c r="AC37" s="126" t="s">
        <v>531</v>
      </c>
      <c r="AD37" s="126" t="s">
        <v>532</v>
      </c>
      <c r="AE37" s="126" t="s">
        <v>533</v>
      </c>
      <c r="AF37" s="126" t="s">
        <v>534</v>
      </c>
    </row>
    <row r="38" spans="1:32" ht="17" thickTop="1">
      <c r="A38" s="2"/>
      <c r="B38" s="2" t="s">
        <v>26</v>
      </c>
      <c r="C38" s="2"/>
      <c r="D38" s="2"/>
      <c r="E38" s="2"/>
      <c r="F38" s="2"/>
      <c r="G38" s="2"/>
      <c r="H38" s="2"/>
      <c r="I38" s="2"/>
      <c r="J38" s="2"/>
      <c r="K38" s="2"/>
      <c r="L38" s="2"/>
      <c r="P38" s="135" t="s">
        <v>488</v>
      </c>
      <c r="Q38" s="136"/>
      <c r="R38" s="154">
        <f>G50+G53-G39</f>
        <v>-4881</v>
      </c>
      <c r="S38" s="154">
        <f t="shared" ref="S38:V38" si="48">H50+H53-H39</f>
        <v>-3470</v>
      </c>
      <c r="T38" s="154">
        <f t="shared" si="48"/>
        <v>-3155</v>
      </c>
      <c r="U38" s="154">
        <f t="shared" si="48"/>
        <v>-2358</v>
      </c>
      <c r="V38" s="154">
        <f t="shared" si="48"/>
        <v>-2044</v>
      </c>
      <c r="W38" s="154">
        <f>L50+L53-L39</f>
        <v>851</v>
      </c>
      <c r="X38" s="158">
        <f>W40</f>
        <v>851</v>
      </c>
      <c r="Y38" s="158">
        <f>X40</f>
        <v>-3959.8278819737188</v>
      </c>
      <c r="Z38" s="158">
        <f>Y40</f>
        <v>-9347.955109784285</v>
      </c>
      <c r="AA38" s="158">
        <f>Z40</f>
        <v>-15382.657604932119</v>
      </c>
      <c r="AB38" s="158">
        <f>AA40</f>
        <v>-22141.524399497692</v>
      </c>
      <c r="AC38" s="158">
        <f t="shared" ref="AC38:AF38" si="49">AB40</f>
        <v>-30380.230440912921</v>
      </c>
      <c r="AD38" s="158">
        <f t="shared" si="49"/>
        <v>-39278.032965641367</v>
      </c>
      <c r="AE38" s="158">
        <f t="shared" si="49"/>
        <v>-48887.65969234809</v>
      </c>
      <c r="AF38" s="158">
        <f t="shared" si="49"/>
        <v>-60108.520741616929</v>
      </c>
    </row>
    <row r="39" spans="1:32" ht="16">
      <c r="A39" s="2"/>
      <c r="B39" s="2" t="s">
        <v>27</v>
      </c>
      <c r="C39" s="4">
        <v>4198</v>
      </c>
      <c r="D39" s="4">
        <v>4949</v>
      </c>
      <c r="E39" s="4">
        <v>5003</v>
      </c>
      <c r="F39" s="4">
        <v>6295</v>
      </c>
      <c r="G39" s="4">
        <v>6375</v>
      </c>
      <c r="H39" s="4">
        <v>6738</v>
      </c>
      <c r="I39" s="4">
        <v>8335</v>
      </c>
      <c r="J39" s="4">
        <v>7782</v>
      </c>
      <c r="K39" s="4">
        <v>8378</v>
      </c>
      <c r="L39" s="4">
        <v>7676</v>
      </c>
      <c r="P39" s="139" t="s">
        <v>489</v>
      </c>
      <c r="Q39" s="140"/>
      <c r="R39" s="160">
        <f t="shared" ref="R39:AF39" si="50">-R32</f>
        <v>-760</v>
      </c>
      <c r="S39" s="160">
        <f t="shared" si="50"/>
        <v>-896</v>
      </c>
      <c r="T39" s="160">
        <f t="shared" si="50"/>
        <v>-875</v>
      </c>
      <c r="U39" s="160">
        <f t="shared" si="50"/>
        <v>-3112</v>
      </c>
      <c r="V39" s="160">
        <f t="shared" si="50"/>
        <v>-3846</v>
      </c>
      <c r="W39" s="160">
        <f t="shared" si="50"/>
        <v>-2884</v>
      </c>
      <c r="X39" s="160">
        <f>-X32</f>
        <v>-4810.8278819737188</v>
      </c>
      <c r="Y39" s="160">
        <f t="shared" si="50"/>
        <v>-5388.1272278105653</v>
      </c>
      <c r="Z39" s="160">
        <f t="shared" si="50"/>
        <v>-6034.7024951478352</v>
      </c>
      <c r="AA39" s="160">
        <f t="shared" si="50"/>
        <v>-6758.8667945655743</v>
      </c>
      <c r="AB39" s="160">
        <f t="shared" si="50"/>
        <v>-8238.7060414152311</v>
      </c>
      <c r="AC39" s="160">
        <f t="shared" si="50"/>
        <v>-8897.8025247284495</v>
      </c>
      <c r="AD39" s="160">
        <f t="shared" si="50"/>
        <v>-9609.6267267067251</v>
      </c>
      <c r="AE39" s="160">
        <f t="shared" si="50"/>
        <v>-11220.86104926884</v>
      </c>
      <c r="AF39" s="160">
        <f t="shared" si="50"/>
        <v>-11669.6954912396</v>
      </c>
    </row>
    <row r="40" spans="1:32" ht="16">
      <c r="A40" s="2"/>
      <c r="B40" s="2" t="s">
        <v>28</v>
      </c>
      <c r="C40" s="2">
        <v>650</v>
      </c>
      <c r="D40" s="2">
        <v>808</v>
      </c>
      <c r="E40" s="2">
        <v>925</v>
      </c>
      <c r="F40" s="2">
        <v>966</v>
      </c>
      <c r="G40" s="4">
        <v>1109</v>
      </c>
      <c r="H40" s="4">
        <v>1079</v>
      </c>
      <c r="I40" s="4">
        <v>1416</v>
      </c>
      <c r="J40" s="4">
        <v>1969</v>
      </c>
      <c r="K40" s="4">
        <v>2276</v>
      </c>
      <c r="L40" s="4">
        <v>2514</v>
      </c>
      <c r="P40" s="141" t="s">
        <v>492</v>
      </c>
      <c r="Q40" s="142"/>
      <c r="R40" s="161">
        <f t="shared" ref="R40:W40" si="51">R38</f>
        <v>-4881</v>
      </c>
      <c r="S40" s="161">
        <f t="shared" si="51"/>
        <v>-3470</v>
      </c>
      <c r="T40" s="161">
        <f t="shared" si="51"/>
        <v>-3155</v>
      </c>
      <c r="U40" s="161">
        <f t="shared" si="51"/>
        <v>-2358</v>
      </c>
      <c r="V40" s="161">
        <f t="shared" si="51"/>
        <v>-2044</v>
      </c>
      <c r="W40" s="161">
        <f t="shared" si="51"/>
        <v>851</v>
      </c>
      <c r="X40" s="161">
        <f>X38+X39</f>
        <v>-3959.8278819737188</v>
      </c>
      <c r="Y40" s="161">
        <f>Y38+Y39</f>
        <v>-9347.955109784285</v>
      </c>
      <c r="Z40" s="161">
        <f>Z38+Z39</f>
        <v>-15382.657604932119</v>
      </c>
      <c r="AA40" s="161">
        <f>AA38+AA39</f>
        <v>-22141.524399497692</v>
      </c>
      <c r="AB40" s="161">
        <f>AB38+AB39</f>
        <v>-30380.230440912921</v>
      </c>
      <c r="AC40" s="161">
        <f t="shared" ref="AC40:AF40" si="52">AC38+AC39</f>
        <v>-39278.032965641367</v>
      </c>
      <c r="AD40" s="161">
        <f t="shared" si="52"/>
        <v>-48887.65969234809</v>
      </c>
      <c r="AE40" s="161">
        <f t="shared" si="52"/>
        <v>-60108.520741616929</v>
      </c>
      <c r="AF40" s="161">
        <f t="shared" si="52"/>
        <v>-71778.216232856532</v>
      </c>
    </row>
    <row r="41" spans="1:32" ht="16">
      <c r="A41" s="2"/>
      <c r="B41" s="2" t="s">
        <v>29</v>
      </c>
      <c r="C41" s="4">
        <v>1606</v>
      </c>
      <c r="D41" s="4">
        <v>1984</v>
      </c>
      <c r="E41" s="4">
        <v>3429</v>
      </c>
      <c r="F41" s="4">
        <v>3689</v>
      </c>
      <c r="G41" s="4">
        <v>3513</v>
      </c>
      <c r="H41" s="4">
        <v>3167</v>
      </c>
      <c r="I41" s="4">
        <v>3477</v>
      </c>
      <c r="J41" s="4">
        <v>4046</v>
      </c>
      <c r="K41" s="4">
        <v>5517</v>
      </c>
      <c r="L41" s="4">
        <v>6712</v>
      </c>
      <c r="P41" s="135" t="s">
        <v>493</v>
      </c>
      <c r="Q41" s="136"/>
      <c r="R41" s="143"/>
      <c r="S41" s="144"/>
      <c r="T41" s="144"/>
      <c r="U41" s="144"/>
      <c r="V41" s="144"/>
      <c r="W41" s="144"/>
      <c r="X41" s="158">
        <f>-X39</f>
        <v>4810.8278819737188</v>
      </c>
      <c r="Y41" s="158">
        <f>-Y39</f>
        <v>5388.1272278105653</v>
      </c>
      <c r="Z41" s="158">
        <f>-Z39</f>
        <v>6034.7024951478352</v>
      </c>
      <c r="AA41" s="158">
        <f>-AA39</f>
        <v>6758.8667945655743</v>
      </c>
      <c r="AB41" s="158">
        <f>-AB39</f>
        <v>8238.7060414152311</v>
      </c>
      <c r="AC41" s="158">
        <f t="shared" ref="AC41:AF41" si="53">-AC39</f>
        <v>8897.8025247284495</v>
      </c>
      <c r="AD41" s="158">
        <f t="shared" si="53"/>
        <v>9609.6267267067251</v>
      </c>
      <c r="AE41" s="158">
        <f t="shared" si="53"/>
        <v>11220.86104926884</v>
      </c>
      <c r="AF41" s="158">
        <f t="shared" si="53"/>
        <v>11669.6954912396</v>
      </c>
    </row>
    <row r="42" spans="1:32" ht="16">
      <c r="A42" s="2"/>
      <c r="B42" s="5" t="s">
        <v>30</v>
      </c>
      <c r="C42" s="6">
        <v>6454</v>
      </c>
      <c r="D42" s="6">
        <v>7741</v>
      </c>
      <c r="E42" s="6">
        <v>9357</v>
      </c>
      <c r="F42" s="6">
        <v>10950</v>
      </c>
      <c r="G42" s="6">
        <v>10997</v>
      </c>
      <c r="H42" s="6">
        <v>10984</v>
      </c>
      <c r="I42" s="6">
        <v>13228</v>
      </c>
      <c r="J42" s="6">
        <v>13797</v>
      </c>
      <c r="K42" s="6">
        <v>16171</v>
      </c>
      <c r="L42" s="6">
        <v>16902</v>
      </c>
      <c r="P42" s="135" t="s">
        <v>494</v>
      </c>
      <c r="Q42" s="136"/>
      <c r="R42" s="162">
        <f t="shared" ref="R42:X42" si="54">R40/R25</f>
        <v>-0.89939192924267553</v>
      </c>
      <c r="S42" s="162">
        <f t="shared" si="54"/>
        <v>-0.63033605812897364</v>
      </c>
      <c r="T42" s="162">
        <f t="shared" si="54"/>
        <v>-0.50471924492081266</v>
      </c>
      <c r="U42" s="162">
        <f t="shared" si="54"/>
        <v>-0.33333333333333331</v>
      </c>
      <c r="V42" s="162">
        <f t="shared" si="54"/>
        <v>-0.23046566692975531</v>
      </c>
      <c r="W42" s="162">
        <f t="shared" si="54"/>
        <v>8.3546043589240129E-2</v>
      </c>
      <c r="X42" s="162">
        <f t="shared" si="54"/>
        <v>-0.34710000087424953</v>
      </c>
      <c r="Y42" s="162">
        <f>Y40/Y25</f>
        <v>-0.73160539771665101</v>
      </c>
      <c r="Z42" s="162">
        <f>Z40/Z25</f>
        <v>-1.0749137877545094</v>
      </c>
      <c r="AA42" s="162">
        <f>AA40/AA25</f>
        <v>-1.381439136002597</v>
      </c>
      <c r="AB42" s="162">
        <f>AB40/AB25</f>
        <v>-1.7550582927279392</v>
      </c>
      <c r="AC42" s="162">
        <f t="shared" ref="AC42:AF42" si="55">AC40/AC25</f>
        <v>-2.1010019563625151</v>
      </c>
      <c r="AD42" s="162">
        <f t="shared" si="55"/>
        <v>-2.4213201634315666</v>
      </c>
      <c r="AE42" s="162">
        <f t="shared" si="55"/>
        <v>-2.8625670761060786</v>
      </c>
      <c r="AF42" s="162">
        <f t="shared" si="55"/>
        <v>-3.2868429536777248</v>
      </c>
    </row>
    <row r="43" spans="1:32" ht="16">
      <c r="A43" s="2"/>
      <c r="B43" s="2" t="s">
        <v>31</v>
      </c>
      <c r="C43" s="2">
        <v>439</v>
      </c>
      <c r="D43" s="2">
        <v>449</v>
      </c>
      <c r="E43" s="2">
        <v>472</v>
      </c>
      <c r="F43" s="2">
        <v>526</v>
      </c>
      <c r="G43" s="2">
        <v>615</v>
      </c>
      <c r="H43" s="2">
        <v>675</v>
      </c>
      <c r="I43" s="2">
        <v>733</v>
      </c>
      <c r="J43" s="2">
        <v>829</v>
      </c>
      <c r="K43" s="2">
        <v>921</v>
      </c>
      <c r="L43" s="4">
        <v>1828</v>
      </c>
      <c r="P43" s="135"/>
      <c r="Q43" s="136"/>
      <c r="R43" s="144"/>
      <c r="S43" s="143"/>
      <c r="T43" s="143"/>
      <c r="U43" s="143"/>
      <c r="V43" s="143"/>
      <c r="W43" s="143"/>
      <c r="X43" s="143"/>
      <c r="Y43" s="143"/>
      <c r="Z43" s="143"/>
      <c r="AA43" s="143"/>
      <c r="AB43" s="124"/>
      <c r="AC43" s="124"/>
      <c r="AD43" s="124"/>
      <c r="AE43" s="124"/>
      <c r="AF43" s="124"/>
    </row>
    <row r="44" spans="1:32" ht="17" thickBot="1">
      <c r="A44" s="2"/>
      <c r="B44" s="2" t="s">
        <v>32</v>
      </c>
      <c r="C44" s="2">
        <v>142</v>
      </c>
      <c r="D44" s="2"/>
      <c r="E44" s="2"/>
      <c r="F44" s="2"/>
      <c r="G44" s="2"/>
      <c r="H44" s="2"/>
      <c r="I44" s="2"/>
      <c r="J44" s="2"/>
      <c r="K44" s="2"/>
      <c r="L44" s="2"/>
      <c r="P44" s="198" t="s">
        <v>495</v>
      </c>
      <c r="Q44" s="197"/>
      <c r="R44" s="196" t="s">
        <v>7</v>
      </c>
      <c r="S44" s="196" t="s">
        <v>8</v>
      </c>
      <c r="T44" s="196" t="s">
        <v>9</v>
      </c>
      <c r="U44" s="196" t="s">
        <v>10</v>
      </c>
      <c r="V44" s="196" t="s">
        <v>11</v>
      </c>
      <c r="W44" s="196" t="s">
        <v>12</v>
      </c>
      <c r="X44" s="196" t="s">
        <v>474</v>
      </c>
      <c r="Y44" s="196" t="s">
        <v>475</v>
      </c>
      <c r="Z44" s="196" t="s">
        <v>476</v>
      </c>
      <c r="AA44" s="196" t="s">
        <v>490</v>
      </c>
      <c r="AB44" s="196" t="s">
        <v>491</v>
      </c>
      <c r="AC44" s="196" t="s">
        <v>491</v>
      </c>
      <c r="AD44" s="196" t="s">
        <v>491</v>
      </c>
      <c r="AE44" s="196" t="s">
        <v>491</v>
      </c>
      <c r="AF44" s="196" t="s">
        <v>491</v>
      </c>
    </row>
    <row r="45" spans="1:32" ht="17" thickTop="1">
      <c r="A45" s="2"/>
      <c r="B45" s="2" t="s">
        <v>33</v>
      </c>
      <c r="C45" s="4">
        <v>1802</v>
      </c>
      <c r="D45" s="4">
        <v>2503</v>
      </c>
      <c r="E45" s="4">
        <v>2633</v>
      </c>
      <c r="F45" s="4">
        <v>2766</v>
      </c>
      <c r="G45" s="4">
        <v>3717</v>
      </c>
      <c r="H45" s="4">
        <v>4591</v>
      </c>
      <c r="I45" s="4">
        <v>4714</v>
      </c>
      <c r="J45" s="4">
        <v>6703</v>
      </c>
      <c r="K45" s="4">
        <v>7768</v>
      </c>
      <c r="L45" s="4">
        <v>10506</v>
      </c>
      <c r="P45" s="195" t="s">
        <v>496</v>
      </c>
      <c r="Q45" s="193"/>
      <c r="R45" s="194">
        <f t="shared" ref="R45:AB45" si="56">SUM(R25:R27)</f>
        <v>4267</v>
      </c>
      <c r="S45" s="194">
        <f t="shared" si="56"/>
        <v>4508</v>
      </c>
      <c r="T45" s="194">
        <f t="shared" si="56"/>
        <v>5271</v>
      </c>
      <c r="U45" s="194">
        <f t="shared" si="56"/>
        <v>6597</v>
      </c>
      <c r="V45" s="194">
        <f t="shared" si="56"/>
        <v>7226</v>
      </c>
      <c r="W45" s="194">
        <f t="shared" si="56"/>
        <v>8066</v>
      </c>
      <c r="X45" s="194">
        <f t="shared" si="56"/>
        <v>8646.59925413372</v>
      </c>
      <c r="Y45" s="194">
        <f t="shared" si="56"/>
        <v>9684.1911646297667</v>
      </c>
      <c r="Z45" s="194">
        <f t="shared" si="56"/>
        <v>10846.294104385341</v>
      </c>
      <c r="AA45" s="194">
        <f t="shared" si="56"/>
        <v>12147.849396911581</v>
      </c>
      <c r="AB45" s="194">
        <f t="shared" si="56"/>
        <v>14058.807251948918</v>
      </c>
      <c r="AC45" s="194">
        <f t="shared" ref="AC45:AF45" si="57">SUM(AC25:AC27)</f>
        <v>15183.511832104832</v>
      </c>
      <c r="AD45" s="194">
        <f t="shared" si="57"/>
        <v>16398.192778673219</v>
      </c>
      <c r="AE45" s="194">
        <f t="shared" si="57"/>
        <v>18280.969743313995</v>
      </c>
      <c r="AF45" s="194">
        <f t="shared" si="57"/>
        <v>19012.20853304656</v>
      </c>
    </row>
    <row r="46" spans="1:32" ht="16">
      <c r="A46" s="2"/>
      <c r="B46" s="5" t="s">
        <v>34</v>
      </c>
      <c r="C46" s="6">
        <v>2383</v>
      </c>
      <c r="D46" s="6">
        <v>2952</v>
      </c>
      <c r="E46" s="6">
        <v>3105</v>
      </c>
      <c r="F46" s="6">
        <v>3292</v>
      </c>
      <c r="G46" s="6">
        <v>4332</v>
      </c>
      <c r="H46" s="6">
        <v>5266</v>
      </c>
      <c r="I46" s="6">
        <v>5447</v>
      </c>
      <c r="J46" s="6">
        <v>7532</v>
      </c>
      <c r="K46" s="6">
        <v>8689</v>
      </c>
      <c r="L46" s="6">
        <v>12334</v>
      </c>
      <c r="P46" s="180" t="s">
        <v>497</v>
      </c>
      <c r="Q46" s="191">
        <v>0.21</v>
      </c>
      <c r="R46" s="179">
        <f t="shared" ref="R46:AF46" si="58">-($Q$46*R45)</f>
        <v>-896.06999999999994</v>
      </c>
      <c r="S46" s="179">
        <f t="shared" si="58"/>
        <v>-946.68</v>
      </c>
      <c r="T46" s="179">
        <f t="shared" si="58"/>
        <v>-1106.9099999999999</v>
      </c>
      <c r="U46" s="179">
        <f t="shared" si="58"/>
        <v>-1385.37</v>
      </c>
      <c r="V46" s="179">
        <f t="shared" si="58"/>
        <v>-1517.46</v>
      </c>
      <c r="W46" s="179">
        <f t="shared" si="58"/>
        <v>-1693.86</v>
      </c>
      <c r="X46" s="179">
        <f t="shared" si="58"/>
        <v>-1815.785843368081</v>
      </c>
      <c r="Y46" s="179">
        <f t="shared" si="58"/>
        <v>-2033.680144572251</v>
      </c>
      <c r="Z46" s="179">
        <f t="shared" si="58"/>
        <v>-2277.7217619209214</v>
      </c>
      <c r="AA46" s="179">
        <f t="shared" si="58"/>
        <v>-2551.048373351432</v>
      </c>
      <c r="AB46" s="179">
        <f t="shared" si="58"/>
        <v>-2952.3495229092728</v>
      </c>
      <c r="AC46" s="179">
        <f t="shared" si="58"/>
        <v>-3188.5374847420148</v>
      </c>
      <c r="AD46" s="179">
        <f t="shared" si="58"/>
        <v>-3443.6204835213762</v>
      </c>
      <c r="AE46" s="179">
        <f t="shared" si="58"/>
        <v>-3839.0036460959391</v>
      </c>
      <c r="AF46" s="179">
        <f t="shared" si="58"/>
        <v>-3992.5637919397773</v>
      </c>
    </row>
    <row r="47" spans="1:32" ht="16">
      <c r="A47" s="2"/>
      <c r="B47" s="5" t="s">
        <v>35</v>
      </c>
      <c r="C47" s="6">
        <v>8837</v>
      </c>
      <c r="D47" s="6">
        <v>10693</v>
      </c>
      <c r="E47" s="6">
        <v>12462</v>
      </c>
      <c r="F47" s="6">
        <v>14242</v>
      </c>
      <c r="G47" s="6">
        <v>15329</v>
      </c>
      <c r="H47" s="6">
        <v>16250</v>
      </c>
      <c r="I47" s="6">
        <v>18675</v>
      </c>
      <c r="J47" s="6">
        <v>21329</v>
      </c>
      <c r="K47" s="6">
        <v>24860</v>
      </c>
      <c r="L47" s="6">
        <v>29236</v>
      </c>
      <c r="P47" s="195" t="s">
        <v>498</v>
      </c>
      <c r="Q47" s="193"/>
      <c r="R47" s="194">
        <f t="shared" ref="R47:AB47" si="59">SUM(R45:R46)</f>
        <v>3370.9300000000003</v>
      </c>
      <c r="S47" s="194">
        <f t="shared" si="59"/>
        <v>3561.32</v>
      </c>
      <c r="T47" s="194">
        <f t="shared" si="59"/>
        <v>4164.09</v>
      </c>
      <c r="U47" s="194">
        <f t="shared" si="59"/>
        <v>5211.63</v>
      </c>
      <c r="V47" s="194">
        <f t="shared" si="59"/>
        <v>5708.54</v>
      </c>
      <c r="W47" s="194">
        <f t="shared" si="59"/>
        <v>6372.14</v>
      </c>
      <c r="X47" s="194">
        <f t="shared" si="59"/>
        <v>6830.8134107656388</v>
      </c>
      <c r="Y47" s="194">
        <f t="shared" si="59"/>
        <v>7650.5110200575155</v>
      </c>
      <c r="Z47" s="194">
        <f t="shared" si="59"/>
        <v>8568.5723424644202</v>
      </c>
      <c r="AA47" s="194">
        <f t="shared" si="59"/>
        <v>9596.8010235601487</v>
      </c>
      <c r="AB47" s="194">
        <f t="shared" si="59"/>
        <v>11106.457729039645</v>
      </c>
      <c r="AC47" s="194">
        <f t="shared" ref="AC47:AF47" si="60">SUM(AC45:AC46)</f>
        <v>11994.974347362817</v>
      </c>
      <c r="AD47" s="194">
        <f t="shared" si="60"/>
        <v>12954.572295151844</v>
      </c>
      <c r="AE47" s="194">
        <f t="shared" si="60"/>
        <v>14441.966097218057</v>
      </c>
      <c r="AF47" s="194">
        <f t="shared" si="60"/>
        <v>15019.644741106782</v>
      </c>
    </row>
    <row r="48" spans="1:32" ht="16">
      <c r="A48" s="2"/>
      <c r="B48" s="2" t="s">
        <v>36</v>
      </c>
      <c r="C48" s="2"/>
      <c r="D48" s="2"/>
      <c r="E48" s="2"/>
      <c r="F48" s="2"/>
      <c r="G48" s="2"/>
      <c r="H48" s="2"/>
      <c r="I48" s="2"/>
      <c r="J48" s="2"/>
      <c r="K48" s="2"/>
      <c r="L48" s="2"/>
      <c r="P48" s="174"/>
      <c r="Q48" s="193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</row>
    <row r="49" spans="1:32" ht="16">
      <c r="A49" s="2"/>
      <c r="B49" s="2" t="s">
        <v>37</v>
      </c>
      <c r="C49" s="4">
        <v>1587</v>
      </c>
      <c r="D49" s="4">
        <v>2740</v>
      </c>
      <c r="E49" s="4">
        <v>2831</v>
      </c>
      <c r="F49" s="4">
        <v>3325</v>
      </c>
      <c r="G49" s="4">
        <v>3629</v>
      </c>
      <c r="H49" s="4">
        <v>3944</v>
      </c>
      <c r="I49" s="4">
        <v>4649</v>
      </c>
      <c r="J49" s="4">
        <v>5573</v>
      </c>
      <c r="K49" s="4">
        <v>6875</v>
      </c>
      <c r="L49" s="4">
        <v>6892</v>
      </c>
      <c r="P49" s="185" t="s">
        <v>514</v>
      </c>
      <c r="Q49" s="243">
        <f>AK20</f>
        <v>6.8687470641550438E-2</v>
      </c>
      <c r="R49" s="192"/>
      <c r="S49" s="192"/>
      <c r="T49" s="192"/>
      <c r="U49" s="192"/>
      <c r="V49" s="192"/>
      <c r="W49" s="192"/>
      <c r="X49" s="189"/>
      <c r="Y49" s="189"/>
      <c r="Z49" s="189"/>
      <c r="AA49" s="189"/>
      <c r="AB49" s="174"/>
      <c r="AC49" s="174"/>
      <c r="AD49" s="174"/>
      <c r="AE49" s="174"/>
      <c r="AF49" s="174"/>
    </row>
    <row r="50" spans="1:32" ht="16">
      <c r="A50" s="2"/>
      <c r="B50" s="2" t="s">
        <v>38</v>
      </c>
      <c r="C50" s="2"/>
      <c r="D50" s="2"/>
      <c r="E50" s="2"/>
      <c r="F50" s="2"/>
      <c r="G50" s="2"/>
      <c r="H50" s="2"/>
      <c r="I50" s="2"/>
      <c r="J50" s="2">
        <v>0</v>
      </c>
      <c r="K50" s="2">
        <v>500</v>
      </c>
      <c r="L50" s="2">
        <v>0</v>
      </c>
      <c r="P50" s="185" t="s">
        <v>516</v>
      </c>
      <c r="Q50" s="242">
        <v>0.03</v>
      </c>
      <c r="R50" s="183"/>
      <c r="S50" s="183"/>
      <c r="T50" s="183"/>
      <c r="U50" s="183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</row>
    <row r="51" spans="1:32" ht="16">
      <c r="A51" s="2"/>
      <c r="B51" s="2" t="s">
        <v>39</v>
      </c>
      <c r="C51" s="4">
        <v>1556</v>
      </c>
      <c r="D51" s="4">
        <v>1477</v>
      </c>
      <c r="E51" s="4">
        <v>2075</v>
      </c>
      <c r="F51" s="4">
        <v>2707</v>
      </c>
      <c r="G51" s="4">
        <v>2593</v>
      </c>
      <c r="H51" s="4">
        <v>2325</v>
      </c>
      <c r="I51" s="4">
        <v>2557</v>
      </c>
      <c r="J51" s="4">
        <v>3220</v>
      </c>
      <c r="K51" s="4">
        <v>4218</v>
      </c>
      <c r="L51" s="4">
        <v>5012</v>
      </c>
      <c r="P51" s="190"/>
      <c r="Q51" s="184"/>
      <c r="R51" s="183"/>
      <c r="S51" s="183"/>
      <c r="T51" s="183"/>
      <c r="U51" s="183"/>
      <c r="V51" s="189"/>
      <c r="W51" s="189"/>
      <c r="X51" s="189"/>
      <c r="Y51" s="189"/>
      <c r="Z51" s="189"/>
      <c r="AA51" s="189"/>
      <c r="AB51" s="174"/>
      <c r="AC51" s="174"/>
      <c r="AD51" s="174"/>
      <c r="AE51" s="174"/>
      <c r="AF51" s="174"/>
    </row>
    <row r="52" spans="1:32" ht="16">
      <c r="A52" s="2"/>
      <c r="B52" s="5" t="s">
        <v>40</v>
      </c>
      <c r="C52" s="6">
        <v>3143</v>
      </c>
      <c r="D52" s="6">
        <v>4217</v>
      </c>
      <c r="E52" s="6">
        <v>4906</v>
      </c>
      <c r="F52" s="6">
        <v>6032</v>
      </c>
      <c r="G52" s="6">
        <v>6222</v>
      </c>
      <c r="H52" s="6">
        <v>6269</v>
      </c>
      <c r="I52" s="6">
        <v>7206</v>
      </c>
      <c r="J52" s="6">
        <v>8793</v>
      </c>
      <c r="K52" s="6">
        <v>11593</v>
      </c>
      <c r="L52" s="6">
        <v>11904</v>
      </c>
      <c r="P52" s="188" t="s">
        <v>517</v>
      </c>
      <c r="Q52" s="187"/>
      <c r="R52" s="186"/>
      <c r="S52" s="186"/>
      <c r="T52" s="186"/>
      <c r="U52" s="186"/>
      <c r="V52" s="180"/>
      <c r="W52" s="180"/>
      <c r="X52" s="247">
        <v>1</v>
      </c>
      <c r="Y52" s="181">
        <f>X52+1</f>
        <v>2</v>
      </c>
      <c r="Z52" s="181">
        <f t="shared" ref="Z52:AF52" si="61">Y52+1</f>
        <v>3</v>
      </c>
      <c r="AA52" s="181">
        <f t="shared" si="61"/>
        <v>4</v>
      </c>
      <c r="AB52" s="181">
        <f t="shared" si="61"/>
        <v>5</v>
      </c>
      <c r="AC52" s="181">
        <f t="shared" si="61"/>
        <v>6</v>
      </c>
      <c r="AD52" s="181">
        <f t="shared" si="61"/>
        <v>7</v>
      </c>
      <c r="AE52" s="181">
        <f t="shared" si="61"/>
        <v>8</v>
      </c>
      <c r="AF52" s="181">
        <f t="shared" si="61"/>
        <v>9</v>
      </c>
    </row>
    <row r="53" spans="1:32" ht="16">
      <c r="A53" s="2"/>
      <c r="B53" s="2" t="s">
        <v>41</v>
      </c>
      <c r="C53" s="2"/>
      <c r="D53" s="2"/>
      <c r="E53" s="2"/>
      <c r="F53" s="2">
        <v>0</v>
      </c>
      <c r="G53" s="4">
        <v>1494</v>
      </c>
      <c r="H53" s="4">
        <v>3268</v>
      </c>
      <c r="I53" s="4">
        <v>5180</v>
      </c>
      <c r="J53" s="4">
        <v>5424</v>
      </c>
      <c r="K53" s="4">
        <v>5834</v>
      </c>
      <c r="L53" s="4">
        <v>8527</v>
      </c>
      <c r="P53" s="185" t="s">
        <v>518</v>
      </c>
      <c r="Q53" s="184"/>
      <c r="R53" s="183"/>
      <c r="S53" s="183"/>
      <c r="T53" s="183"/>
      <c r="U53" s="183"/>
      <c r="V53" s="174"/>
      <c r="W53" s="174"/>
      <c r="X53" s="182">
        <f>1/(1+$Q$49)^X52</f>
        <v>0.93572726121668093</v>
      </c>
      <c r="Y53" s="182">
        <f>1/(1+$Q$49)^Y52</f>
        <v>0.8755855073840707</v>
      </c>
      <c r="Z53" s="182">
        <f>1/(1+$Q$49)^Z52</f>
        <v>0.81930922878551427</v>
      </c>
      <c r="AA53" s="182">
        <f>1/(1+$Q$49)^AA52</f>
        <v>0.76664998074102042</v>
      </c>
      <c r="AB53" s="182">
        <f>1/(1+$Q$49)^AB52</f>
        <v>0.71737528679061624</v>
      </c>
      <c r="AC53" s="182">
        <f t="shared" ref="AC53:AF53" si="62">1/(1+$Q$49)^AC52</f>
        <v>0.67126761237311439</v>
      </c>
      <c r="AD53" s="182">
        <f t="shared" si="62"/>
        <v>0.62812340446935488</v>
      </c>
      <c r="AE53" s="182">
        <f t="shared" si="62"/>
        <v>0.58775219297020709</v>
      </c>
      <c r="AF53" s="182">
        <f t="shared" si="62"/>
        <v>0.54997574980210995</v>
      </c>
    </row>
    <row r="54" spans="1:32" ht="16">
      <c r="A54" s="2"/>
      <c r="B54" s="2" t="s">
        <v>42</v>
      </c>
      <c r="C54" s="2">
        <v>478</v>
      </c>
      <c r="D54" s="2">
        <v>599</v>
      </c>
      <c r="E54" s="2">
        <v>627</v>
      </c>
      <c r="F54" s="2">
        <v>715</v>
      </c>
      <c r="G54" s="2">
        <v>789</v>
      </c>
      <c r="H54" s="2">
        <v>651</v>
      </c>
      <c r="I54" s="2">
        <v>605</v>
      </c>
      <c r="J54" s="4">
        <v>1544</v>
      </c>
      <c r="K54" s="4">
        <v>1944</v>
      </c>
      <c r="L54" s="4">
        <v>2814</v>
      </c>
      <c r="P54" s="181" t="s">
        <v>519</v>
      </c>
      <c r="Q54" s="180"/>
      <c r="R54" s="180"/>
      <c r="S54" s="180"/>
      <c r="T54" s="180"/>
      <c r="U54" s="180"/>
      <c r="V54" s="180"/>
      <c r="W54" s="180"/>
      <c r="X54" s="179">
        <f>X47*X53</f>
        <v>6391.7783247379057</v>
      </c>
      <c r="Y54" s="179">
        <f>Y47*Y53</f>
        <v>6698.6765732444837</v>
      </c>
      <c r="Z54" s="179">
        <f>Z47*Z53</f>
        <v>7020.3103976974116</v>
      </c>
      <c r="AA54" s="179">
        <f>AA47*AA53</f>
        <v>7357.3873198877927</v>
      </c>
      <c r="AB54" s="179">
        <f>AB47*AB53</f>
        <v>7967.4982985976712</v>
      </c>
      <c r="AC54" s="179">
        <f t="shared" ref="AC54:AF54" si="63">AC47*AC53</f>
        <v>8051.8377906309943</v>
      </c>
      <c r="AD54" s="179">
        <f t="shared" si="63"/>
        <v>8137.0700534751604</v>
      </c>
      <c r="AE54" s="179">
        <f t="shared" si="63"/>
        <v>8488.2972444412953</v>
      </c>
      <c r="AF54" s="179">
        <f t="shared" si="63"/>
        <v>8260.4403782515201</v>
      </c>
    </row>
    <row r="55" spans="1:32" ht="16">
      <c r="A55" s="2"/>
      <c r="B55" s="5" t="s">
        <v>43</v>
      </c>
      <c r="C55" s="5">
        <v>478</v>
      </c>
      <c r="D55" s="5">
        <v>599</v>
      </c>
      <c r="E55" s="5">
        <v>627</v>
      </c>
      <c r="F55" s="5">
        <v>715</v>
      </c>
      <c r="G55" s="6">
        <v>2283</v>
      </c>
      <c r="H55" s="6">
        <v>3919</v>
      </c>
      <c r="I55" s="6">
        <v>5785</v>
      </c>
      <c r="J55" s="6">
        <v>6968</v>
      </c>
      <c r="K55" s="6">
        <v>7778</v>
      </c>
      <c r="L55" s="6">
        <v>11341</v>
      </c>
      <c r="P55" s="175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</row>
    <row r="56" spans="1:32" ht="16">
      <c r="A56" s="2"/>
      <c r="B56" s="5" t="s">
        <v>44</v>
      </c>
      <c r="C56" s="6">
        <v>3621</v>
      </c>
      <c r="D56" s="6">
        <v>4816</v>
      </c>
      <c r="E56" s="6">
        <v>5533</v>
      </c>
      <c r="F56" s="6">
        <v>6747</v>
      </c>
      <c r="G56" s="6">
        <v>8505</v>
      </c>
      <c r="H56" s="6">
        <v>10188</v>
      </c>
      <c r="I56" s="6">
        <v>12991</v>
      </c>
      <c r="J56" s="6">
        <v>15761</v>
      </c>
      <c r="K56" s="6">
        <v>19371</v>
      </c>
      <c r="L56" s="6">
        <v>23245</v>
      </c>
      <c r="P56" s="175" t="s">
        <v>527</v>
      </c>
      <c r="Q56" s="174"/>
      <c r="R56" s="178">
        <f>SUM(X54:AE54)</f>
        <v>60112.85600271271</v>
      </c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</row>
    <row r="57" spans="1:32" ht="16">
      <c r="A57" s="2"/>
      <c r="B57" s="2" t="s">
        <v>46</v>
      </c>
      <c r="C57" s="4">
        <v>3445</v>
      </c>
      <c r="D57" s="4">
        <v>3519</v>
      </c>
      <c r="E57" s="4">
        <v>3641</v>
      </c>
      <c r="F57" s="4">
        <v>3762</v>
      </c>
      <c r="G57" s="4">
        <v>3876</v>
      </c>
      <c r="H57" s="4">
        <v>4004</v>
      </c>
      <c r="I57" s="4">
        <v>4183</v>
      </c>
      <c r="J57" s="4">
        <v>4365</v>
      </c>
      <c r="K57" s="4">
        <v>4580</v>
      </c>
      <c r="L57" s="4">
        <v>4787</v>
      </c>
      <c r="P57" s="175" t="s">
        <v>520</v>
      </c>
      <c r="Q57" s="174"/>
      <c r="R57" s="178">
        <f>AF54/(Q49-Q50)</f>
        <v>213517.19927070619</v>
      </c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</row>
    <row r="58" spans="1:32" ht="16">
      <c r="A58" s="2"/>
      <c r="B58" s="2" t="s">
        <v>47</v>
      </c>
      <c r="C58" s="4">
        <v>-1250</v>
      </c>
      <c r="D58" s="4">
        <v>-2394</v>
      </c>
      <c r="E58" s="4">
        <v>-4139</v>
      </c>
      <c r="F58" s="4">
        <v>-6577</v>
      </c>
      <c r="G58" s="4">
        <v>-9995</v>
      </c>
      <c r="H58" s="4">
        <v>-13522</v>
      </c>
      <c r="I58" s="4">
        <v>-17021</v>
      </c>
      <c r="J58" s="4">
        <v>-20764</v>
      </c>
      <c r="K58" s="4">
        <v>-25750</v>
      </c>
      <c r="L58" s="4">
        <v>-32205</v>
      </c>
      <c r="P58" s="175" t="s">
        <v>521</v>
      </c>
      <c r="Q58" s="174"/>
      <c r="R58" s="178">
        <f>R57*AF53</f>
        <v>117429.28176455316</v>
      </c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</row>
    <row r="59" spans="1:32" ht="16">
      <c r="A59" s="2"/>
      <c r="B59" s="2" t="s">
        <v>48</v>
      </c>
      <c r="C59" s="4">
        <v>2915</v>
      </c>
      <c r="D59" s="4">
        <v>4745</v>
      </c>
      <c r="E59" s="4">
        <v>7354</v>
      </c>
      <c r="F59" s="4">
        <v>10121</v>
      </c>
      <c r="G59" s="4">
        <v>13169</v>
      </c>
      <c r="H59" s="4">
        <v>16222</v>
      </c>
      <c r="I59" s="4">
        <v>19418</v>
      </c>
      <c r="J59" s="4">
        <v>22364</v>
      </c>
      <c r="K59" s="4">
        <v>27283</v>
      </c>
      <c r="L59" s="4">
        <v>33984</v>
      </c>
      <c r="P59" s="175" t="s">
        <v>522</v>
      </c>
      <c r="Q59" s="174"/>
      <c r="R59" s="178">
        <f>R58+R56</f>
        <v>177542.13776726587</v>
      </c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</row>
    <row r="60" spans="1:32" ht="16">
      <c r="A60" s="2"/>
      <c r="B60" s="2" t="s">
        <v>49</v>
      </c>
      <c r="C60" s="2">
        <v>95</v>
      </c>
      <c r="D60" s="2">
        <v>-2</v>
      </c>
      <c r="E60" s="2">
        <v>61</v>
      </c>
      <c r="F60" s="2">
        <v>178</v>
      </c>
      <c r="G60" s="2">
        <v>-260</v>
      </c>
      <c r="H60" s="2">
        <v>-676</v>
      </c>
      <c r="I60" s="2">
        <v>-924</v>
      </c>
      <c r="J60" s="2">
        <v>-497</v>
      </c>
      <c r="K60" s="2">
        <v>-718</v>
      </c>
      <c r="L60" s="2">
        <v>-673</v>
      </c>
      <c r="P60" s="175" t="s">
        <v>523</v>
      </c>
      <c r="Q60" s="174"/>
      <c r="R60" s="178">
        <f>W38</f>
        <v>851</v>
      </c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</row>
    <row r="61" spans="1:32" ht="16">
      <c r="A61" s="2"/>
      <c r="B61" s="2" t="s">
        <v>50</v>
      </c>
      <c r="C61" s="4">
        <v>5205</v>
      </c>
      <c r="D61" s="4">
        <v>5868</v>
      </c>
      <c r="E61" s="4">
        <v>6917</v>
      </c>
      <c r="F61" s="4">
        <v>7484</v>
      </c>
      <c r="G61" s="4">
        <v>6790</v>
      </c>
      <c r="H61" s="4">
        <v>6028</v>
      </c>
      <c r="I61" s="4">
        <v>5656</v>
      </c>
      <c r="J61" s="4">
        <v>5468</v>
      </c>
      <c r="K61" s="4">
        <v>5395</v>
      </c>
      <c r="L61" s="4">
        <v>5893</v>
      </c>
      <c r="P61" s="175" t="s">
        <v>524</v>
      </c>
      <c r="Q61" s="174"/>
      <c r="R61" s="178">
        <f>R59-R60</f>
        <v>176691.13776726587</v>
      </c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</row>
    <row r="62" spans="1:32" ht="16">
      <c r="A62" s="2"/>
      <c r="B62" s="2" t="s">
        <v>23</v>
      </c>
      <c r="C62" s="2">
        <v>11</v>
      </c>
      <c r="D62" s="2">
        <v>9</v>
      </c>
      <c r="E62" s="2">
        <v>12</v>
      </c>
      <c r="F62" s="2">
        <v>11</v>
      </c>
      <c r="G62" s="2">
        <v>34</v>
      </c>
      <c r="H62" s="2">
        <v>34</v>
      </c>
      <c r="I62" s="2">
        <v>28</v>
      </c>
      <c r="J62" s="2">
        <v>100</v>
      </c>
      <c r="K62" s="2">
        <v>94</v>
      </c>
      <c r="L62" s="2">
        <v>98</v>
      </c>
      <c r="P62" s="175" t="s">
        <v>525</v>
      </c>
      <c r="Q62" s="174"/>
      <c r="R62" s="248">
        <v>993</v>
      </c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</row>
    <row r="63" spans="1:32" ht="16">
      <c r="A63" s="2"/>
      <c r="B63" s="5" t="s">
        <v>51</v>
      </c>
      <c r="C63" s="6">
        <v>5216</v>
      </c>
      <c r="D63" s="6">
        <v>5877</v>
      </c>
      <c r="E63" s="6">
        <v>6929</v>
      </c>
      <c r="F63" s="6">
        <v>7495</v>
      </c>
      <c r="G63" s="6">
        <v>6824</v>
      </c>
      <c r="H63" s="6">
        <v>6062</v>
      </c>
      <c r="I63" s="6">
        <v>5684</v>
      </c>
      <c r="J63" s="6">
        <v>5568</v>
      </c>
      <c r="K63" s="6">
        <v>5489</v>
      </c>
      <c r="L63" s="6">
        <v>5991</v>
      </c>
      <c r="P63" s="177" t="s">
        <v>526</v>
      </c>
      <c r="Q63" s="176"/>
      <c r="R63" s="238">
        <f>R61/R62</f>
        <v>177.93669462967358</v>
      </c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</row>
    <row r="64" spans="1:32" ht="16">
      <c r="A64" s="2"/>
      <c r="B64" s="5" t="s">
        <v>52</v>
      </c>
      <c r="C64" s="6">
        <v>8837</v>
      </c>
      <c r="D64" s="6">
        <v>10693</v>
      </c>
      <c r="E64" s="6">
        <v>12462</v>
      </c>
      <c r="F64" s="6">
        <v>14242</v>
      </c>
      <c r="G64" s="6">
        <v>15329</v>
      </c>
      <c r="H64" s="6">
        <v>16250</v>
      </c>
      <c r="I64" s="6">
        <v>18675</v>
      </c>
      <c r="J64" s="6">
        <v>21329</v>
      </c>
      <c r="K64" s="6">
        <v>24860</v>
      </c>
      <c r="L64" s="6">
        <v>29236</v>
      </c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  <c r="AC64" s="170"/>
      <c r="AD64" s="170"/>
      <c r="AE64" s="170"/>
      <c r="AF64" s="170"/>
    </row>
    <row r="65" spans="1:32" ht="1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P65" s="175" t="s">
        <v>527</v>
      </c>
      <c r="Q65" s="174"/>
      <c r="R65" s="178">
        <f>SUM(X54:AE54)</f>
        <v>60112.85600271271</v>
      </c>
      <c r="S65" s="174"/>
      <c r="T65" s="174" t="s">
        <v>535</v>
      </c>
      <c r="U65" s="178">
        <f>AF6</f>
        <v>21838.042536392626</v>
      </c>
      <c r="V65" s="174"/>
      <c r="W65" s="174"/>
      <c r="X65" s="174"/>
      <c r="Y65" s="174"/>
      <c r="Z65" s="174"/>
      <c r="AA65" s="174"/>
      <c r="AB65" s="174"/>
      <c r="AC65" s="170"/>
      <c r="AD65" s="170"/>
      <c r="AE65" s="170"/>
      <c r="AF65" s="170"/>
    </row>
    <row r="66" spans="1:32" ht="16">
      <c r="A66" s="2" t="s">
        <v>53</v>
      </c>
      <c r="B66" s="2"/>
      <c r="C66" s="2"/>
      <c r="D66" s="2"/>
      <c r="E66" s="2"/>
      <c r="F66" s="2"/>
      <c r="G66" s="2"/>
      <c r="H66" s="2"/>
      <c r="I66" s="2"/>
      <c r="J66" s="2"/>
      <c r="K66" s="2"/>
      <c r="P66" s="175" t="s">
        <v>520</v>
      </c>
      <c r="Q66" s="174"/>
      <c r="R66" s="178">
        <f>AF54*S66</f>
        <v>239552.77096929407</v>
      </c>
      <c r="S66" s="249">
        <v>29</v>
      </c>
      <c r="T66" s="174"/>
      <c r="U66" s="174"/>
      <c r="V66" s="174"/>
      <c r="W66" s="174"/>
      <c r="X66" s="174"/>
      <c r="Y66" s="174"/>
      <c r="Z66" s="174"/>
      <c r="AA66" s="174"/>
      <c r="AB66" s="174"/>
      <c r="AC66" s="170"/>
      <c r="AD66" s="170"/>
      <c r="AE66" s="170"/>
      <c r="AF66" s="170"/>
    </row>
    <row r="67" spans="1:32" ht="16">
      <c r="A67" s="2"/>
      <c r="B67" s="2" t="s">
        <v>2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2" t="s">
        <v>9</v>
      </c>
      <c r="J67" s="2" t="s">
        <v>10</v>
      </c>
      <c r="K67" s="2" t="s">
        <v>11</v>
      </c>
      <c r="L67" s="2" t="s">
        <v>12</v>
      </c>
      <c r="P67" s="175" t="s">
        <v>521</v>
      </c>
      <c r="Q67" s="174"/>
      <c r="R67" s="178">
        <f>R66*AF53</f>
        <v>131748.21483101061</v>
      </c>
      <c r="S67" s="174"/>
      <c r="T67" s="174"/>
      <c r="U67" s="174"/>
      <c r="V67" s="174"/>
      <c r="W67" s="174"/>
      <c r="X67" s="174"/>
      <c r="Y67" s="174"/>
      <c r="Z67" s="174"/>
      <c r="AA67" s="174"/>
      <c r="AB67" s="174"/>
      <c r="AC67" s="170"/>
      <c r="AD67" s="170"/>
      <c r="AE67" s="170"/>
      <c r="AF67" s="170"/>
    </row>
    <row r="68" spans="1:32" ht="16">
      <c r="A68" s="2"/>
      <c r="B68" s="2" t="s">
        <v>54</v>
      </c>
      <c r="C68" s="4">
        <v>1847</v>
      </c>
      <c r="D68" s="4">
        <v>1906</v>
      </c>
      <c r="E68" s="4">
        <v>2759</v>
      </c>
      <c r="F68" s="4">
        <v>3116</v>
      </c>
      <c r="G68" s="4">
        <v>3617</v>
      </c>
      <c r="H68" s="4">
        <v>3808</v>
      </c>
      <c r="I68" s="4">
        <v>4059</v>
      </c>
      <c r="J68" s="4">
        <v>3915</v>
      </c>
      <c r="K68" s="4">
        <v>5859</v>
      </c>
      <c r="L68" s="4">
        <v>8118</v>
      </c>
      <c r="P68" s="175" t="s">
        <v>522</v>
      </c>
      <c r="Q68" s="174"/>
      <c r="R68" s="178">
        <f>R65+R67</f>
        <v>191861.07083372332</v>
      </c>
      <c r="S68" s="174"/>
      <c r="T68" s="174"/>
      <c r="U68" s="174"/>
      <c r="V68" s="174"/>
      <c r="W68" s="174"/>
      <c r="X68" s="174"/>
      <c r="Y68" s="174"/>
      <c r="Z68" s="174"/>
      <c r="AA68" s="174"/>
      <c r="AB68" s="174"/>
      <c r="AC68" s="170"/>
      <c r="AD68" s="170"/>
      <c r="AE68" s="170"/>
      <c r="AF68" s="170"/>
    </row>
    <row r="69" spans="1:32" ht="16">
      <c r="A69" s="2"/>
      <c r="B69" s="2" t="s">
        <v>55</v>
      </c>
      <c r="C69" s="2">
        <v>148</v>
      </c>
      <c r="D69" s="2">
        <v>194</v>
      </c>
      <c r="E69" s="2">
        <v>230</v>
      </c>
      <c r="F69" s="2">
        <v>258</v>
      </c>
      <c r="G69" s="2">
        <v>321</v>
      </c>
      <c r="H69" s="2">
        <v>366</v>
      </c>
      <c r="I69" s="2">
        <v>373</v>
      </c>
      <c r="J69" s="2">
        <v>437</v>
      </c>
      <c r="K69" s="2">
        <v>459</v>
      </c>
      <c r="L69" s="2">
        <v>522</v>
      </c>
      <c r="P69" s="175" t="s">
        <v>523</v>
      </c>
      <c r="Q69" s="174"/>
      <c r="R69" s="178">
        <f>W38</f>
        <v>851</v>
      </c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</row>
    <row r="70" spans="1:32" ht="16">
      <c r="A70" s="2"/>
      <c r="B70" s="2" t="s">
        <v>56</v>
      </c>
      <c r="C70" s="2">
        <v>141</v>
      </c>
      <c r="D70" s="2">
        <v>-123</v>
      </c>
      <c r="E70" s="2">
        <v>812</v>
      </c>
      <c r="F70" s="2">
        <v>614</v>
      </c>
      <c r="G70" s="2">
        <v>637</v>
      </c>
      <c r="H70" s="2">
        <v>689</v>
      </c>
      <c r="I70" s="2">
        <v>919</v>
      </c>
      <c r="J70" s="4">
        <v>1442</v>
      </c>
      <c r="K70" s="4">
        <v>1138</v>
      </c>
      <c r="L70" s="4">
        <v>1241</v>
      </c>
      <c r="P70" s="175" t="s">
        <v>524</v>
      </c>
      <c r="Q70" s="174"/>
      <c r="R70" s="178">
        <f>R68-R69</f>
        <v>191010.07083372332</v>
      </c>
      <c r="S70" s="170"/>
      <c r="T70" s="170"/>
      <c r="U70" s="170"/>
      <c r="V70" s="170"/>
      <c r="W70" s="170"/>
      <c r="X70" s="170"/>
      <c r="Y70" s="170"/>
      <c r="Z70" s="170"/>
      <c r="AA70" s="170"/>
      <c r="AB70" s="170"/>
      <c r="AC70" s="170"/>
      <c r="AD70" s="170"/>
      <c r="AE70" s="170"/>
      <c r="AF70" s="170"/>
    </row>
    <row r="71" spans="1:32" ht="16">
      <c r="A71" s="2"/>
      <c r="B71" s="2" t="s">
        <v>57</v>
      </c>
      <c r="C71" s="2">
        <v>-439</v>
      </c>
      <c r="D71" s="2">
        <v>707</v>
      </c>
      <c r="E71" s="4">
        <v>-1579</v>
      </c>
      <c r="F71" s="2">
        <v>150</v>
      </c>
      <c r="G71" s="2">
        <v>-985</v>
      </c>
      <c r="H71" s="2">
        <v>-820</v>
      </c>
      <c r="I71" s="2">
        <v>-765</v>
      </c>
      <c r="J71" s="2">
        <v>-177</v>
      </c>
      <c r="K71" s="4">
        <v>-1313</v>
      </c>
      <c r="L71" s="4">
        <v>-1698</v>
      </c>
      <c r="P71" s="175" t="s">
        <v>525</v>
      </c>
      <c r="Q71" s="174"/>
      <c r="R71" s="250">
        <f>R62</f>
        <v>993</v>
      </c>
      <c r="S71" s="170"/>
      <c r="T71" s="170"/>
      <c r="U71" s="170"/>
      <c r="V71" s="170"/>
      <c r="W71" s="170"/>
      <c r="X71" s="170"/>
      <c r="Y71" s="170"/>
      <c r="Z71" s="170"/>
      <c r="AA71" s="170"/>
      <c r="AB71" s="170"/>
      <c r="AC71" s="170"/>
      <c r="AD71" s="170"/>
      <c r="AE71" s="170"/>
      <c r="AF71" s="170"/>
    </row>
    <row r="72" spans="1:32" ht="16" hidden="1">
      <c r="A72" s="2"/>
      <c r="B72" s="5" t="s">
        <v>58</v>
      </c>
      <c r="C72" s="6">
        <v>1697</v>
      </c>
      <c r="D72" s="6">
        <v>2684</v>
      </c>
      <c r="E72" s="6">
        <v>2222</v>
      </c>
      <c r="F72" s="6">
        <v>4138</v>
      </c>
      <c r="G72" s="6">
        <v>3590</v>
      </c>
      <c r="H72" s="6">
        <v>4043</v>
      </c>
      <c r="I72" s="6">
        <v>4586</v>
      </c>
      <c r="J72" s="6">
        <v>5617</v>
      </c>
      <c r="K72" s="6">
        <v>6143</v>
      </c>
      <c r="L72" s="6">
        <v>8183</v>
      </c>
      <c r="P72" s="177" t="s">
        <v>526</v>
      </c>
      <c r="Q72" s="176"/>
      <c r="R72" s="238">
        <f>R70/R71</f>
        <v>192.35656680133266</v>
      </c>
      <c r="S72" s="170"/>
      <c r="T72" s="170"/>
      <c r="U72" s="170"/>
      <c r="V72" s="170"/>
      <c r="W72" s="170"/>
      <c r="X72" s="170"/>
      <c r="Y72" s="170"/>
      <c r="Z72" s="170"/>
      <c r="AA72" s="170"/>
      <c r="AB72" s="170"/>
      <c r="AC72" s="170"/>
      <c r="AD72" s="170"/>
      <c r="AE72" s="170"/>
      <c r="AF72" s="170"/>
    </row>
    <row r="73" spans="1:32" ht="16">
      <c r="A73" s="2"/>
      <c r="B73" s="2" t="s">
        <v>59</v>
      </c>
      <c r="C73" s="2">
        <v>-61</v>
      </c>
      <c r="D73" s="2">
        <v>-77</v>
      </c>
      <c r="E73" s="2">
        <v>-96</v>
      </c>
      <c r="F73" s="2">
        <v>-155</v>
      </c>
      <c r="G73" s="2">
        <v>-175</v>
      </c>
      <c r="H73" s="2">
        <v>-177</v>
      </c>
      <c r="I73" s="2">
        <v>-215</v>
      </c>
      <c r="J73" s="2">
        <v>-300</v>
      </c>
      <c r="K73" s="2">
        <v>-330</v>
      </c>
      <c r="L73" s="2">
        <v>-422</v>
      </c>
      <c r="P73" s="177" t="s">
        <v>526</v>
      </c>
      <c r="Q73" s="176"/>
      <c r="R73" s="251">
        <f>R70/R71</f>
        <v>192.35656680133266</v>
      </c>
    </row>
    <row r="74" spans="1:32">
      <c r="A74" s="2"/>
      <c r="B74" s="2" t="s">
        <v>60</v>
      </c>
      <c r="C74" s="2">
        <v>78</v>
      </c>
      <c r="D74" s="2">
        <v>-51</v>
      </c>
      <c r="E74" s="4">
        <v>-1700</v>
      </c>
      <c r="F74" s="2">
        <v>319</v>
      </c>
      <c r="G74" s="4">
        <v>1450</v>
      </c>
      <c r="H74" s="4">
        <v>1128</v>
      </c>
      <c r="I74" s="2">
        <v>115</v>
      </c>
      <c r="J74" s="4">
        <v>1110</v>
      </c>
      <c r="K74" s="2">
        <v>612</v>
      </c>
      <c r="L74" s="4">
        <v>1214</v>
      </c>
    </row>
    <row r="75" spans="1:32">
      <c r="A75" s="2"/>
      <c r="B75" s="2" t="s">
        <v>61</v>
      </c>
      <c r="C75" s="2">
        <v>-565</v>
      </c>
      <c r="D75" s="2">
        <v>-534</v>
      </c>
      <c r="E75" s="2">
        <v>-70</v>
      </c>
      <c r="F75" s="2">
        <v>0</v>
      </c>
      <c r="G75" s="2">
        <v>-525</v>
      </c>
      <c r="H75" s="2">
        <v>-584</v>
      </c>
      <c r="I75" s="2">
        <v>0</v>
      </c>
      <c r="J75" s="4">
        <v>-1175</v>
      </c>
      <c r="K75" s="2">
        <v>0</v>
      </c>
      <c r="L75" s="4">
        <v>-1440</v>
      </c>
    </row>
    <row r="76" spans="1:32">
      <c r="A76" s="2"/>
      <c r="B76" s="2" t="s">
        <v>62</v>
      </c>
      <c r="C76" s="2">
        <v>-93</v>
      </c>
      <c r="D76" s="2">
        <v>-86</v>
      </c>
      <c r="E76" s="2">
        <v>-247</v>
      </c>
      <c r="F76" s="2">
        <v>-171</v>
      </c>
      <c r="G76" s="2">
        <v>-243</v>
      </c>
      <c r="H76" s="4">
        <v>-1082</v>
      </c>
      <c r="I76" s="4">
        <v>-1063</v>
      </c>
      <c r="J76" s="4">
        <v>-1416</v>
      </c>
      <c r="K76" s="2">
        <v>-788</v>
      </c>
      <c r="L76" s="2">
        <v>-992</v>
      </c>
    </row>
    <row r="77" spans="1:32">
      <c r="A77" s="2"/>
      <c r="B77" s="5" t="s">
        <v>63</v>
      </c>
      <c r="C77" s="5">
        <v>-641</v>
      </c>
      <c r="D77" s="5">
        <v>-748</v>
      </c>
      <c r="E77" s="6">
        <v>-2113</v>
      </c>
      <c r="F77" s="5">
        <v>-7</v>
      </c>
      <c r="G77" s="5">
        <v>507</v>
      </c>
      <c r="H77" s="5">
        <v>-715</v>
      </c>
      <c r="I77" s="6">
        <v>-1163</v>
      </c>
      <c r="J77" s="6">
        <v>-1781</v>
      </c>
      <c r="K77" s="5">
        <v>-506</v>
      </c>
      <c r="L77" s="6">
        <v>-1640</v>
      </c>
    </row>
    <row r="78" spans="1:32">
      <c r="A78" s="2"/>
      <c r="B78" s="2" t="s">
        <v>64</v>
      </c>
      <c r="C78" s="2">
        <v>-79</v>
      </c>
      <c r="D78" s="2">
        <v>-77</v>
      </c>
      <c r="E78" s="2">
        <v>-132</v>
      </c>
      <c r="F78" s="2">
        <v>-255</v>
      </c>
      <c r="G78" s="2">
        <v>-515</v>
      </c>
      <c r="H78" s="2">
        <v>-727</v>
      </c>
      <c r="I78" s="2">
        <v>-837</v>
      </c>
      <c r="J78" s="2">
        <v>-942</v>
      </c>
      <c r="K78" s="4">
        <v>-1044</v>
      </c>
      <c r="L78" s="4">
        <v>-1345</v>
      </c>
    </row>
    <row r="79" spans="1:32">
      <c r="A79" s="2"/>
      <c r="B79" s="2" t="s">
        <v>65</v>
      </c>
      <c r="C79" s="2">
        <v>0</v>
      </c>
      <c r="D79" s="2">
        <v>0</v>
      </c>
      <c r="E79" s="2">
        <v>0</v>
      </c>
      <c r="F79" s="2">
        <v>35</v>
      </c>
      <c r="G79" s="4">
        <v>1530</v>
      </c>
      <c r="H79" s="4">
        <v>1735</v>
      </c>
      <c r="I79" s="4">
        <v>1972</v>
      </c>
      <c r="J79" s="2">
        <v>-64</v>
      </c>
      <c r="K79" s="2">
        <v>991</v>
      </c>
      <c r="L79" s="4">
        <v>2224</v>
      </c>
    </row>
    <row r="80" spans="1:32">
      <c r="A80" s="2"/>
      <c r="B80" s="2" t="s">
        <v>66</v>
      </c>
      <c r="C80" s="2">
        <v>11</v>
      </c>
      <c r="D80" s="4">
        <v>-1129</v>
      </c>
      <c r="E80" s="4">
        <v>-1717</v>
      </c>
      <c r="F80" s="4">
        <v>-2417</v>
      </c>
      <c r="G80" s="4">
        <v>-3358</v>
      </c>
      <c r="H80" s="4">
        <v>-3491</v>
      </c>
      <c r="I80" s="4">
        <v>-3474</v>
      </c>
      <c r="J80" s="4">
        <v>-3705</v>
      </c>
      <c r="K80" s="4">
        <v>-4829</v>
      </c>
      <c r="L80" s="4">
        <v>-6371</v>
      </c>
    </row>
    <row r="81" spans="1:12">
      <c r="A81" s="2"/>
      <c r="B81" s="2" t="s">
        <v>67</v>
      </c>
      <c r="C81" s="2">
        <v>87</v>
      </c>
      <c r="D81" s="2">
        <v>-9</v>
      </c>
      <c r="E81" s="2">
        <v>51</v>
      </c>
      <c r="F81" s="2">
        <v>8</v>
      </c>
      <c r="G81" s="2">
        <v>4</v>
      </c>
      <c r="H81" s="2">
        <v>25</v>
      </c>
      <c r="I81" s="2">
        <v>46</v>
      </c>
      <c r="J81" s="2">
        <v>-6</v>
      </c>
      <c r="K81" s="2">
        <v>-4</v>
      </c>
      <c r="L81" s="2">
        <v>-375</v>
      </c>
    </row>
    <row r="82" spans="1:12">
      <c r="A82" s="2"/>
      <c r="B82" s="5" t="s">
        <v>68</v>
      </c>
      <c r="C82" s="5">
        <v>19</v>
      </c>
      <c r="D82" s="6">
        <v>-1215</v>
      </c>
      <c r="E82" s="6">
        <v>-1798</v>
      </c>
      <c r="F82" s="6">
        <v>-2629</v>
      </c>
      <c r="G82" s="6">
        <v>-2339</v>
      </c>
      <c r="H82" s="6">
        <v>-2458</v>
      </c>
      <c r="I82" s="6">
        <v>-2293</v>
      </c>
      <c r="J82" s="6">
        <v>-4717</v>
      </c>
      <c r="K82" s="6">
        <v>-4886</v>
      </c>
      <c r="L82" s="6">
        <v>-5867</v>
      </c>
    </row>
    <row r="83" spans="1:12">
      <c r="A83" s="2"/>
      <c r="B83" s="2" t="s">
        <v>69</v>
      </c>
      <c r="C83" s="4">
        <v>1075</v>
      </c>
      <c r="D83" s="2">
        <v>721</v>
      </c>
      <c r="E83" s="4">
        <v>-1689</v>
      </c>
      <c r="F83" s="4">
        <v>1502</v>
      </c>
      <c r="G83" s="4">
        <v>1758</v>
      </c>
      <c r="H83" s="2">
        <v>870</v>
      </c>
      <c r="I83" s="4">
        <v>1130</v>
      </c>
      <c r="J83" s="2">
        <v>-881</v>
      </c>
      <c r="K83" s="2">
        <v>751</v>
      </c>
      <c r="L83" s="2">
        <v>676</v>
      </c>
    </row>
    <row r="84" spans="1:12">
      <c r="A84" s="2"/>
      <c r="B84" s="2" t="s">
        <v>70</v>
      </c>
      <c r="C84" s="2">
        <v>-63</v>
      </c>
      <c r="D84" s="2">
        <v>-54</v>
      </c>
      <c r="E84" s="2">
        <v>7</v>
      </c>
      <c r="F84" s="2">
        <v>45</v>
      </c>
      <c r="G84" s="2">
        <v>-220</v>
      </c>
      <c r="H84" s="2">
        <v>-260</v>
      </c>
      <c r="I84" s="2">
        <v>-50</v>
      </c>
      <c r="J84" s="2">
        <v>200</v>
      </c>
      <c r="K84" s="2">
        <v>-6</v>
      </c>
      <c r="L84" s="2">
        <v>-44</v>
      </c>
    </row>
    <row r="85" spans="1:12">
      <c r="A85" s="2"/>
      <c r="B85" s="5" t="s">
        <v>71</v>
      </c>
      <c r="C85" s="6">
        <v>1012</v>
      </c>
      <c r="D85" s="5">
        <v>667</v>
      </c>
      <c r="E85" s="6">
        <v>-1682</v>
      </c>
      <c r="F85" s="6">
        <v>1547</v>
      </c>
      <c r="G85" s="6">
        <v>1538</v>
      </c>
      <c r="H85" s="5">
        <v>610</v>
      </c>
      <c r="I85" s="6">
        <v>1080</v>
      </c>
      <c r="J85" s="5">
        <v>-681</v>
      </c>
      <c r="K85" s="5">
        <v>745</v>
      </c>
      <c r="L85" s="5">
        <v>632</v>
      </c>
    </row>
    <row r="87" spans="1:12">
      <c r="B87" s="2" t="s">
        <v>98</v>
      </c>
      <c r="C87">
        <v>996</v>
      </c>
    </row>
    <row r="88" spans="1:12">
      <c r="B88" s="2" t="s">
        <v>109</v>
      </c>
      <c r="C88">
        <f>108.57</f>
        <v>108.57</v>
      </c>
    </row>
    <row r="89" spans="1:12">
      <c r="C89" s="2">
        <f>101390/(L26+L69)</f>
        <v>9.9538582367956021</v>
      </c>
    </row>
  </sheetData>
  <mergeCells count="1">
    <mergeCell ref="B1:M1"/>
  </mergeCells>
  <conditionalFormatting sqref="Q73">
    <cfRule type="top10" dxfId="5" priority="6" percent="1" rank="10"/>
  </conditionalFormatting>
  <conditionalFormatting sqref="R73">
    <cfRule type="top10" dxfId="4" priority="4" percent="1" rank="10"/>
  </conditionalFormatting>
  <conditionalFormatting sqref="S65:S72">
    <cfRule type="top10" dxfId="3" priority="3" percent="1" rank="10"/>
  </conditionalFormatting>
  <conditionalFormatting sqref="Q65:R72">
    <cfRule type="top10" dxfId="2" priority="1" percent="1" rank="10"/>
  </conditionalFormatting>
  <pageMargins left="0.7" right="0.7" top="0.75" bottom="0.75" header="0.3" footer="0.3"/>
  <pageSetup paperSize="9" orientation="portrait" horizontalDpi="300" verticalDpi="300" r:id="rId1"/>
  <ignoredErrors>
    <ignoredError sqref="D5:L7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84"/>
  <sheetViews>
    <sheetView showGridLines="0" zoomScale="90" zoomScaleNormal="90" workbookViewId="0">
      <selection activeCell="C7" sqref="C7:H7"/>
    </sheetView>
  </sheetViews>
  <sheetFormatPr baseColWidth="10" defaultColWidth="10.83203125" defaultRowHeight="15"/>
  <cols>
    <col min="1" max="1" width="2.1640625" customWidth="1"/>
    <col min="2" max="2" width="34.83203125" customWidth="1"/>
    <col min="3" max="8" width="12.5" customWidth="1"/>
    <col min="9" max="9" width="10.83203125" customWidth="1"/>
    <col min="11" max="11" width="24.1640625" customWidth="1"/>
    <col min="12" max="12" width="6.33203125" customWidth="1"/>
    <col min="13" max="13" width="10.83203125" customWidth="1"/>
    <col min="15" max="15" width="11.1640625" customWidth="1"/>
    <col min="16" max="16" width="10.33203125" customWidth="1"/>
    <col min="17" max="17" width="10.83203125" customWidth="1"/>
    <col min="18" max="18" width="12.83203125" customWidth="1"/>
    <col min="19" max="19" width="10.6640625" customWidth="1"/>
    <col min="32" max="32" width="11.6640625" bestFit="1" customWidth="1"/>
  </cols>
  <sheetData>
    <row r="1" spans="2:32" ht="16" thickBot="1">
      <c r="B1" s="261" t="s">
        <v>108</v>
      </c>
      <c r="C1" s="261"/>
      <c r="D1" s="261"/>
      <c r="E1" s="261"/>
      <c r="F1" s="261"/>
      <c r="G1" s="261"/>
      <c r="H1" s="261"/>
      <c r="I1" s="261"/>
    </row>
    <row r="2" spans="2:32" ht="18" thickTop="1" thickBot="1">
      <c r="C2" s="69" t="s">
        <v>7</v>
      </c>
      <c r="D2" s="69" t="s">
        <v>8</v>
      </c>
      <c r="E2" s="69" t="s">
        <v>9</v>
      </c>
      <c r="F2" s="69" t="s">
        <v>10</v>
      </c>
      <c r="G2" s="69" t="s">
        <v>11</v>
      </c>
      <c r="H2" s="69" t="s">
        <v>12</v>
      </c>
      <c r="I2" s="81" t="s">
        <v>466</v>
      </c>
      <c r="K2" s="125" t="s">
        <v>482</v>
      </c>
      <c r="L2" s="125"/>
      <c r="M2" s="126" t="s">
        <v>7</v>
      </c>
      <c r="N2" s="126" t="s">
        <v>8</v>
      </c>
      <c r="O2" s="126" t="s">
        <v>9</v>
      </c>
      <c r="P2" s="126" t="s">
        <v>10</v>
      </c>
      <c r="Q2" s="126" t="s">
        <v>11</v>
      </c>
      <c r="R2" s="126" t="s">
        <v>12</v>
      </c>
      <c r="S2" s="126" t="s">
        <v>474</v>
      </c>
      <c r="T2" s="126" t="s">
        <v>475</v>
      </c>
      <c r="U2" s="126" t="s">
        <v>476</v>
      </c>
      <c r="V2" s="126" t="s">
        <v>490</v>
      </c>
      <c r="W2" s="126" t="s">
        <v>491</v>
      </c>
      <c r="X2" s="126" t="s">
        <v>531</v>
      </c>
      <c r="Y2" s="126" t="s">
        <v>532</v>
      </c>
      <c r="Z2" s="126" t="s">
        <v>533</v>
      </c>
      <c r="AA2" s="126" t="s">
        <v>534</v>
      </c>
      <c r="AC2" s="121" t="s">
        <v>499</v>
      </c>
      <c r="AD2" s="122"/>
      <c r="AE2" s="122"/>
      <c r="AF2" s="122" t="s">
        <v>515</v>
      </c>
    </row>
    <row r="3" spans="2:32" ht="18" thickTop="1" thickBot="1">
      <c r="B3" s="78" t="s">
        <v>447</v>
      </c>
      <c r="C3" s="79">
        <f>C22</f>
        <v>8025</v>
      </c>
      <c r="D3" s="79">
        <f t="shared" ref="D3:H3" si="0">D22</f>
        <v>9248</v>
      </c>
      <c r="E3" s="79">
        <f t="shared" si="0"/>
        <v>10842</v>
      </c>
      <c r="F3" s="79">
        <f t="shared" si="0"/>
        <v>13094</v>
      </c>
      <c r="G3" s="79">
        <f t="shared" si="0"/>
        <v>15451</v>
      </c>
      <c r="H3" s="79">
        <f t="shared" si="0"/>
        <v>17772</v>
      </c>
      <c r="I3" s="82"/>
      <c r="K3" s="145" t="s">
        <v>447</v>
      </c>
      <c r="L3" s="145"/>
      <c r="M3" s="146">
        <f>C22</f>
        <v>8025</v>
      </c>
      <c r="N3" s="146">
        <f t="shared" ref="N3:R3" si="1">D22</f>
        <v>9248</v>
      </c>
      <c r="O3" s="146">
        <f t="shared" si="1"/>
        <v>10842</v>
      </c>
      <c r="P3" s="146">
        <f t="shared" si="1"/>
        <v>13094</v>
      </c>
      <c r="Q3" s="146">
        <f t="shared" si="1"/>
        <v>15451</v>
      </c>
      <c r="R3" s="146">
        <f t="shared" si="1"/>
        <v>17772</v>
      </c>
      <c r="S3" s="147">
        <f>R3*(1+$X$4)</f>
        <v>19904.640000000003</v>
      </c>
      <c r="T3" s="147">
        <f>S3*(1+S4)</f>
        <v>22691.289600000007</v>
      </c>
      <c r="U3" s="147">
        <f t="shared" ref="U3:AA3" si="2">T3*(1+T4)</f>
        <v>25868.070144000012</v>
      </c>
      <c r="V3" s="147">
        <f t="shared" si="2"/>
        <v>29489.599964160017</v>
      </c>
      <c r="W3" s="147">
        <f t="shared" si="2"/>
        <v>33028.351959859225</v>
      </c>
      <c r="X3" s="147">
        <f t="shared" si="2"/>
        <v>36991.754195042333</v>
      </c>
      <c r="Y3" s="147">
        <f t="shared" si="2"/>
        <v>41430.76469844742</v>
      </c>
      <c r="Z3" s="147">
        <f t="shared" si="2"/>
        <v>44745.225874323216</v>
      </c>
      <c r="AA3" s="147">
        <f t="shared" si="2"/>
        <v>48324.84394426908</v>
      </c>
      <c r="AC3" s="2" t="s">
        <v>500</v>
      </c>
      <c r="AF3" s="165">
        <v>8.3000000000000001E-3</v>
      </c>
    </row>
    <row r="4" spans="2:32" ht="17" thickTop="1">
      <c r="B4" s="70" t="s">
        <v>446</v>
      </c>
      <c r="C4" s="72"/>
      <c r="D4" s="72">
        <f>(D3-C3)/C3</f>
        <v>0.152398753894081</v>
      </c>
      <c r="E4" s="72">
        <f>(E3-D3)/D3</f>
        <v>0.17236159169550172</v>
      </c>
      <c r="F4" s="72">
        <f>(F3-E3)/E3</f>
        <v>0.20771075447334439</v>
      </c>
      <c r="G4" s="72">
        <f>(G3-F3)/F3</f>
        <v>0.18000610966855049</v>
      </c>
      <c r="H4" s="72">
        <f>(H3-G3)/G3</f>
        <v>0.15021681444566695</v>
      </c>
      <c r="I4" s="83">
        <f>(H3/C3)^(1/6)-1</f>
        <v>0.14169091169634185</v>
      </c>
      <c r="K4" s="148" t="s">
        <v>477</v>
      </c>
      <c r="L4" s="149"/>
      <c r="M4" s="150"/>
      <c r="N4" s="151">
        <f>(N3-M3)/M3</f>
        <v>0.152398753894081</v>
      </c>
      <c r="O4" s="151">
        <f t="shared" ref="O4:R4" si="3">(O3-N3)/N3</f>
        <v>0.17236159169550172</v>
      </c>
      <c r="P4" s="151">
        <f t="shared" si="3"/>
        <v>0.20771075447334439</v>
      </c>
      <c r="Q4" s="151">
        <f t="shared" si="3"/>
        <v>0.18000610966855049</v>
      </c>
      <c r="R4" s="151">
        <f t="shared" si="3"/>
        <v>0.15021681444566695</v>
      </c>
      <c r="S4" s="164">
        <v>0.14000000000000001</v>
      </c>
      <c r="T4" s="151">
        <f>S4</f>
        <v>0.14000000000000001</v>
      </c>
      <c r="U4" s="151">
        <f t="shared" ref="U4:AA4" si="4">T4</f>
        <v>0.14000000000000001</v>
      </c>
      <c r="V4" s="164">
        <v>0.12</v>
      </c>
      <c r="W4" s="151">
        <f t="shared" si="4"/>
        <v>0.12</v>
      </c>
      <c r="X4" s="151">
        <f t="shared" si="4"/>
        <v>0.12</v>
      </c>
      <c r="Y4" s="164">
        <v>0.08</v>
      </c>
      <c r="Z4" s="151">
        <f t="shared" si="4"/>
        <v>0.08</v>
      </c>
      <c r="AA4" s="151">
        <f t="shared" si="4"/>
        <v>0.08</v>
      </c>
      <c r="AB4" s="67"/>
      <c r="AC4" s="67" t="s">
        <v>501</v>
      </c>
      <c r="AD4" s="67"/>
      <c r="AE4" s="67"/>
      <c r="AF4" s="241">
        <v>5.6000000000000001E-2</v>
      </c>
    </row>
    <row r="5" spans="2:32" ht="17" thickBot="1">
      <c r="B5" s="75" t="s">
        <v>267</v>
      </c>
      <c r="C5" s="77">
        <f>C25+C66</f>
        <v>1784</v>
      </c>
      <c r="D5" s="77">
        <f t="shared" ref="D5:H5" si="5">D25+D66</f>
        <v>2117</v>
      </c>
      <c r="E5" s="77">
        <f t="shared" si="5"/>
        <v>2310</v>
      </c>
      <c r="F5" s="77">
        <f t="shared" si="5"/>
        <v>3064</v>
      </c>
      <c r="G5" s="77">
        <f t="shared" si="5"/>
        <v>3279</v>
      </c>
      <c r="H5" s="77">
        <f t="shared" si="5"/>
        <v>3702</v>
      </c>
      <c r="I5" s="84"/>
      <c r="K5" s="148"/>
      <c r="L5" s="149"/>
      <c r="M5" s="150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F5" s="2"/>
    </row>
    <row r="6" spans="2:32" ht="18" thickTop="1" thickBot="1">
      <c r="B6" s="70" t="s">
        <v>446</v>
      </c>
      <c r="C6" s="72"/>
      <c r="D6" s="72">
        <f>(D5-C5)/C5</f>
        <v>0.18665919282511212</v>
      </c>
      <c r="E6" s="72">
        <f>(E5-D5)/D5</f>
        <v>9.1166745394426069E-2</v>
      </c>
      <c r="F6" s="72">
        <f>(F5-E5)/E5</f>
        <v>0.32640692640692642</v>
      </c>
      <c r="G6" s="72">
        <f>(G5-F5)/F5</f>
        <v>7.0169712793733685E-2</v>
      </c>
      <c r="H6" s="72">
        <f>(H5-G5)/G5</f>
        <v>0.12900274473924978</v>
      </c>
      <c r="I6" s="83">
        <f>(H5/C5)^(1/6)-1</f>
        <v>0.12938043716453462</v>
      </c>
      <c r="K6" s="145" t="s">
        <v>267</v>
      </c>
      <c r="L6" s="145"/>
      <c r="M6" s="146">
        <f>C25+C66</f>
        <v>1784</v>
      </c>
      <c r="N6" s="146">
        <f t="shared" ref="N6:R6" si="6">D25+D66</f>
        <v>2117</v>
      </c>
      <c r="O6" s="146">
        <f t="shared" si="6"/>
        <v>2310</v>
      </c>
      <c r="P6" s="146">
        <f t="shared" si="6"/>
        <v>3064</v>
      </c>
      <c r="Q6" s="146">
        <f t="shared" si="6"/>
        <v>3279</v>
      </c>
      <c r="R6" s="146">
        <f t="shared" si="6"/>
        <v>3702</v>
      </c>
      <c r="S6" s="147">
        <f>R6*(1+$X$7)</f>
        <v>4146.2400000000007</v>
      </c>
      <c r="T6" s="147">
        <f>S6*(1+S7)</f>
        <v>4726.713600000001</v>
      </c>
      <c r="U6" s="147">
        <f t="shared" ref="U6:AA6" si="7">T6*(1+T7)</f>
        <v>5388.4535040000019</v>
      </c>
      <c r="V6" s="147">
        <f t="shared" si="7"/>
        <v>6142.8369945600025</v>
      </c>
      <c r="W6" s="147">
        <f t="shared" si="7"/>
        <v>6879.9774339072037</v>
      </c>
      <c r="X6" s="147">
        <f t="shared" si="7"/>
        <v>7705.5747259760692</v>
      </c>
      <c r="Y6" s="147">
        <f t="shared" si="7"/>
        <v>8630.2436930931981</v>
      </c>
      <c r="Z6" s="147">
        <f t="shared" si="7"/>
        <v>9320.663188540655</v>
      </c>
      <c r="AA6" s="147">
        <f t="shared" si="7"/>
        <v>10066.316243623907</v>
      </c>
      <c r="AB6" s="67"/>
      <c r="AC6" s="121" t="s">
        <v>502</v>
      </c>
      <c r="AD6" s="122"/>
      <c r="AE6" s="122"/>
      <c r="AF6" s="166"/>
    </row>
    <row r="7" spans="2:32" ht="17" thickBot="1">
      <c r="B7" s="75" t="s">
        <v>448</v>
      </c>
      <c r="C7" s="77">
        <f>C31</f>
        <v>419</v>
      </c>
      <c r="D7" s="77">
        <f t="shared" ref="D7:H7" si="8">D31</f>
        <v>1228</v>
      </c>
      <c r="E7" s="77">
        <f t="shared" si="8"/>
        <v>1401</v>
      </c>
      <c r="F7" s="77">
        <f t="shared" si="8"/>
        <v>1795</v>
      </c>
      <c r="G7" s="77">
        <f t="shared" si="8"/>
        <v>2057</v>
      </c>
      <c r="H7" s="77">
        <f t="shared" si="8"/>
        <v>2459</v>
      </c>
      <c r="I7" s="83"/>
      <c r="K7" s="149" t="s">
        <v>477</v>
      </c>
      <c r="L7" s="149"/>
      <c r="M7" s="152"/>
      <c r="N7" s="153">
        <f>(N6-M6)/M6</f>
        <v>0.18665919282511212</v>
      </c>
      <c r="O7" s="153">
        <f t="shared" ref="O7:R7" si="9">(O6-N6)/N6</f>
        <v>9.1166745394426069E-2</v>
      </c>
      <c r="P7" s="153">
        <f t="shared" si="9"/>
        <v>0.32640692640692642</v>
      </c>
      <c r="Q7" s="153">
        <f t="shared" si="9"/>
        <v>7.0169712793733685E-2</v>
      </c>
      <c r="R7" s="153">
        <f t="shared" si="9"/>
        <v>0.12900274473924978</v>
      </c>
      <c r="S7" s="164">
        <v>0.14000000000000001</v>
      </c>
      <c r="T7" s="153">
        <f>S7</f>
        <v>0.14000000000000001</v>
      </c>
      <c r="U7" s="153">
        <f t="shared" ref="U7:AA7" si="10">T7</f>
        <v>0.14000000000000001</v>
      </c>
      <c r="V7" s="164">
        <v>0.12</v>
      </c>
      <c r="W7" s="153">
        <f t="shared" si="10"/>
        <v>0.12</v>
      </c>
      <c r="X7" s="153">
        <f t="shared" si="10"/>
        <v>0.12</v>
      </c>
      <c r="Y7" s="164">
        <v>0.08</v>
      </c>
      <c r="Z7" s="153">
        <f t="shared" si="10"/>
        <v>0.08</v>
      </c>
      <c r="AA7" s="153">
        <f t="shared" si="10"/>
        <v>0.08</v>
      </c>
      <c r="AC7" s="2" t="s">
        <v>503</v>
      </c>
      <c r="AF7" s="2">
        <v>1.18</v>
      </c>
    </row>
    <row r="8" spans="2:32" ht="18" thickTop="1" thickBot="1">
      <c r="B8" s="70" t="s">
        <v>446</v>
      </c>
      <c r="C8" s="72"/>
      <c r="D8" s="72">
        <f>(D7-C7)/C7</f>
        <v>1.9307875894988067</v>
      </c>
      <c r="E8" s="72">
        <f>(E7-D7)/D7</f>
        <v>0.14087947882736157</v>
      </c>
      <c r="F8" s="72">
        <f>(F7-E7)/E7</f>
        <v>0.28122769450392576</v>
      </c>
      <c r="G8" s="72">
        <f>(G7-F7)/F7</f>
        <v>0.14596100278551533</v>
      </c>
      <c r="H8" s="72">
        <f>(H7-G7)/G7</f>
        <v>0.19543023821098687</v>
      </c>
      <c r="I8" s="87">
        <f>(H7/C7)^(1/6)-1</f>
        <v>0.34304557705580563</v>
      </c>
      <c r="K8" s="149"/>
      <c r="L8" s="149"/>
      <c r="M8" s="152"/>
      <c r="N8" s="153"/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67"/>
      <c r="AC8" s="67" t="s">
        <v>504</v>
      </c>
      <c r="AD8" s="67"/>
      <c r="AE8" s="67"/>
      <c r="AF8" s="120">
        <f>AF3+AF7* AF4</f>
        <v>7.4380000000000002E-2</v>
      </c>
    </row>
    <row r="9" spans="2:32" ht="17" thickTop="1">
      <c r="B9" s="2"/>
      <c r="C9" s="16"/>
      <c r="D9" s="16"/>
      <c r="E9" s="16"/>
      <c r="F9" s="16"/>
      <c r="G9" s="16"/>
      <c r="H9" s="16"/>
      <c r="I9" s="16"/>
      <c r="J9" s="16"/>
      <c r="K9" s="127" t="s">
        <v>55</v>
      </c>
      <c r="M9" s="154">
        <f>-C66</f>
        <v>-516</v>
      </c>
      <c r="N9" s="154">
        <f t="shared" ref="N9:R9" si="11">-D66</f>
        <v>-608</v>
      </c>
      <c r="O9" s="154">
        <f t="shared" si="11"/>
        <v>-724</v>
      </c>
      <c r="P9" s="154">
        <f t="shared" si="11"/>
        <v>-805</v>
      </c>
      <c r="Q9" s="154">
        <f t="shared" si="11"/>
        <v>-776</v>
      </c>
      <c r="R9" s="154">
        <f t="shared" si="11"/>
        <v>-912</v>
      </c>
      <c r="S9" s="244">
        <f>-S3*S10</f>
        <v>-1194.2784000000001</v>
      </c>
      <c r="T9" s="244">
        <f t="shared" ref="T9:AA9" si="12">-T3*T10</f>
        <v>-1361.4773760000003</v>
      </c>
      <c r="U9" s="244">
        <f t="shared" si="12"/>
        <v>-1552.0842086400007</v>
      </c>
      <c r="V9" s="244">
        <f t="shared" si="12"/>
        <v>-1769.3759978496009</v>
      </c>
      <c r="W9" s="244">
        <f t="shared" si="12"/>
        <v>-1981.7011175915534</v>
      </c>
      <c r="X9" s="244">
        <f t="shared" si="12"/>
        <v>-2219.5052517025397</v>
      </c>
      <c r="Y9" s="244">
        <f t="shared" si="12"/>
        <v>-2485.8458819068451</v>
      </c>
      <c r="Z9" s="244">
        <f t="shared" si="12"/>
        <v>-2684.7135524593928</v>
      </c>
      <c r="AA9" s="244">
        <f t="shared" si="12"/>
        <v>-2899.4906366561445</v>
      </c>
      <c r="AC9" s="2" t="s">
        <v>505</v>
      </c>
      <c r="AF9" s="169">
        <v>189269</v>
      </c>
    </row>
    <row r="10" spans="2:32" ht="17" thickBot="1">
      <c r="B10" s="75" t="s">
        <v>468</v>
      </c>
      <c r="C10" s="76">
        <f t="shared" ref="C10:H10" si="13">C7/1710</f>
        <v>0.24502923976608187</v>
      </c>
      <c r="D10" s="76">
        <f t="shared" si="13"/>
        <v>0.71812865497076028</v>
      </c>
      <c r="E10" s="76">
        <f t="shared" si="13"/>
        <v>0.81929824561403508</v>
      </c>
      <c r="F10" s="76">
        <f t="shared" si="13"/>
        <v>1.0497076023391814</v>
      </c>
      <c r="G10" s="76">
        <f t="shared" si="13"/>
        <v>1.2029239766081872</v>
      </c>
      <c r="H10" s="76">
        <f t="shared" si="13"/>
        <v>1.4380116959064329</v>
      </c>
      <c r="I10" s="16"/>
      <c r="J10" s="16"/>
      <c r="K10" s="127"/>
      <c r="L10" s="128"/>
      <c r="M10" s="151">
        <f t="shared" ref="M10:R10" si="14">M9/M3</f>
        <v>-6.4299065420560741E-2</v>
      </c>
      <c r="N10" s="151">
        <f t="shared" si="14"/>
        <v>-6.5743944636678195E-2</v>
      </c>
      <c r="O10" s="151">
        <f t="shared" si="14"/>
        <v>-6.6777347352886915E-2</v>
      </c>
      <c r="P10" s="151">
        <f t="shared" si="14"/>
        <v>-6.1478539789216434E-2</v>
      </c>
      <c r="Q10" s="151">
        <f t="shared" si="14"/>
        <v>-5.0223286518671931E-2</v>
      </c>
      <c r="R10" s="151">
        <f t="shared" si="14"/>
        <v>-5.1316677920324107E-2</v>
      </c>
      <c r="S10" s="164">
        <v>0.06</v>
      </c>
      <c r="T10" s="151">
        <f>S10</f>
        <v>0.06</v>
      </c>
      <c r="U10" s="151">
        <f t="shared" ref="U10:AA10" si="15">T10</f>
        <v>0.06</v>
      </c>
      <c r="V10" s="151">
        <f t="shared" si="15"/>
        <v>0.06</v>
      </c>
      <c r="W10" s="151">
        <f t="shared" si="15"/>
        <v>0.06</v>
      </c>
      <c r="X10" s="151">
        <f t="shared" si="15"/>
        <v>0.06</v>
      </c>
      <c r="Y10" s="151">
        <f t="shared" si="15"/>
        <v>0.06</v>
      </c>
      <c r="Z10" s="151">
        <f t="shared" si="15"/>
        <v>0.06</v>
      </c>
      <c r="AA10" s="151">
        <f t="shared" si="15"/>
        <v>0.06</v>
      </c>
      <c r="AF10" s="2"/>
    </row>
    <row r="11" spans="2:32" ht="18" thickTop="1" thickBot="1">
      <c r="B11" s="2" t="s">
        <v>94</v>
      </c>
      <c r="C11" s="1">
        <f>C49-C36</f>
        <v>-2230</v>
      </c>
      <c r="D11" s="1">
        <f t="shared" ref="D11:H11" si="16">D49-D36</f>
        <v>-3411</v>
      </c>
      <c r="E11" s="1">
        <f t="shared" si="16"/>
        <v>-4975</v>
      </c>
      <c r="F11" s="1">
        <f t="shared" si="16"/>
        <v>-5695</v>
      </c>
      <c r="G11" s="1">
        <f t="shared" si="16"/>
        <v>-9109</v>
      </c>
      <c r="H11" s="1">
        <f t="shared" si="16"/>
        <v>-5796</v>
      </c>
      <c r="K11" s="127"/>
      <c r="L11" s="128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C11" s="121" t="s">
        <v>506</v>
      </c>
      <c r="AD11" s="122"/>
      <c r="AE11" s="122"/>
      <c r="AF11" s="166"/>
    </row>
    <row r="12" spans="2:32" ht="16">
      <c r="B12" s="70" t="s">
        <v>446</v>
      </c>
      <c r="C12" s="72"/>
      <c r="D12" s="72">
        <f>(D11-C11)/C11</f>
        <v>0.52959641255605383</v>
      </c>
      <c r="E12" s="72">
        <f t="shared" ref="E12:H12" si="17">(E11-D11)/D11</f>
        <v>0.45851656405746116</v>
      </c>
      <c r="F12" s="72">
        <f t="shared" si="17"/>
        <v>0.14472361809045226</v>
      </c>
      <c r="G12" s="72">
        <f t="shared" si="17"/>
        <v>0.5994732221246708</v>
      </c>
      <c r="H12" s="72">
        <f t="shared" si="17"/>
        <v>-0.3637062246130201</v>
      </c>
      <c r="J12" s="68"/>
      <c r="K12" s="145" t="s">
        <v>478</v>
      </c>
      <c r="L12" s="145"/>
      <c r="M12" s="155">
        <f t="shared" ref="M12:AA12" si="18">M6+M9</f>
        <v>1268</v>
      </c>
      <c r="N12" s="155">
        <f t="shared" si="18"/>
        <v>1509</v>
      </c>
      <c r="O12" s="155">
        <f t="shared" si="18"/>
        <v>1586</v>
      </c>
      <c r="P12" s="155">
        <f t="shared" si="18"/>
        <v>2259</v>
      </c>
      <c r="Q12" s="155">
        <f t="shared" si="18"/>
        <v>2503</v>
      </c>
      <c r="R12" s="155">
        <f t="shared" si="18"/>
        <v>2790</v>
      </c>
      <c r="S12" s="155">
        <f t="shared" si="18"/>
        <v>2951.9616000000005</v>
      </c>
      <c r="T12" s="155">
        <f t="shared" si="18"/>
        <v>3365.2362240000007</v>
      </c>
      <c r="U12" s="155">
        <f t="shared" si="18"/>
        <v>3836.3692953600012</v>
      </c>
      <c r="V12" s="155">
        <f t="shared" si="18"/>
        <v>4373.4609967104016</v>
      </c>
      <c r="W12" s="155">
        <f t="shared" si="18"/>
        <v>4898.2763163156505</v>
      </c>
      <c r="X12" s="155">
        <f t="shared" si="18"/>
        <v>5486.0694742735295</v>
      </c>
      <c r="Y12" s="155">
        <f t="shared" si="18"/>
        <v>6144.3978111863526</v>
      </c>
      <c r="Z12" s="155">
        <f t="shared" si="18"/>
        <v>6635.9496360812627</v>
      </c>
      <c r="AA12" s="155">
        <f t="shared" si="18"/>
        <v>7166.8256069677627</v>
      </c>
      <c r="AC12" s="2" t="s">
        <v>507</v>
      </c>
      <c r="AF12" s="167">
        <v>4.4999999999999998E-2</v>
      </c>
    </row>
    <row r="13" spans="2:32" ht="16">
      <c r="K13" s="124" t="s">
        <v>479</v>
      </c>
      <c r="L13" s="124"/>
      <c r="M13" s="154">
        <f>C75</f>
        <v>-21</v>
      </c>
      <c r="N13" s="154">
        <f t="shared" ref="N13:R13" si="19">D75</f>
        <v>-862</v>
      </c>
      <c r="O13" s="154">
        <f t="shared" si="19"/>
        <v>-21</v>
      </c>
      <c r="P13" s="154">
        <f t="shared" si="19"/>
        <v>820</v>
      </c>
      <c r="Q13" s="154">
        <f t="shared" si="19"/>
        <v>960</v>
      </c>
      <c r="R13" s="154">
        <f t="shared" si="19"/>
        <v>-2516</v>
      </c>
      <c r="S13" s="154">
        <v>0</v>
      </c>
      <c r="T13" s="154">
        <v>0</v>
      </c>
      <c r="U13" s="154">
        <v>0</v>
      </c>
      <c r="V13" s="154">
        <v>0</v>
      </c>
      <c r="W13" s="154">
        <v>0</v>
      </c>
      <c r="X13" s="154">
        <v>0</v>
      </c>
      <c r="Y13" s="154">
        <v>0</v>
      </c>
      <c r="Z13" s="154">
        <v>0</v>
      </c>
      <c r="AA13" s="154">
        <v>0</v>
      </c>
      <c r="AC13" s="2" t="s">
        <v>508</v>
      </c>
      <c r="AF13" s="167">
        <v>0.21</v>
      </c>
    </row>
    <row r="14" spans="2:32" ht="16">
      <c r="B14" s="2" t="s">
        <v>449</v>
      </c>
      <c r="C14" s="1">
        <f>C70</f>
        <v>-492</v>
      </c>
      <c r="D14" s="1">
        <f t="shared" ref="D14:H14" si="20">D70</f>
        <v>-696</v>
      </c>
      <c r="E14" s="1">
        <f t="shared" si="20"/>
        <v>-669</v>
      </c>
      <c r="F14" s="1">
        <f t="shared" si="20"/>
        <v>-667</v>
      </c>
      <c r="G14" s="1">
        <f t="shared" si="20"/>
        <v>-820</v>
      </c>
      <c r="H14" s="1">
        <f t="shared" si="20"/>
        <v>-687</v>
      </c>
      <c r="K14" s="124"/>
      <c r="L14" s="129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C14" s="2" t="s">
        <v>509</v>
      </c>
      <c r="AF14" s="168">
        <f>(1-AF13)*AF12</f>
        <v>3.5549999999999998E-2</v>
      </c>
    </row>
    <row r="15" spans="2:32" ht="17" thickBot="1">
      <c r="B15" s="2" t="s">
        <v>450</v>
      </c>
      <c r="C15" s="1">
        <f>C68</f>
        <v>115</v>
      </c>
      <c r="D15" s="1">
        <f t="shared" ref="D15:H15" si="21">D68</f>
        <v>-13</v>
      </c>
      <c r="E15" s="1">
        <f t="shared" si="21"/>
        <v>162</v>
      </c>
      <c r="F15" s="1">
        <f t="shared" si="21"/>
        <v>236</v>
      </c>
      <c r="G15" s="1">
        <f t="shared" si="21"/>
        <v>1668</v>
      </c>
      <c r="H15" s="1">
        <f t="shared" si="21"/>
        <v>-5</v>
      </c>
      <c r="K15" s="130" t="s">
        <v>480</v>
      </c>
      <c r="L15" s="130"/>
      <c r="M15" s="146">
        <f>C27</f>
        <v>1261</v>
      </c>
      <c r="N15" s="146">
        <f t="shared" ref="N15:R15" si="22">D27</f>
        <v>1536</v>
      </c>
      <c r="O15" s="146">
        <f t="shared" si="22"/>
        <v>1631</v>
      </c>
      <c r="P15" s="146">
        <f t="shared" si="22"/>
        <v>2332</v>
      </c>
      <c r="Q15" s="146">
        <f t="shared" si="22"/>
        <v>2685</v>
      </c>
      <c r="R15" s="146">
        <f t="shared" si="22"/>
        <v>3069</v>
      </c>
      <c r="S15" s="155">
        <f>S12+S13</f>
        <v>2951.9616000000005</v>
      </c>
      <c r="T15" s="155">
        <f t="shared" ref="T15:AA15" si="23">T12+T13</f>
        <v>3365.2362240000007</v>
      </c>
      <c r="U15" s="155">
        <f t="shared" si="23"/>
        <v>3836.3692953600012</v>
      </c>
      <c r="V15" s="155">
        <f t="shared" si="23"/>
        <v>4373.4609967104016</v>
      </c>
      <c r="W15" s="155">
        <f t="shared" si="23"/>
        <v>4898.2763163156505</v>
      </c>
      <c r="X15" s="155">
        <f t="shared" si="23"/>
        <v>5486.0694742735295</v>
      </c>
      <c r="Y15" s="155">
        <f t="shared" si="23"/>
        <v>6144.3978111863526</v>
      </c>
      <c r="Z15" s="155">
        <f t="shared" si="23"/>
        <v>6635.9496360812627</v>
      </c>
      <c r="AA15" s="155">
        <f t="shared" si="23"/>
        <v>7166.8256069677627</v>
      </c>
      <c r="AC15" s="2" t="s">
        <v>510</v>
      </c>
      <c r="AF15" s="4">
        <f>R38</f>
        <v>-5796</v>
      </c>
    </row>
    <row r="16" spans="2:32" ht="17" thickTop="1">
      <c r="B16" s="2"/>
      <c r="C16" s="1"/>
      <c r="D16" s="1"/>
      <c r="E16" s="1"/>
      <c r="F16" s="1"/>
      <c r="G16" s="1"/>
      <c r="H16" s="1"/>
      <c r="I16" s="81" t="s">
        <v>471</v>
      </c>
      <c r="K16" s="245"/>
      <c r="L16" s="245"/>
      <c r="M16" s="246"/>
      <c r="N16" s="246"/>
      <c r="O16" s="246"/>
      <c r="P16" s="246"/>
      <c r="Q16" s="246"/>
      <c r="R16" s="246"/>
      <c r="S16" s="240"/>
      <c r="T16" s="240"/>
      <c r="U16" s="240"/>
      <c r="V16" s="240"/>
      <c r="W16" s="240"/>
      <c r="X16" s="240"/>
      <c r="Y16" s="240"/>
      <c r="Z16" s="240"/>
      <c r="AA16" s="240"/>
      <c r="AF16" s="2"/>
    </row>
    <row r="17" spans="1:32" ht="17" thickBot="1">
      <c r="B17" s="75" t="s">
        <v>93</v>
      </c>
      <c r="C17" s="80">
        <f t="shared" ref="C17:H17" si="24">(C5+C14+C15)/C5</f>
        <v>0.78867713004484308</v>
      </c>
      <c r="D17" s="80">
        <f t="shared" si="24"/>
        <v>0.66509211147850733</v>
      </c>
      <c r="E17" s="80">
        <f t="shared" si="24"/>
        <v>0.7805194805194805</v>
      </c>
      <c r="F17" s="80">
        <f t="shared" si="24"/>
        <v>0.85933420365535251</v>
      </c>
      <c r="G17" s="80">
        <f t="shared" si="24"/>
        <v>1.2586154315340043</v>
      </c>
      <c r="H17" s="80">
        <f t="shared" si="24"/>
        <v>0.8130740140464614</v>
      </c>
      <c r="I17" s="109">
        <f>AVERAGE(B17:G17)</f>
        <v>0.87044767144643775</v>
      </c>
      <c r="K17" s="124" t="s">
        <v>481</v>
      </c>
      <c r="L17" s="124"/>
      <c r="M17" s="154">
        <f>C30</f>
        <v>-842</v>
      </c>
      <c r="N17" s="154">
        <f t="shared" ref="N17:R17" si="25">D30</f>
        <v>-260</v>
      </c>
      <c r="O17" s="154">
        <f t="shared" si="25"/>
        <v>-230</v>
      </c>
      <c r="P17" s="154">
        <f t="shared" si="25"/>
        <v>-405</v>
      </c>
      <c r="Q17" s="154">
        <f t="shared" si="25"/>
        <v>-319</v>
      </c>
      <c r="R17" s="154">
        <f t="shared" si="25"/>
        <v>-539</v>
      </c>
      <c r="S17" s="156">
        <f>-S15*$X$18</f>
        <v>-619.91193600000008</v>
      </c>
      <c r="T17" s="156">
        <f>-T15*$X$18</f>
        <v>-706.69960704000016</v>
      </c>
      <c r="U17" s="156">
        <f>-U15*$X$18</f>
        <v>-805.63755202560026</v>
      </c>
      <c r="V17" s="156">
        <f>-V15*$X$18</f>
        <v>-918.42680930918425</v>
      </c>
      <c r="W17" s="156">
        <f>-W15*$X$18</f>
        <v>-1028.6380264262866</v>
      </c>
      <c r="X17" s="156">
        <f t="shared" ref="X17:AA17" si="26">-X15*$X$18</f>
        <v>-1152.0745895974412</v>
      </c>
      <c r="Y17" s="156">
        <f t="shared" si="26"/>
        <v>-1290.323540349134</v>
      </c>
      <c r="Z17" s="156">
        <f t="shared" si="26"/>
        <v>-1393.5494235770652</v>
      </c>
      <c r="AA17" s="156">
        <f t="shared" si="26"/>
        <v>-1505.0333774632302</v>
      </c>
      <c r="AC17" s="121" t="s">
        <v>511</v>
      </c>
      <c r="AD17" s="122"/>
      <c r="AE17" s="122"/>
      <c r="AF17" s="166"/>
    </row>
    <row r="18" spans="1:32" ht="17" thickTop="1">
      <c r="K18" s="124"/>
      <c r="L18" s="129"/>
      <c r="M18" s="153">
        <f t="shared" ref="M18:R18" si="27">-M17/M15</f>
        <v>0.66772402854877078</v>
      </c>
      <c r="N18" s="153">
        <f t="shared" si="27"/>
        <v>0.16927083333333334</v>
      </c>
      <c r="O18" s="153">
        <f t="shared" si="27"/>
        <v>0.14101778050275904</v>
      </c>
      <c r="P18" s="153">
        <f t="shared" si="27"/>
        <v>0.17367066895368782</v>
      </c>
      <c r="Q18" s="153">
        <f t="shared" si="27"/>
        <v>0.11880819366852886</v>
      </c>
      <c r="R18" s="153">
        <f t="shared" si="27"/>
        <v>0.17562724014336917</v>
      </c>
      <c r="S18" s="163">
        <v>0.21</v>
      </c>
      <c r="T18" s="153">
        <f>S18</f>
        <v>0.21</v>
      </c>
      <c r="U18" s="153">
        <f t="shared" ref="U18:AA18" si="28">T18</f>
        <v>0.21</v>
      </c>
      <c r="V18" s="153">
        <f t="shared" si="28"/>
        <v>0.21</v>
      </c>
      <c r="W18" s="153">
        <f t="shared" si="28"/>
        <v>0.21</v>
      </c>
      <c r="X18" s="153">
        <f t="shared" si="28"/>
        <v>0.21</v>
      </c>
      <c r="Y18" s="153">
        <f t="shared" si="28"/>
        <v>0.21</v>
      </c>
      <c r="Z18" s="153">
        <f t="shared" si="28"/>
        <v>0.21</v>
      </c>
      <c r="AA18" s="153">
        <f t="shared" si="28"/>
        <v>0.21</v>
      </c>
      <c r="AC18" s="2" t="s">
        <v>512</v>
      </c>
      <c r="AF18" s="2"/>
    </row>
    <row r="19" spans="1:32" ht="16">
      <c r="K19" s="124"/>
      <c r="L19" s="129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C19" s="2" t="s">
        <v>513</v>
      </c>
      <c r="AF19" s="165">
        <f>AF15/AF9</f>
        <v>-3.062308143436062E-2</v>
      </c>
    </row>
    <row r="20" spans="1:32" ht="16">
      <c r="A20" s="2" t="s">
        <v>1</v>
      </c>
      <c r="B20" s="2"/>
      <c r="C20" s="2"/>
      <c r="D20" s="2"/>
      <c r="E20" s="2"/>
      <c r="F20" s="2"/>
      <c r="G20" s="2"/>
      <c r="K20" s="130" t="s">
        <v>448</v>
      </c>
      <c r="L20" s="131"/>
      <c r="M20" s="146">
        <f>C31</f>
        <v>419</v>
      </c>
      <c r="N20" s="146">
        <f t="shared" ref="N20:R20" si="29">D31</f>
        <v>1228</v>
      </c>
      <c r="O20" s="146">
        <f t="shared" si="29"/>
        <v>1401</v>
      </c>
      <c r="P20" s="146">
        <f t="shared" si="29"/>
        <v>1795</v>
      </c>
      <c r="Q20" s="146">
        <f t="shared" si="29"/>
        <v>2057</v>
      </c>
      <c r="R20" s="146">
        <f t="shared" si="29"/>
        <v>2459</v>
      </c>
      <c r="S20" s="155">
        <f>S15+S17</f>
        <v>2332.0496640000006</v>
      </c>
      <c r="T20" s="155">
        <f>T15+T17</f>
        <v>2658.5366169600006</v>
      </c>
      <c r="U20" s="155">
        <f>U15+U17</f>
        <v>3030.731743334401</v>
      </c>
      <c r="V20" s="155">
        <f>V15+V17</f>
        <v>3455.0341874012174</v>
      </c>
      <c r="W20" s="155">
        <f>W15+W17</f>
        <v>3869.6382898893639</v>
      </c>
      <c r="X20" s="155">
        <f t="shared" ref="X20:AA20" si="30">X15+X17</f>
        <v>4333.9948846760881</v>
      </c>
      <c r="Y20" s="155">
        <f t="shared" si="30"/>
        <v>4854.0742708372181</v>
      </c>
      <c r="Z20" s="155">
        <f t="shared" si="30"/>
        <v>5242.400212504197</v>
      </c>
      <c r="AA20" s="155">
        <f t="shared" si="30"/>
        <v>5661.7922295045328</v>
      </c>
      <c r="AC20" s="119" t="s">
        <v>514</v>
      </c>
      <c r="AD20" s="118"/>
      <c r="AE20" s="118"/>
      <c r="AF20" s="123">
        <f>(1-AF19)*AF8+AF19*AF14</f>
        <v>7.5569094252096222E-2</v>
      </c>
    </row>
    <row r="21" spans="1:32" ht="16">
      <c r="A21" s="2"/>
      <c r="B21" s="2" t="s">
        <v>2</v>
      </c>
      <c r="C21" s="2" t="s">
        <v>7</v>
      </c>
      <c r="D21" s="2" t="s">
        <v>8</v>
      </c>
      <c r="E21" s="2" t="s">
        <v>9</v>
      </c>
      <c r="F21" s="2" t="s">
        <v>10</v>
      </c>
      <c r="G21" s="2" t="s">
        <v>11</v>
      </c>
      <c r="H21" s="2" t="s">
        <v>12</v>
      </c>
      <c r="K21" s="149" t="s">
        <v>477</v>
      </c>
      <c r="L21" s="149"/>
      <c r="M21" s="152"/>
      <c r="N21" s="153">
        <f>(N20-M20)/M20</f>
        <v>1.9307875894988067</v>
      </c>
      <c r="O21" s="153">
        <f t="shared" ref="O21:AA21" si="31">(O20-N20)/N20</f>
        <v>0.14087947882736157</v>
      </c>
      <c r="P21" s="153">
        <f t="shared" si="31"/>
        <v>0.28122769450392576</v>
      </c>
      <c r="Q21" s="153">
        <f t="shared" si="31"/>
        <v>0.14596100278551533</v>
      </c>
      <c r="R21" s="153">
        <f t="shared" si="31"/>
        <v>0.19543023821098687</v>
      </c>
      <c r="S21" s="153">
        <f t="shared" si="31"/>
        <v>-5.1626814152094115E-2</v>
      </c>
      <c r="T21" s="153">
        <f t="shared" si="31"/>
        <v>0.13999999999999999</v>
      </c>
      <c r="U21" s="153">
        <f t="shared" si="31"/>
        <v>0.14000000000000012</v>
      </c>
      <c r="V21" s="153">
        <f t="shared" si="31"/>
        <v>0.1400000000000001</v>
      </c>
      <c r="W21" s="153">
        <f t="shared" si="31"/>
        <v>0.12000000000000012</v>
      </c>
      <c r="X21" s="153">
        <f t="shared" si="31"/>
        <v>0.12000000000000012</v>
      </c>
      <c r="Y21" s="153">
        <f t="shared" si="31"/>
        <v>0.11999999999999988</v>
      </c>
      <c r="Z21" s="153">
        <f t="shared" si="31"/>
        <v>8.0000000000000293E-2</v>
      </c>
      <c r="AA21" s="153">
        <f t="shared" si="31"/>
        <v>7.9999999999999988E-2</v>
      </c>
    </row>
    <row r="22" spans="1:32" ht="16">
      <c r="A22" s="2"/>
      <c r="B22" s="2" t="s">
        <v>13</v>
      </c>
      <c r="C22" s="4">
        <v>8025</v>
      </c>
      <c r="D22" s="4">
        <v>9248</v>
      </c>
      <c r="E22" s="4">
        <v>10842</v>
      </c>
      <c r="F22" s="4">
        <v>13094</v>
      </c>
      <c r="G22" s="4">
        <v>15451</v>
      </c>
      <c r="H22" s="4">
        <v>17772</v>
      </c>
      <c r="K22" s="124"/>
      <c r="L22" s="129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</row>
    <row r="23" spans="1:32" ht="17" thickBot="1">
      <c r="A23" s="2"/>
      <c r="B23" s="5" t="s">
        <v>14</v>
      </c>
      <c r="C23" s="6">
        <v>8025</v>
      </c>
      <c r="D23" s="6">
        <v>9248</v>
      </c>
      <c r="E23" s="6">
        <v>10842</v>
      </c>
      <c r="F23" s="6">
        <v>13094</v>
      </c>
      <c r="G23" s="6">
        <v>15451</v>
      </c>
      <c r="H23" s="6">
        <v>17772</v>
      </c>
      <c r="K23" s="132" t="s">
        <v>483</v>
      </c>
      <c r="L23" s="133"/>
      <c r="M23" s="126" t="s">
        <v>7</v>
      </c>
      <c r="N23" s="126" t="s">
        <v>8</v>
      </c>
      <c r="O23" s="126" t="s">
        <v>9</v>
      </c>
      <c r="P23" s="126" t="s">
        <v>10</v>
      </c>
      <c r="Q23" s="126" t="s">
        <v>11</v>
      </c>
      <c r="R23" s="126" t="s">
        <v>12</v>
      </c>
      <c r="S23" s="126" t="s">
        <v>474</v>
      </c>
      <c r="T23" s="126" t="s">
        <v>475</v>
      </c>
      <c r="U23" s="126" t="s">
        <v>476</v>
      </c>
      <c r="V23" s="126" t="s">
        <v>490</v>
      </c>
      <c r="W23" s="126" t="s">
        <v>491</v>
      </c>
      <c r="X23" s="126" t="s">
        <v>491</v>
      </c>
      <c r="Y23" s="126" t="s">
        <v>491</v>
      </c>
      <c r="Z23" s="126" t="s">
        <v>491</v>
      </c>
      <c r="AA23" s="126" t="s">
        <v>491</v>
      </c>
    </row>
    <row r="24" spans="1:32" ht="17" thickTop="1">
      <c r="A24" s="2"/>
      <c r="B24" s="2" t="s">
        <v>15</v>
      </c>
      <c r="C24" s="4">
        <v>-6757</v>
      </c>
      <c r="D24" s="4">
        <v>-7739</v>
      </c>
      <c r="E24" s="4">
        <v>-9256</v>
      </c>
      <c r="F24" s="4">
        <v>-10835</v>
      </c>
      <c r="G24" s="4">
        <v>-12948</v>
      </c>
      <c r="H24" s="4">
        <v>-14982</v>
      </c>
      <c r="K24" s="132"/>
      <c r="L24" s="133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</row>
    <row r="25" spans="1:32" ht="16">
      <c r="A25" s="2"/>
      <c r="B25" s="5" t="s">
        <v>16</v>
      </c>
      <c r="C25" s="6">
        <v>1268</v>
      </c>
      <c r="D25" s="6">
        <v>1509</v>
      </c>
      <c r="E25" s="6">
        <v>1586</v>
      </c>
      <c r="F25" s="6">
        <v>2259</v>
      </c>
      <c r="G25" s="6">
        <v>2503</v>
      </c>
      <c r="H25" s="6">
        <v>2790</v>
      </c>
      <c r="K25" s="145" t="s">
        <v>267</v>
      </c>
      <c r="L25" s="157"/>
      <c r="M25" s="155">
        <f t="shared" ref="M25:AA25" si="32">M6</f>
        <v>1784</v>
      </c>
      <c r="N25" s="155">
        <f t="shared" si="32"/>
        <v>2117</v>
      </c>
      <c r="O25" s="155">
        <f t="shared" si="32"/>
        <v>2310</v>
      </c>
      <c r="P25" s="155">
        <f t="shared" si="32"/>
        <v>3064</v>
      </c>
      <c r="Q25" s="155">
        <f t="shared" si="32"/>
        <v>3279</v>
      </c>
      <c r="R25" s="155">
        <f t="shared" si="32"/>
        <v>3702</v>
      </c>
      <c r="S25" s="155">
        <f t="shared" si="32"/>
        <v>4146.2400000000007</v>
      </c>
      <c r="T25" s="155">
        <f t="shared" si="32"/>
        <v>4726.713600000001</v>
      </c>
      <c r="U25" s="155">
        <f t="shared" si="32"/>
        <v>5388.4535040000019</v>
      </c>
      <c r="V25" s="155">
        <f t="shared" si="32"/>
        <v>6142.8369945600025</v>
      </c>
      <c r="W25" s="155">
        <f t="shared" si="32"/>
        <v>6879.9774339072037</v>
      </c>
      <c r="X25" s="155">
        <f t="shared" si="32"/>
        <v>7705.5747259760692</v>
      </c>
      <c r="Y25" s="155">
        <f t="shared" si="32"/>
        <v>8630.2436930931981</v>
      </c>
      <c r="Z25" s="155">
        <f t="shared" si="32"/>
        <v>9320.663188540655</v>
      </c>
      <c r="AA25" s="155">
        <f t="shared" si="32"/>
        <v>10066.316243623907</v>
      </c>
    </row>
    <row r="26" spans="1:32" ht="16">
      <c r="A26" s="2"/>
      <c r="B26" s="2" t="s">
        <v>17</v>
      </c>
      <c r="C26" s="2">
        <v>-7</v>
      </c>
      <c r="D26" s="2">
        <v>27</v>
      </c>
      <c r="E26" s="2">
        <v>45</v>
      </c>
      <c r="F26" s="2">
        <v>73</v>
      </c>
      <c r="G26" s="2">
        <v>182</v>
      </c>
      <c r="H26" s="2">
        <v>279</v>
      </c>
      <c r="K26" s="124" t="s">
        <v>484</v>
      </c>
      <c r="L26" s="129"/>
      <c r="M26" s="154">
        <f>C70</f>
        <v>-492</v>
      </c>
      <c r="N26" s="154">
        <f t="shared" ref="N26:R26" si="33">D70</f>
        <v>-696</v>
      </c>
      <c r="O26" s="154">
        <f t="shared" si="33"/>
        <v>-669</v>
      </c>
      <c r="P26" s="154">
        <f t="shared" si="33"/>
        <v>-667</v>
      </c>
      <c r="Q26" s="154">
        <f t="shared" si="33"/>
        <v>-820</v>
      </c>
      <c r="R26" s="154">
        <f t="shared" si="33"/>
        <v>-687</v>
      </c>
      <c r="S26" s="156">
        <f>S9</f>
        <v>-1194.2784000000001</v>
      </c>
      <c r="T26" s="156">
        <f>T9</f>
        <v>-1361.4773760000003</v>
      </c>
      <c r="U26" s="156">
        <f>U9</f>
        <v>-1552.0842086400007</v>
      </c>
      <c r="V26" s="156">
        <f>V9</f>
        <v>-1769.3759978496009</v>
      </c>
      <c r="W26" s="156">
        <f>W9</f>
        <v>-1981.7011175915534</v>
      </c>
      <c r="X26" s="156">
        <f t="shared" ref="X26:AA26" si="34">X9</f>
        <v>-2219.5052517025397</v>
      </c>
      <c r="Y26" s="156">
        <f t="shared" si="34"/>
        <v>-2485.8458819068451</v>
      </c>
      <c r="Z26" s="156">
        <f t="shared" si="34"/>
        <v>-2684.7135524593928</v>
      </c>
      <c r="AA26" s="156">
        <f t="shared" si="34"/>
        <v>-2899.4906366561445</v>
      </c>
    </row>
    <row r="27" spans="1:32" ht="16">
      <c r="A27" s="2"/>
      <c r="B27" s="2" t="s">
        <v>18</v>
      </c>
      <c r="C27" s="4">
        <v>1261</v>
      </c>
      <c r="D27" s="4">
        <v>1536</v>
      </c>
      <c r="E27" s="4">
        <v>1631</v>
      </c>
      <c r="F27" s="4">
        <v>2332</v>
      </c>
      <c r="G27" s="4">
        <v>2685</v>
      </c>
      <c r="H27" s="4">
        <v>3069</v>
      </c>
      <c r="K27" s="124" t="s">
        <v>57</v>
      </c>
      <c r="L27" s="129"/>
      <c r="M27" s="154">
        <f>-C68</f>
        <v>-115</v>
      </c>
      <c r="N27" s="154">
        <f t="shared" ref="N27:R27" si="35">-D68</f>
        <v>13</v>
      </c>
      <c r="O27" s="154">
        <f t="shared" si="35"/>
        <v>-162</v>
      </c>
      <c r="P27" s="154">
        <f t="shared" si="35"/>
        <v>-236</v>
      </c>
      <c r="Q27" s="154">
        <f t="shared" si="35"/>
        <v>-1668</v>
      </c>
      <c r="R27" s="154">
        <f t="shared" si="35"/>
        <v>5</v>
      </c>
      <c r="S27" s="244">
        <f>-(S3-R3)*S28</f>
        <v>-325.45951818803144</v>
      </c>
      <c r="T27" s="244">
        <f>-(T3-S3)*T28</f>
        <v>-425.26710376569446</v>
      </c>
      <c r="U27" s="244">
        <f>-(U3-T3)*U28</f>
        <v>-484.80449829289165</v>
      </c>
      <c r="V27" s="244">
        <f>-(V3-U3)*V28</f>
        <v>-552.67712805389647</v>
      </c>
      <c r="W27" s="244">
        <f>-(W3-V3)*W28</f>
        <v>-540.04450798409346</v>
      </c>
      <c r="X27" s="244">
        <f t="shared" ref="X27:AA27" si="36">-(X3-W3)*X28</f>
        <v>-604.84984894218405</v>
      </c>
      <c r="Y27" s="244">
        <f t="shared" si="36"/>
        <v>-677.43183081524694</v>
      </c>
      <c r="Z27" s="244">
        <f t="shared" si="36"/>
        <v>-505.8157670087175</v>
      </c>
      <c r="AA27" s="244">
        <f t="shared" si="36"/>
        <v>-546.28102836941537</v>
      </c>
    </row>
    <row r="28" spans="1:32" ht="16">
      <c r="A28" s="2"/>
      <c r="B28" s="2" t="s">
        <v>19</v>
      </c>
      <c r="C28" s="2">
        <v>0</v>
      </c>
      <c r="D28" s="2">
        <v>-48</v>
      </c>
      <c r="E28" s="2">
        <v>0</v>
      </c>
      <c r="F28" s="2">
        <v>-132</v>
      </c>
      <c r="G28" s="2">
        <v>-309</v>
      </c>
      <c r="H28" s="2">
        <v>-71</v>
      </c>
      <c r="K28" s="124"/>
      <c r="M28" s="199">
        <f t="shared" ref="M28:R28" si="37">-M27/(M3-L3)</f>
        <v>1.4330218068535825E-2</v>
      </c>
      <c r="N28" s="199">
        <f t="shared" si="37"/>
        <v>-1.0629599345870809E-2</v>
      </c>
      <c r="O28" s="199">
        <f t="shared" si="37"/>
        <v>0.10163111668757842</v>
      </c>
      <c r="P28" s="199">
        <f t="shared" si="37"/>
        <v>0.10479573712255773</v>
      </c>
      <c r="Q28" s="199">
        <f t="shared" si="37"/>
        <v>0.70767925328807801</v>
      </c>
      <c r="R28" s="199">
        <f t="shared" si="37"/>
        <v>-2.1542438604049978E-3</v>
      </c>
      <c r="S28" s="163">
        <f>AVERAGE(M28:R28)</f>
        <v>0.15260874699341237</v>
      </c>
      <c r="T28" s="134">
        <f>S28</f>
        <v>0.15260874699341237</v>
      </c>
      <c r="U28" s="134">
        <f t="shared" ref="U28:AA28" si="38">T28</f>
        <v>0.15260874699341237</v>
      </c>
      <c r="V28" s="134">
        <f t="shared" si="38"/>
        <v>0.15260874699341237</v>
      </c>
      <c r="W28" s="134">
        <f t="shared" si="38"/>
        <v>0.15260874699341237</v>
      </c>
      <c r="X28" s="134">
        <f t="shared" si="38"/>
        <v>0.15260874699341237</v>
      </c>
      <c r="Y28" s="134">
        <f t="shared" si="38"/>
        <v>0.15260874699341237</v>
      </c>
      <c r="Z28" s="134">
        <f t="shared" si="38"/>
        <v>0.15260874699341237</v>
      </c>
      <c r="AA28" s="134">
        <f t="shared" si="38"/>
        <v>0.15260874699341237</v>
      </c>
    </row>
    <row r="29" spans="1:32" ht="16">
      <c r="A29" s="2"/>
      <c r="B29" s="5" t="s">
        <v>20</v>
      </c>
      <c r="C29" s="6">
        <v>1261</v>
      </c>
      <c r="D29" s="6">
        <v>1488</v>
      </c>
      <c r="E29" s="6">
        <v>1631</v>
      </c>
      <c r="F29" s="6">
        <v>2200</v>
      </c>
      <c r="G29" s="6">
        <v>2376</v>
      </c>
      <c r="H29" s="6">
        <v>2998</v>
      </c>
      <c r="K29" s="135" t="s">
        <v>481</v>
      </c>
      <c r="L29" s="136"/>
      <c r="M29" s="158">
        <f t="shared" ref="M29:AA29" si="39">M17</f>
        <v>-842</v>
      </c>
      <c r="N29" s="158">
        <f t="shared" si="39"/>
        <v>-260</v>
      </c>
      <c r="O29" s="158">
        <f t="shared" si="39"/>
        <v>-230</v>
      </c>
      <c r="P29" s="158">
        <f t="shared" si="39"/>
        <v>-405</v>
      </c>
      <c r="Q29" s="158">
        <f t="shared" si="39"/>
        <v>-319</v>
      </c>
      <c r="R29" s="158">
        <f t="shared" si="39"/>
        <v>-539</v>
      </c>
      <c r="S29" s="158">
        <f t="shared" si="39"/>
        <v>-619.91193600000008</v>
      </c>
      <c r="T29" s="158">
        <f t="shared" si="39"/>
        <v>-706.69960704000016</v>
      </c>
      <c r="U29" s="158">
        <f t="shared" si="39"/>
        <v>-805.63755202560026</v>
      </c>
      <c r="V29" s="158">
        <f t="shared" si="39"/>
        <v>-918.42680930918425</v>
      </c>
      <c r="W29" s="158">
        <f t="shared" si="39"/>
        <v>-1028.6380264262866</v>
      </c>
      <c r="X29" s="158">
        <f t="shared" si="39"/>
        <v>-1152.0745895974412</v>
      </c>
      <c r="Y29" s="158">
        <f t="shared" si="39"/>
        <v>-1290.323540349134</v>
      </c>
      <c r="Z29" s="158">
        <f t="shared" si="39"/>
        <v>-1393.5494235770652</v>
      </c>
      <c r="AA29" s="158">
        <f t="shared" si="39"/>
        <v>-1505.0333774632302</v>
      </c>
    </row>
    <row r="30" spans="1:32" ht="16">
      <c r="A30" s="2"/>
      <c r="B30" s="2" t="s">
        <v>21</v>
      </c>
      <c r="C30" s="2">
        <v>-842</v>
      </c>
      <c r="D30" s="2">
        <v>-260</v>
      </c>
      <c r="E30" s="2">
        <v>-230</v>
      </c>
      <c r="F30" s="2">
        <v>-405</v>
      </c>
      <c r="G30" s="2">
        <v>-319</v>
      </c>
      <c r="H30" s="2">
        <v>-539</v>
      </c>
      <c r="K30" s="135" t="s">
        <v>485</v>
      </c>
      <c r="L30" s="163">
        <v>0.19</v>
      </c>
      <c r="M30" s="154">
        <v>0</v>
      </c>
      <c r="N30" s="154">
        <v>0</v>
      </c>
      <c r="O30" s="154">
        <v>0</v>
      </c>
      <c r="P30" s="154">
        <v>0</v>
      </c>
      <c r="Q30" s="154">
        <v>0</v>
      </c>
      <c r="R30" s="154">
        <v>0</v>
      </c>
      <c r="S30" s="156">
        <f>-$Q$30*S20</f>
        <v>0</v>
      </c>
      <c r="T30" s="156">
        <f>-$Q$30*T20</f>
        <v>0</v>
      </c>
      <c r="U30" s="156">
        <f>-$Q$30*U20</f>
        <v>0</v>
      </c>
      <c r="V30" s="156">
        <f>-$Q$30*V20</f>
        <v>0</v>
      </c>
      <c r="W30" s="156">
        <f>-$Q$30*W20</f>
        <v>0</v>
      </c>
      <c r="X30" s="156">
        <f t="shared" ref="X30:AA30" si="40">-$Q$30*X20</f>
        <v>0</v>
      </c>
      <c r="Y30" s="156">
        <f t="shared" si="40"/>
        <v>0</v>
      </c>
      <c r="Z30" s="156">
        <f t="shared" si="40"/>
        <v>0</v>
      </c>
      <c r="AA30" s="156">
        <f t="shared" si="40"/>
        <v>0</v>
      </c>
    </row>
    <row r="31" spans="1:32" ht="16">
      <c r="A31" s="2"/>
      <c r="B31" s="5" t="s">
        <v>24</v>
      </c>
      <c r="C31" s="5">
        <v>419</v>
      </c>
      <c r="D31" s="6">
        <v>1228</v>
      </c>
      <c r="E31" s="6">
        <v>1401</v>
      </c>
      <c r="F31" s="6">
        <v>1795</v>
      </c>
      <c r="G31" s="6">
        <v>2057</v>
      </c>
      <c r="H31" s="6">
        <v>2459</v>
      </c>
      <c r="K31" s="124" t="s">
        <v>479</v>
      </c>
      <c r="L31" s="129"/>
      <c r="M31" s="158">
        <f t="shared" ref="M31:AA31" si="41">M13</f>
        <v>-21</v>
      </c>
      <c r="N31" s="158">
        <f t="shared" si="41"/>
        <v>-862</v>
      </c>
      <c r="O31" s="158">
        <f t="shared" si="41"/>
        <v>-21</v>
      </c>
      <c r="P31" s="158">
        <f t="shared" si="41"/>
        <v>820</v>
      </c>
      <c r="Q31" s="158">
        <f t="shared" si="41"/>
        <v>960</v>
      </c>
      <c r="R31" s="158">
        <f t="shared" si="41"/>
        <v>-2516</v>
      </c>
      <c r="S31" s="158">
        <f t="shared" si="41"/>
        <v>0</v>
      </c>
      <c r="T31" s="158">
        <f t="shared" si="41"/>
        <v>0</v>
      </c>
      <c r="U31" s="158">
        <f t="shared" si="41"/>
        <v>0</v>
      </c>
      <c r="V31" s="158">
        <f t="shared" si="41"/>
        <v>0</v>
      </c>
      <c r="W31" s="158">
        <f t="shared" si="41"/>
        <v>0</v>
      </c>
      <c r="X31" s="158">
        <f t="shared" si="41"/>
        <v>0</v>
      </c>
      <c r="Y31" s="158">
        <f t="shared" si="41"/>
        <v>0</v>
      </c>
      <c r="Z31" s="158">
        <f t="shared" si="41"/>
        <v>0</v>
      </c>
      <c r="AA31" s="158">
        <f t="shared" si="41"/>
        <v>0</v>
      </c>
    </row>
    <row r="32" spans="1:32" ht="16">
      <c r="A32" s="2"/>
      <c r="B32" s="2"/>
      <c r="C32" s="2"/>
      <c r="D32" s="2"/>
      <c r="E32" s="2"/>
      <c r="F32" s="2"/>
      <c r="G32" s="2"/>
      <c r="H32" s="2"/>
      <c r="K32" s="137" t="s">
        <v>486</v>
      </c>
      <c r="L32" s="138"/>
      <c r="M32" s="159">
        <f>M25+M26+M27+M29+M30+M31</f>
        <v>314</v>
      </c>
      <c r="N32" s="159">
        <f t="shared" ref="N32:AA32" si="42">N25+N26+N27+N29+N30+N31</f>
        <v>312</v>
      </c>
      <c r="O32" s="159">
        <f t="shared" si="42"/>
        <v>1228</v>
      </c>
      <c r="P32" s="159">
        <f t="shared" si="42"/>
        <v>2576</v>
      </c>
      <c r="Q32" s="159">
        <f t="shared" si="42"/>
        <v>1432</v>
      </c>
      <c r="R32" s="159">
        <f t="shared" si="42"/>
        <v>-35</v>
      </c>
      <c r="S32" s="159">
        <f t="shared" si="42"/>
        <v>2006.5901458119693</v>
      </c>
      <c r="T32" s="159">
        <f t="shared" si="42"/>
        <v>2233.269513194306</v>
      </c>
      <c r="U32" s="159">
        <f t="shared" si="42"/>
        <v>2545.9272450415092</v>
      </c>
      <c r="V32" s="159">
        <f t="shared" si="42"/>
        <v>2902.357059347321</v>
      </c>
      <c r="W32" s="159">
        <f t="shared" si="42"/>
        <v>3329.5937819052701</v>
      </c>
      <c r="X32" s="159">
        <f t="shared" si="42"/>
        <v>3729.1450357339036</v>
      </c>
      <c r="Y32" s="159">
        <f t="shared" si="42"/>
        <v>4176.6424400219712</v>
      </c>
      <c r="Z32" s="159">
        <f t="shared" si="42"/>
        <v>4736.5844454954804</v>
      </c>
      <c r="AA32" s="159">
        <f t="shared" si="42"/>
        <v>5115.5112011351175</v>
      </c>
    </row>
    <row r="33" spans="1:27" ht="16">
      <c r="A33" s="2" t="s">
        <v>25</v>
      </c>
      <c r="B33" s="2"/>
      <c r="C33" s="2"/>
      <c r="D33" s="2"/>
      <c r="E33" s="2"/>
      <c r="F33" s="2"/>
      <c r="G33" s="2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</row>
    <row r="34" spans="1:27" ht="16">
      <c r="A34" s="2"/>
      <c r="B34" s="2" t="s">
        <v>2</v>
      </c>
      <c r="C34" s="2" t="s">
        <v>7</v>
      </c>
      <c r="D34" s="2" t="s">
        <v>8</v>
      </c>
      <c r="E34" s="2" t="s">
        <v>9</v>
      </c>
      <c r="F34" s="2" t="s">
        <v>10</v>
      </c>
      <c r="G34" s="2" t="s">
        <v>11</v>
      </c>
      <c r="H34" s="2" t="s">
        <v>12</v>
      </c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</row>
    <row r="35" spans="1:27" ht="16">
      <c r="A35" s="2"/>
      <c r="B35" s="2" t="s">
        <v>26</v>
      </c>
      <c r="C35" s="2"/>
      <c r="D35" s="2"/>
      <c r="E35" s="2"/>
      <c r="F35" s="2"/>
      <c r="G35" s="2"/>
      <c r="H35" s="2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</row>
    <row r="36" spans="1:27" ht="16">
      <c r="A36" s="2"/>
      <c r="B36" s="2" t="s">
        <v>27</v>
      </c>
      <c r="C36" s="4">
        <v>2230</v>
      </c>
      <c r="D36" s="4">
        <v>3411</v>
      </c>
      <c r="E36" s="4">
        <v>4975</v>
      </c>
      <c r="F36" s="4">
        <v>5695</v>
      </c>
      <c r="G36" s="4">
        <v>9109</v>
      </c>
      <c r="H36" s="4">
        <v>10761</v>
      </c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</row>
    <row r="37" spans="1:27" ht="17" thickBot="1">
      <c r="A37" s="2"/>
      <c r="B37" s="2" t="s">
        <v>28</v>
      </c>
      <c r="C37" s="4">
        <v>10677</v>
      </c>
      <c r="D37" s="4">
        <v>12398</v>
      </c>
      <c r="E37" s="4">
        <v>14577</v>
      </c>
      <c r="F37" s="4">
        <v>24923</v>
      </c>
      <c r="G37" s="4">
        <v>20375</v>
      </c>
      <c r="H37" s="4">
        <v>22962</v>
      </c>
      <c r="K37" s="132" t="s">
        <v>487</v>
      </c>
      <c r="L37" s="133"/>
      <c r="M37" s="126" t="s">
        <v>7</v>
      </c>
      <c r="N37" s="126" t="s">
        <v>8</v>
      </c>
      <c r="O37" s="126" t="s">
        <v>9</v>
      </c>
      <c r="P37" s="126" t="s">
        <v>10</v>
      </c>
      <c r="Q37" s="126" t="s">
        <v>11</v>
      </c>
      <c r="R37" s="126" t="s">
        <v>12</v>
      </c>
      <c r="S37" s="126" t="s">
        <v>474</v>
      </c>
      <c r="T37" s="126" t="s">
        <v>475</v>
      </c>
      <c r="U37" s="126" t="s">
        <v>476</v>
      </c>
      <c r="V37" s="126" t="s">
        <v>490</v>
      </c>
      <c r="W37" s="126" t="s">
        <v>491</v>
      </c>
      <c r="X37" s="126" t="s">
        <v>491</v>
      </c>
      <c r="Y37" s="126" t="s">
        <v>491</v>
      </c>
      <c r="Z37" s="126" t="s">
        <v>491</v>
      </c>
      <c r="AA37" s="126" t="s">
        <v>491</v>
      </c>
    </row>
    <row r="38" spans="1:27" ht="17" thickTop="1">
      <c r="A38" s="2"/>
      <c r="B38" s="2" t="s">
        <v>29</v>
      </c>
      <c r="C38" s="4">
        <v>4658</v>
      </c>
      <c r="D38" s="4">
        <v>4839</v>
      </c>
      <c r="E38" s="4">
        <v>6181</v>
      </c>
      <c r="F38" s="4">
        <v>2027</v>
      </c>
      <c r="G38" s="4">
        <v>3479</v>
      </c>
      <c r="H38" s="4">
        <v>4772</v>
      </c>
      <c r="K38" s="135" t="s">
        <v>488</v>
      </c>
      <c r="L38" s="136"/>
      <c r="M38" s="154">
        <f>C49+C47-C36</f>
        <v>-1137</v>
      </c>
      <c r="N38" s="154">
        <f t="shared" ref="N38:R38" si="43">D49+D47-D36</f>
        <v>-3411</v>
      </c>
      <c r="O38" s="154">
        <f t="shared" si="43"/>
        <v>-4975</v>
      </c>
      <c r="P38" s="154">
        <f t="shared" si="43"/>
        <v>-4695</v>
      </c>
      <c r="Q38" s="154">
        <f t="shared" si="43"/>
        <v>-7111</v>
      </c>
      <c r="R38" s="154">
        <f t="shared" si="43"/>
        <v>-5796</v>
      </c>
      <c r="S38" s="158">
        <f>R40</f>
        <v>-5796</v>
      </c>
      <c r="T38" s="158">
        <f>S40</f>
        <v>-7802.5901458119697</v>
      </c>
      <c r="U38" s="158">
        <f>T40</f>
        <v>-10035.859659006275</v>
      </c>
      <c r="V38" s="158">
        <f>U40</f>
        <v>-12581.786904047785</v>
      </c>
      <c r="W38" s="158">
        <f>V40</f>
        <v>-15484.143963395107</v>
      </c>
      <c r="X38" s="158">
        <f t="shared" ref="X38:AA38" si="44">W40</f>
        <v>-18813.737745300376</v>
      </c>
      <c r="Y38" s="158">
        <f t="shared" si="44"/>
        <v>-22542.882781034277</v>
      </c>
      <c r="Z38" s="158">
        <f t="shared" si="44"/>
        <v>-26719.525221056247</v>
      </c>
      <c r="AA38" s="158">
        <f t="shared" si="44"/>
        <v>-31456.109666551725</v>
      </c>
    </row>
    <row r="39" spans="1:27" ht="16">
      <c r="A39" s="2"/>
      <c r="B39" s="5" t="s">
        <v>30</v>
      </c>
      <c r="C39" s="6">
        <v>17565</v>
      </c>
      <c r="D39" s="6">
        <v>20648</v>
      </c>
      <c r="E39" s="6">
        <v>25733</v>
      </c>
      <c r="F39" s="6">
        <v>32645</v>
      </c>
      <c r="G39" s="6">
        <v>32963</v>
      </c>
      <c r="H39" s="6">
        <v>38495</v>
      </c>
      <c r="K39" s="139" t="s">
        <v>489</v>
      </c>
      <c r="L39" s="140"/>
      <c r="M39" s="160">
        <f t="shared" ref="M39:AA39" si="45">-M32</f>
        <v>-314</v>
      </c>
      <c r="N39" s="160">
        <f t="shared" si="45"/>
        <v>-312</v>
      </c>
      <c r="O39" s="160">
        <f t="shared" si="45"/>
        <v>-1228</v>
      </c>
      <c r="P39" s="160">
        <f t="shared" si="45"/>
        <v>-2576</v>
      </c>
      <c r="Q39" s="160">
        <f t="shared" si="45"/>
        <v>-1432</v>
      </c>
      <c r="R39" s="160">
        <f t="shared" si="45"/>
        <v>35</v>
      </c>
      <c r="S39" s="160">
        <f>-S32</f>
        <v>-2006.5901458119693</v>
      </c>
      <c r="T39" s="160">
        <f t="shared" si="45"/>
        <v>-2233.269513194306</v>
      </c>
      <c r="U39" s="160">
        <f t="shared" si="45"/>
        <v>-2545.9272450415092</v>
      </c>
      <c r="V39" s="160">
        <f t="shared" si="45"/>
        <v>-2902.357059347321</v>
      </c>
      <c r="W39" s="160">
        <f t="shared" si="45"/>
        <v>-3329.5937819052701</v>
      </c>
      <c r="X39" s="160">
        <f t="shared" si="45"/>
        <v>-3729.1450357339036</v>
      </c>
      <c r="Y39" s="160">
        <f t="shared" si="45"/>
        <v>-4176.6424400219712</v>
      </c>
      <c r="Z39" s="160">
        <f t="shared" si="45"/>
        <v>-4736.5844454954804</v>
      </c>
      <c r="AA39" s="160">
        <f t="shared" si="45"/>
        <v>-5115.5112011351175</v>
      </c>
    </row>
    <row r="40" spans="1:27" ht="16">
      <c r="A40" s="2"/>
      <c r="B40" s="2" t="s">
        <v>31</v>
      </c>
      <c r="C40" s="2">
        <v>922</v>
      </c>
      <c r="D40" s="4">
        <v>1344</v>
      </c>
      <c r="E40" s="4">
        <v>1482</v>
      </c>
      <c r="F40" s="4">
        <v>1528</v>
      </c>
      <c r="G40" s="4">
        <v>1724</v>
      </c>
      <c r="H40" s="4">
        <v>1693</v>
      </c>
      <c r="K40" s="141" t="s">
        <v>492</v>
      </c>
      <c r="L40" s="142"/>
      <c r="M40" s="161">
        <f t="shared" ref="M40:R40" si="46">M38</f>
        <v>-1137</v>
      </c>
      <c r="N40" s="161">
        <f t="shared" si="46"/>
        <v>-3411</v>
      </c>
      <c r="O40" s="161">
        <f t="shared" si="46"/>
        <v>-4975</v>
      </c>
      <c r="P40" s="161">
        <f t="shared" si="46"/>
        <v>-4695</v>
      </c>
      <c r="Q40" s="161">
        <f t="shared" si="46"/>
        <v>-7111</v>
      </c>
      <c r="R40" s="161">
        <f t="shared" si="46"/>
        <v>-5796</v>
      </c>
      <c r="S40" s="161">
        <f>S38+S39</f>
        <v>-7802.5901458119697</v>
      </c>
      <c r="T40" s="161">
        <f>T38+T39</f>
        <v>-10035.859659006275</v>
      </c>
      <c r="U40" s="161">
        <f>U38+U39</f>
        <v>-12581.786904047785</v>
      </c>
      <c r="V40" s="161">
        <f>V38+V39</f>
        <v>-15484.143963395107</v>
      </c>
      <c r="W40" s="161">
        <f>W38+W39</f>
        <v>-18813.737745300376</v>
      </c>
      <c r="X40" s="161">
        <f t="shared" ref="X40:AA40" si="47">X38+X39</f>
        <v>-22542.882781034277</v>
      </c>
      <c r="Y40" s="161">
        <f t="shared" si="47"/>
        <v>-26719.525221056247</v>
      </c>
      <c r="Z40" s="161">
        <f t="shared" si="47"/>
        <v>-31456.109666551725</v>
      </c>
      <c r="AA40" s="161">
        <f t="shared" si="47"/>
        <v>-36571.620867686841</v>
      </c>
    </row>
    <row r="41" spans="1:27" ht="16">
      <c r="A41" s="2"/>
      <c r="B41" s="2" t="s">
        <v>32</v>
      </c>
      <c r="C41" s="2">
        <v>31</v>
      </c>
      <c r="D41" s="4">
        <v>2348</v>
      </c>
      <c r="E41" s="4">
        <v>1539</v>
      </c>
      <c r="F41" s="4">
        <v>1961</v>
      </c>
      <c r="G41" s="2">
        <v>971</v>
      </c>
      <c r="H41" s="4">
        <v>2863</v>
      </c>
      <c r="K41" s="135" t="s">
        <v>493</v>
      </c>
      <c r="L41" s="136"/>
      <c r="M41" s="143"/>
      <c r="N41" s="144"/>
      <c r="O41" s="144"/>
      <c r="P41" s="144"/>
      <c r="Q41" s="144"/>
      <c r="R41" s="144"/>
      <c r="S41" s="158">
        <f>-S39</f>
        <v>2006.5901458119693</v>
      </c>
      <c r="T41" s="158">
        <f>-T39</f>
        <v>2233.269513194306</v>
      </c>
      <c r="U41" s="158">
        <f>-U39</f>
        <v>2545.9272450415092</v>
      </c>
      <c r="V41" s="158">
        <f>-V39</f>
        <v>2902.357059347321</v>
      </c>
      <c r="W41" s="158">
        <f>-W39</f>
        <v>3329.5937819052701</v>
      </c>
      <c r="X41" s="158">
        <f t="shared" ref="X41:AA41" si="48">-X39</f>
        <v>3729.1450357339036</v>
      </c>
      <c r="Y41" s="158">
        <f t="shared" si="48"/>
        <v>4176.6424400219712</v>
      </c>
      <c r="Z41" s="158">
        <f t="shared" si="48"/>
        <v>4736.5844454954804</v>
      </c>
      <c r="AA41" s="158">
        <f t="shared" si="48"/>
        <v>5115.5112011351175</v>
      </c>
    </row>
    <row r="42" spans="1:27" ht="16">
      <c r="A42" s="2"/>
      <c r="B42" s="2" t="s">
        <v>33</v>
      </c>
      <c r="C42" s="4">
        <v>3399</v>
      </c>
      <c r="D42" s="4">
        <v>4541</v>
      </c>
      <c r="E42" s="4">
        <v>4349</v>
      </c>
      <c r="F42" s="4">
        <v>4640</v>
      </c>
      <c r="G42" s="4">
        <v>7674</v>
      </c>
      <c r="H42" s="4">
        <v>8282</v>
      </c>
      <c r="K42" s="135" t="s">
        <v>494</v>
      </c>
      <c r="L42" s="136"/>
      <c r="M42" s="162">
        <f t="shared" ref="M42:S42" si="49">M40/M25</f>
        <v>-0.6373318385650224</v>
      </c>
      <c r="N42" s="162">
        <f t="shared" si="49"/>
        <v>-1.6112423240434577</v>
      </c>
      <c r="O42" s="162">
        <f t="shared" si="49"/>
        <v>-2.1536796536796539</v>
      </c>
      <c r="P42" s="162">
        <f t="shared" si="49"/>
        <v>-1.5323107049608355</v>
      </c>
      <c r="Q42" s="162">
        <f t="shared" si="49"/>
        <v>-2.1686489783470568</v>
      </c>
      <c r="R42" s="162">
        <f t="shared" si="49"/>
        <v>-1.5656401944894651</v>
      </c>
      <c r="S42" s="162">
        <f t="shared" si="49"/>
        <v>-1.8818472027214943</v>
      </c>
      <c r="T42" s="162">
        <f>T40/T25</f>
        <v>-2.1232214405810992</v>
      </c>
      <c r="U42" s="162">
        <f>U40/U25</f>
        <v>-2.3349532281772438</v>
      </c>
      <c r="V42" s="162">
        <f>V40/V25</f>
        <v>-2.520682866419476</v>
      </c>
      <c r="W42" s="162">
        <f>W40/W25</f>
        <v>-2.7345638740875748</v>
      </c>
      <c r="X42" s="162">
        <f t="shared" ref="X42:AA42" si="50">X40/X25</f>
        <v>-2.9255290595055201</v>
      </c>
      <c r="Y42" s="162">
        <f t="shared" si="50"/>
        <v>-3.0960336893429719</v>
      </c>
      <c r="Z42" s="162">
        <f t="shared" si="50"/>
        <v>-3.3748789147563691</v>
      </c>
      <c r="AA42" s="162">
        <f t="shared" si="50"/>
        <v>-3.6330689382872929</v>
      </c>
    </row>
    <row r="43" spans="1:27" ht="16">
      <c r="A43" s="2"/>
      <c r="B43" s="5" t="s">
        <v>34</v>
      </c>
      <c r="C43" s="6">
        <v>4352</v>
      </c>
      <c r="D43" s="6">
        <v>8233</v>
      </c>
      <c r="E43" s="6">
        <v>7370</v>
      </c>
      <c r="F43" s="6">
        <v>8129</v>
      </c>
      <c r="G43" s="6">
        <v>10369</v>
      </c>
      <c r="H43" s="6">
        <v>12838</v>
      </c>
      <c r="K43" s="135"/>
      <c r="L43" s="136"/>
      <c r="M43" s="144"/>
      <c r="N43" s="143"/>
      <c r="O43" s="143"/>
      <c r="P43" s="143"/>
      <c r="Q43" s="143"/>
      <c r="R43" s="143"/>
      <c r="S43" s="143"/>
      <c r="T43" s="143"/>
      <c r="U43" s="143"/>
      <c r="V43" s="143"/>
      <c r="W43" s="124"/>
      <c r="X43" s="124"/>
      <c r="Y43" s="124"/>
      <c r="Z43" s="124"/>
      <c r="AA43" s="124"/>
    </row>
    <row r="44" spans="1:27" ht="17" thickBot="1">
      <c r="A44" s="2"/>
      <c r="B44" s="5" t="s">
        <v>35</v>
      </c>
      <c r="C44" s="6">
        <v>21917</v>
      </c>
      <c r="D44" s="6">
        <v>28881</v>
      </c>
      <c r="E44" s="6">
        <v>33103</v>
      </c>
      <c r="F44" s="6">
        <v>40774</v>
      </c>
      <c r="G44" s="6">
        <v>43332</v>
      </c>
      <c r="H44" s="6">
        <v>51333</v>
      </c>
      <c r="K44" s="198" t="s">
        <v>495</v>
      </c>
      <c r="L44" s="197"/>
      <c r="M44" s="196" t="s">
        <v>7</v>
      </c>
      <c r="N44" s="196" t="s">
        <v>8</v>
      </c>
      <c r="O44" s="196" t="s">
        <v>9</v>
      </c>
      <c r="P44" s="196" t="s">
        <v>10</v>
      </c>
      <c r="Q44" s="196" t="s">
        <v>11</v>
      </c>
      <c r="R44" s="196" t="s">
        <v>12</v>
      </c>
      <c r="S44" s="196" t="s">
        <v>474</v>
      </c>
      <c r="T44" s="196" t="s">
        <v>475</v>
      </c>
      <c r="U44" s="196" t="s">
        <v>476</v>
      </c>
      <c r="V44" s="196" t="s">
        <v>490</v>
      </c>
      <c r="W44" s="196" t="s">
        <v>491</v>
      </c>
      <c r="X44" s="196" t="s">
        <v>491</v>
      </c>
      <c r="Y44" s="196" t="s">
        <v>491</v>
      </c>
      <c r="Z44" s="196" t="s">
        <v>491</v>
      </c>
      <c r="AA44" s="196" t="s">
        <v>491</v>
      </c>
    </row>
    <row r="45" spans="1:27" ht="17" thickTop="1">
      <c r="A45" s="2"/>
      <c r="B45" s="2" t="s">
        <v>36</v>
      </c>
      <c r="C45" s="2"/>
      <c r="D45" s="2"/>
      <c r="E45" s="2"/>
      <c r="F45" s="2"/>
      <c r="G45" s="2"/>
      <c r="H45" s="2"/>
      <c r="K45" s="195" t="s">
        <v>496</v>
      </c>
      <c r="L45" s="193"/>
      <c r="M45" s="194">
        <f>SUM(M25:M27)</f>
        <v>1177</v>
      </c>
      <c r="N45" s="194">
        <f t="shared" ref="N45:W45" si="51">SUM(N25:N27)</f>
        <v>1434</v>
      </c>
      <c r="O45" s="194">
        <f t="shared" si="51"/>
        <v>1479</v>
      </c>
      <c r="P45" s="194">
        <f t="shared" si="51"/>
        <v>2161</v>
      </c>
      <c r="Q45" s="194">
        <f t="shared" si="51"/>
        <v>791</v>
      </c>
      <c r="R45" s="194">
        <f t="shared" si="51"/>
        <v>3020</v>
      </c>
      <c r="S45" s="194">
        <f t="shared" si="51"/>
        <v>2626.5020818119692</v>
      </c>
      <c r="T45" s="194">
        <f t="shared" si="51"/>
        <v>2939.969120234306</v>
      </c>
      <c r="U45" s="194">
        <f t="shared" si="51"/>
        <v>3351.5647970671093</v>
      </c>
      <c r="V45" s="194">
        <f t="shared" si="51"/>
        <v>3820.7838686565051</v>
      </c>
      <c r="W45" s="194">
        <f t="shared" si="51"/>
        <v>4358.2318083315567</v>
      </c>
      <c r="X45" s="194">
        <f t="shared" ref="X45:AA45" si="52">SUM(X25:X27)</f>
        <v>4881.219625331345</v>
      </c>
      <c r="Y45" s="194">
        <f t="shared" si="52"/>
        <v>5466.9659803711056</v>
      </c>
      <c r="Z45" s="194">
        <f t="shared" si="52"/>
        <v>6130.1338690725452</v>
      </c>
      <c r="AA45" s="194">
        <f t="shared" si="52"/>
        <v>6620.5445785983475</v>
      </c>
    </row>
    <row r="46" spans="1:27" ht="16">
      <c r="A46" s="2"/>
      <c r="B46" s="2" t="s">
        <v>37</v>
      </c>
      <c r="C46" s="4">
        <v>12190</v>
      </c>
      <c r="D46" s="4">
        <v>13617</v>
      </c>
      <c r="E46" s="4">
        <v>16878</v>
      </c>
      <c r="F46" s="4">
        <v>21863</v>
      </c>
      <c r="G46" s="4">
        <v>23906</v>
      </c>
      <c r="H46" s="4">
        <v>26919</v>
      </c>
      <c r="K46" s="180" t="s">
        <v>497</v>
      </c>
      <c r="L46" s="191">
        <v>0.21</v>
      </c>
      <c r="M46" s="179">
        <f>-$L$46*M45</f>
        <v>-247.17</v>
      </c>
      <c r="N46" s="179">
        <f t="shared" ref="N46:AA46" si="53">-$L$46*N45</f>
        <v>-301.14</v>
      </c>
      <c r="O46" s="179">
        <f t="shared" si="53"/>
        <v>-310.58999999999997</v>
      </c>
      <c r="P46" s="179">
        <f t="shared" si="53"/>
        <v>-453.81</v>
      </c>
      <c r="Q46" s="179">
        <f t="shared" si="53"/>
        <v>-166.10999999999999</v>
      </c>
      <c r="R46" s="179">
        <f t="shared" si="53"/>
        <v>-634.19999999999993</v>
      </c>
      <c r="S46" s="179">
        <f t="shared" si="53"/>
        <v>-551.56543718051353</v>
      </c>
      <c r="T46" s="179">
        <f t="shared" si="53"/>
        <v>-617.39351524920426</v>
      </c>
      <c r="U46" s="179">
        <f t="shared" si="53"/>
        <v>-703.82860738409295</v>
      </c>
      <c r="V46" s="179">
        <f t="shared" si="53"/>
        <v>-802.36461241786606</v>
      </c>
      <c r="W46" s="179">
        <f t="shared" si="53"/>
        <v>-915.22867974962685</v>
      </c>
      <c r="X46" s="179">
        <f t="shared" si="53"/>
        <v>-1025.0561213195824</v>
      </c>
      <c r="Y46" s="179">
        <f t="shared" si="53"/>
        <v>-1148.0628558779322</v>
      </c>
      <c r="Z46" s="179">
        <f t="shared" si="53"/>
        <v>-1287.3281125052345</v>
      </c>
      <c r="AA46" s="179">
        <f t="shared" si="53"/>
        <v>-1390.3143615056529</v>
      </c>
    </row>
    <row r="47" spans="1:27" ht="16">
      <c r="A47" s="2"/>
      <c r="B47" s="2" t="s">
        <v>39</v>
      </c>
      <c r="C47" s="4">
        <v>1093</v>
      </c>
      <c r="D47" s="2"/>
      <c r="E47" s="2">
        <v>0</v>
      </c>
      <c r="F47" s="4">
        <v>1000</v>
      </c>
      <c r="G47" s="4">
        <v>1998</v>
      </c>
      <c r="H47" s="2">
        <v>0</v>
      </c>
      <c r="K47" s="195" t="s">
        <v>498</v>
      </c>
      <c r="L47" s="193"/>
      <c r="M47" s="194">
        <f>M45+M46</f>
        <v>929.83</v>
      </c>
      <c r="N47" s="194">
        <f t="shared" ref="N47:W47" si="54">SUM(N45:N46)</f>
        <v>1132.8600000000001</v>
      </c>
      <c r="O47" s="194">
        <f t="shared" si="54"/>
        <v>1168.4100000000001</v>
      </c>
      <c r="P47" s="194">
        <f t="shared" si="54"/>
        <v>1707.19</v>
      </c>
      <c r="Q47" s="194">
        <f t="shared" si="54"/>
        <v>624.89</v>
      </c>
      <c r="R47" s="194">
        <f t="shared" si="54"/>
        <v>2385.8000000000002</v>
      </c>
      <c r="S47" s="194">
        <f t="shared" si="54"/>
        <v>2074.9366446314557</v>
      </c>
      <c r="T47" s="194">
        <f t="shared" si="54"/>
        <v>2322.5756049851016</v>
      </c>
      <c r="U47" s="194">
        <f t="shared" si="54"/>
        <v>2647.7361896830162</v>
      </c>
      <c r="V47" s="194">
        <f t="shared" si="54"/>
        <v>3018.4192562386388</v>
      </c>
      <c r="W47" s="194">
        <f t="shared" si="54"/>
        <v>3443.00312858193</v>
      </c>
      <c r="X47" s="194">
        <f t="shared" ref="X47:AA47" si="55">SUM(X45:X46)</f>
        <v>3856.1635040117626</v>
      </c>
      <c r="Y47" s="194">
        <f t="shared" si="55"/>
        <v>4318.9031244931739</v>
      </c>
      <c r="Z47" s="194">
        <f t="shared" si="55"/>
        <v>4842.8057565673107</v>
      </c>
      <c r="AA47" s="194">
        <f t="shared" si="55"/>
        <v>5230.2302170926941</v>
      </c>
    </row>
    <row r="48" spans="1:27" ht="16">
      <c r="A48" s="2"/>
      <c r="B48" s="5" t="s">
        <v>40</v>
      </c>
      <c r="C48" s="6">
        <v>13283</v>
      </c>
      <c r="D48" s="6">
        <v>13617</v>
      </c>
      <c r="E48" s="6">
        <v>16878</v>
      </c>
      <c r="F48" s="6">
        <v>22863</v>
      </c>
      <c r="G48" s="6">
        <v>25904</v>
      </c>
      <c r="H48" s="6">
        <v>26919</v>
      </c>
      <c r="K48" s="174"/>
      <c r="L48" s="193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  <c r="AA48" s="174"/>
    </row>
    <row r="49" spans="1:27" ht="16">
      <c r="A49" s="2"/>
      <c r="B49" s="2" t="s">
        <v>41</v>
      </c>
      <c r="C49" s="2"/>
      <c r="D49" s="2"/>
      <c r="E49" s="2"/>
      <c r="F49" s="2"/>
      <c r="G49" s="2"/>
      <c r="H49" s="4">
        <v>4965</v>
      </c>
      <c r="K49" s="185" t="s">
        <v>514</v>
      </c>
      <c r="L49" s="243">
        <f>AF20</f>
        <v>7.5569094252096222E-2</v>
      </c>
      <c r="M49" s="192"/>
      <c r="N49" s="192"/>
      <c r="O49" s="192"/>
      <c r="P49" s="192"/>
      <c r="Q49" s="192"/>
      <c r="R49" s="192"/>
      <c r="S49" s="189"/>
      <c r="T49" s="189"/>
      <c r="U49" s="189"/>
      <c r="V49" s="189"/>
      <c r="W49" s="174"/>
      <c r="X49" s="174"/>
      <c r="Y49" s="174"/>
      <c r="Z49" s="174"/>
      <c r="AA49" s="174"/>
    </row>
    <row r="50" spans="1:27" ht="16">
      <c r="A50" s="2"/>
      <c r="B50" s="2" t="s">
        <v>42</v>
      </c>
      <c r="C50" s="2">
        <v>386</v>
      </c>
      <c r="D50" s="4">
        <v>1505</v>
      </c>
      <c r="E50" s="4">
        <v>1513</v>
      </c>
      <c r="F50" s="4">
        <v>1917</v>
      </c>
      <c r="G50" s="4">
        <v>2042</v>
      </c>
      <c r="H50" s="4">
        <v>2520</v>
      </c>
      <c r="K50" s="185" t="s">
        <v>516</v>
      </c>
      <c r="L50" s="242">
        <v>4.4999999999999998E-2</v>
      </c>
      <c r="M50" s="183"/>
      <c r="N50" s="183"/>
      <c r="O50" s="183"/>
      <c r="P50" s="183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</row>
    <row r="51" spans="1:27" ht="16">
      <c r="A51" s="2"/>
      <c r="B51" s="5" t="s">
        <v>43</v>
      </c>
      <c r="C51" s="5">
        <v>386</v>
      </c>
      <c r="D51" s="6">
        <v>1505</v>
      </c>
      <c r="E51" s="6">
        <v>1513</v>
      </c>
      <c r="F51" s="6">
        <v>1917</v>
      </c>
      <c r="G51" s="6">
        <v>2042</v>
      </c>
      <c r="H51" s="6">
        <v>7485</v>
      </c>
      <c r="K51" s="190"/>
      <c r="L51" s="184"/>
      <c r="M51" s="183"/>
      <c r="N51" s="183"/>
      <c r="O51" s="183"/>
      <c r="P51" s="183"/>
      <c r="Q51" s="189"/>
      <c r="R51" s="189"/>
      <c r="S51" s="189"/>
      <c r="T51" s="189"/>
      <c r="U51" s="189"/>
      <c r="V51" s="189"/>
      <c r="W51" s="174"/>
      <c r="X51" s="174"/>
      <c r="Y51" s="174"/>
      <c r="Z51" s="174"/>
      <c r="AA51" s="174"/>
    </row>
    <row r="52" spans="1:27" ht="16">
      <c r="A52" s="2"/>
      <c r="B52" s="5" t="s">
        <v>44</v>
      </c>
      <c r="C52" s="6">
        <v>13669</v>
      </c>
      <c r="D52" s="6">
        <v>15122</v>
      </c>
      <c r="E52" s="6">
        <v>18391</v>
      </c>
      <c r="F52" s="6">
        <v>24780</v>
      </c>
      <c r="G52" s="6">
        <v>27946</v>
      </c>
      <c r="H52" s="6">
        <v>34404</v>
      </c>
      <c r="K52" s="188" t="s">
        <v>517</v>
      </c>
      <c r="L52" s="187"/>
      <c r="M52" s="186"/>
      <c r="N52" s="186"/>
      <c r="O52" s="186"/>
      <c r="P52" s="186"/>
      <c r="Q52" s="180"/>
      <c r="R52" s="180"/>
      <c r="S52" s="247">
        <v>1</v>
      </c>
      <c r="T52" s="181">
        <f>S52+1</f>
        <v>2</v>
      </c>
      <c r="U52" s="181">
        <f t="shared" ref="U52:AA52" si="56">T52+1</f>
        <v>3</v>
      </c>
      <c r="V52" s="181">
        <f t="shared" si="56"/>
        <v>4</v>
      </c>
      <c r="W52" s="181">
        <f t="shared" si="56"/>
        <v>5</v>
      </c>
      <c r="X52" s="181">
        <f t="shared" si="56"/>
        <v>6</v>
      </c>
      <c r="Y52" s="181">
        <f t="shared" si="56"/>
        <v>7</v>
      </c>
      <c r="Z52" s="181">
        <f t="shared" si="56"/>
        <v>8</v>
      </c>
      <c r="AA52" s="181">
        <f t="shared" si="56"/>
        <v>9</v>
      </c>
    </row>
    <row r="53" spans="1:27" ht="16">
      <c r="A53" s="2"/>
      <c r="B53" s="2" t="s">
        <v>45</v>
      </c>
      <c r="C53" s="2"/>
      <c r="D53" s="2"/>
      <c r="E53" s="2"/>
      <c r="F53" s="2"/>
      <c r="G53" s="2"/>
      <c r="H53" s="2">
        <v>0</v>
      </c>
      <c r="K53" s="185" t="s">
        <v>518</v>
      </c>
      <c r="L53" s="184"/>
      <c r="M53" s="183"/>
      <c r="N53" s="183"/>
      <c r="O53" s="183"/>
      <c r="P53" s="183"/>
      <c r="Q53" s="174"/>
      <c r="R53" s="174"/>
      <c r="S53" s="182">
        <f>1/(1+$L$49)^S52</f>
        <v>0.92974036288701323</v>
      </c>
      <c r="T53" s="182">
        <f t="shared" ref="T53:AA53" si="57">1/(1+$L$49)^T52</f>
        <v>0.86441714238127509</v>
      </c>
      <c r="U53" s="182">
        <f t="shared" si="57"/>
        <v>0.80368350764332175</v>
      </c>
      <c r="V53" s="182">
        <f t="shared" si="57"/>
        <v>0.7472169960426096</v>
      </c>
      <c r="W53" s="182">
        <f t="shared" si="57"/>
        <v>0.69471780105599967</v>
      </c>
      <c r="X53" s="182">
        <f t="shared" si="57"/>
        <v>0.6459071804578731</v>
      </c>
      <c r="Y53" s="182">
        <f t="shared" si="57"/>
        <v>0.60052597635023053</v>
      </c>
      <c r="Z53" s="182">
        <f t="shared" si="57"/>
        <v>0.55833323917494115</v>
      </c>
      <c r="AA53" s="182">
        <f t="shared" si="57"/>
        <v>0.51910494840239141</v>
      </c>
    </row>
    <row r="54" spans="1:27" ht="16">
      <c r="A54" s="2"/>
      <c r="B54" s="2" t="s">
        <v>46</v>
      </c>
      <c r="C54" s="2">
        <v>0</v>
      </c>
      <c r="D54" s="4">
        <v>13100</v>
      </c>
      <c r="E54" s="4">
        <v>13579</v>
      </c>
      <c r="F54" s="4">
        <v>14314</v>
      </c>
      <c r="G54" s="4">
        <v>14939</v>
      </c>
      <c r="H54" s="4">
        <v>15588</v>
      </c>
      <c r="K54" s="181" t="s">
        <v>519</v>
      </c>
      <c r="L54" s="180"/>
      <c r="M54" s="180"/>
      <c r="N54" s="180"/>
      <c r="O54" s="180"/>
      <c r="P54" s="180"/>
      <c r="Q54" s="180"/>
      <c r="R54" s="180"/>
      <c r="S54" s="179">
        <f>S47*S53</f>
        <v>1929.1523489472113</v>
      </c>
      <c r="T54" s="179">
        <f>T47*T53</f>
        <v>2007.6741674256828</v>
      </c>
      <c r="U54" s="179">
        <f>U47*U53</f>
        <v>2127.9419082386098</v>
      </c>
      <c r="V54" s="179">
        <f>V47*V53</f>
        <v>2255.4141694438035</v>
      </c>
      <c r="W54" s="179">
        <f>W47*W53</f>
        <v>2391.9155625173657</v>
      </c>
      <c r="X54" s="179">
        <f t="shared" ref="X54:AA54" si="58">X47*X53</f>
        <v>2490.7236962607899</v>
      </c>
      <c r="Y54" s="179">
        <f t="shared" si="58"/>
        <v>2593.6135155983243</v>
      </c>
      <c r="Z54" s="179">
        <f t="shared" si="58"/>
        <v>2703.8994247592782</v>
      </c>
      <c r="AA54" s="179">
        <f t="shared" si="58"/>
        <v>2715.0383869765315</v>
      </c>
    </row>
    <row r="55" spans="1:27" ht="16">
      <c r="A55" s="2"/>
      <c r="B55" s="2" t="s">
        <v>47</v>
      </c>
      <c r="C55" s="2"/>
      <c r="D55" s="2">
        <v>0</v>
      </c>
      <c r="E55" s="2">
        <v>-995</v>
      </c>
      <c r="F55" s="4">
        <v>-2001</v>
      </c>
      <c r="G55" s="4">
        <v>-5511</v>
      </c>
      <c r="H55" s="4">
        <v>-6872</v>
      </c>
      <c r="K55" s="175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</row>
    <row r="56" spans="1:27" ht="16">
      <c r="A56" s="2"/>
      <c r="B56" s="2" t="s">
        <v>48</v>
      </c>
      <c r="C56" s="2">
        <v>0</v>
      </c>
      <c r="D56" s="2">
        <v>668</v>
      </c>
      <c r="E56" s="4">
        <v>2069</v>
      </c>
      <c r="F56" s="4">
        <v>3823</v>
      </c>
      <c r="G56" s="4">
        <v>5880</v>
      </c>
      <c r="H56" s="4">
        <v>8342</v>
      </c>
      <c r="K56" s="175" t="s">
        <v>527</v>
      </c>
      <c r="L56" s="174"/>
      <c r="M56" s="178">
        <f>SUM(S54:Z54)</f>
        <v>18500.334793191068</v>
      </c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</row>
    <row r="57" spans="1:27" ht="16">
      <c r="A57" s="2"/>
      <c r="B57" s="2" t="s">
        <v>49</v>
      </c>
      <c r="C57" s="4">
        <v>8248</v>
      </c>
      <c r="D57" s="2">
        <v>-9</v>
      </c>
      <c r="E57" s="2">
        <v>59</v>
      </c>
      <c r="F57" s="2">
        <v>-142</v>
      </c>
      <c r="G57" s="2">
        <v>78</v>
      </c>
      <c r="H57" s="2">
        <v>-173</v>
      </c>
      <c r="K57" s="175" t="s">
        <v>520</v>
      </c>
      <c r="L57" s="174"/>
      <c r="M57" s="178">
        <f>AA54/(L49-L50)</f>
        <v>88816.448553766109</v>
      </c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</row>
    <row r="58" spans="1:27" ht="16">
      <c r="A58" s="2"/>
      <c r="B58" s="2" t="s">
        <v>50</v>
      </c>
      <c r="C58" s="4">
        <v>8248</v>
      </c>
      <c r="D58" s="4">
        <v>13759</v>
      </c>
      <c r="E58" s="4">
        <v>14712</v>
      </c>
      <c r="F58" s="4">
        <v>15994</v>
      </c>
      <c r="G58" s="4">
        <v>15386</v>
      </c>
      <c r="H58" s="4">
        <v>16885</v>
      </c>
      <c r="K58" s="175" t="s">
        <v>521</v>
      </c>
      <c r="L58" s="174"/>
      <c r="M58" s="178">
        <f>M57*AA53</f>
        <v>46105.057943786407</v>
      </c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</row>
    <row r="59" spans="1:27" ht="16">
      <c r="A59" s="2"/>
      <c r="B59" s="2" t="s">
        <v>23</v>
      </c>
      <c r="C59" s="2"/>
      <c r="D59" s="2"/>
      <c r="E59" s="2"/>
      <c r="F59" s="2"/>
      <c r="G59" s="2"/>
      <c r="H59" s="2">
        <v>44</v>
      </c>
      <c r="K59" s="175" t="s">
        <v>522</v>
      </c>
      <c r="L59" s="174"/>
      <c r="M59" s="178">
        <f>M58+M56</f>
        <v>64605.392736977476</v>
      </c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</row>
    <row r="60" spans="1:27" ht="16">
      <c r="A60" s="2"/>
      <c r="B60" s="5" t="s">
        <v>51</v>
      </c>
      <c r="C60" s="6">
        <v>8248</v>
      </c>
      <c r="D60" s="6">
        <v>13759</v>
      </c>
      <c r="E60" s="6">
        <v>14712</v>
      </c>
      <c r="F60" s="6">
        <v>15994</v>
      </c>
      <c r="G60" s="6">
        <v>15386</v>
      </c>
      <c r="H60" s="6">
        <v>16929</v>
      </c>
      <c r="K60" s="175" t="s">
        <v>523</v>
      </c>
      <c r="L60" s="174"/>
      <c r="M60" s="178">
        <f>-R38</f>
        <v>5796</v>
      </c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</row>
    <row r="61" spans="1:27" ht="16">
      <c r="A61" s="2"/>
      <c r="B61" s="5" t="s">
        <v>52</v>
      </c>
      <c r="C61" s="6">
        <v>21917</v>
      </c>
      <c r="D61" s="6">
        <v>28881</v>
      </c>
      <c r="E61" s="6">
        <v>33103</v>
      </c>
      <c r="F61" s="6">
        <v>40774</v>
      </c>
      <c r="G61" s="6">
        <v>43332</v>
      </c>
      <c r="H61" s="6">
        <v>51333</v>
      </c>
      <c r="K61" s="175" t="s">
        <v>524</v>
      </c>
      <c r="L61" s="174"/>
      <c r="M61" s="178">
        <f>M59-M60</f>
        <v>58809.392736977476</v>
      </c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</row>
    <row r="62" spans="1:27" ht="16">
      <c r="A62" s="2"/>
      <c r="B62" s="2"/>
      <c r="C62" s="2"/>
      <c r="D62" s="2"/>
      <c r="E62" s="2"/>
      <c r="F62" s="2"/>
      <c r="G62" s="2"/>
      <c r="H62" s="2"/>
      <c r="K62" s="175" t="s">
        <v>525</v>
      </c>
      <c r="L62" s="174"/>
      <c r="M62" s="248">
        <v>1170</v>
      </c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</row>
    <row r="63" spans="1:27" ht="16">
      <c r="A63" s="2" t="s">
        <v>53</v>
      </c>
      <c r="B63" s="2"/>
      <c r="C63" s="2"/>
      <c r="D63" s="2"/>
      <c r="E63" s="2"/>
      <c r="F63" s="2"/>
      <c r="G63" s="2"/>
      <c r="K63" s="177" t="s">
        <v>526</v>
      </c>
      <c r="L63" s="176"/>
      <c r="M63" s="238">
        <f>M61/M62</f>
        <v>50.264438236732886</v>
      </c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</row>
    <row r="64" spans="1:27">
      <c r="A64" s="2"/>
      <c r="B64" s="2" t="s">
        <v>2</v>
      </c>
      <c r="C64" s="2" t="s">
        <v>7</v>
      </c>
      <c r="D64" s="2" t="s">
        <v>8</v>
      </c>
      <c r="E64" s="2" t="s">
        <v>9</v>
      </c>
      <c r="F64" s="2" t="s">
        <v>10</v>
      </c>
      <c r="G64" s="2" t="s">
        <v>11</v>
      </c>
      <c r="H64" s="2" t="s">
        <v>12</v>
      </c>
    </row>
    <row r="65" spans="1:14" ht="16">
      <c r="A65" s="2"/>
      <c r="B65" s="2" t="s">
        <v>54</v>
      </c>
      <c r="C65" s="2">
        <v>419</v>
      </c>
      <c r="D65" s="4">
        <v>1228</v>
      </c>
      <c r="E65" s="4">
        <v>1401</v>
      </c>
      <c r="F65" s="4">
        <v>1795</v>
      </c>
      <c r="G65" s="4">
        <v>2057</v>
      </c>
      <c r="H65" s="4">
        <v>2459</v>
      </c>
      <c r="K65" s="175" t="s">
        <v>527</v>
      </c>
      <c r="L65" s="174"/>
      <c r="M65" s="178">
        <f>SUM(S54:Z54)</f>
        <v>18500.334793191068</v>
      </c>
      <c r="N65" s="174"/>
    </row>
    <row r="66" spans="1:14" ht="16">
      <c r="A66" s="2"/>
      <c r="B66" s="2" t="s">
        <v>55</v>
      </c>
      <c r="C66" s="2">
        <v>516</v>
      </c>
      <c r="D66" s="2">
        <v>608</v>
      </c>
      <c r="E66" s="2">
        <v>724</v>
      </c>
      <c r="F66" s="2">
        <v>805</v>
      </c>
      <c r="G66" s="2">
        <v>776</v>
      </c>
      <c r="H66" s="2">
        <v>912</v>
      </c>
      <c r="K66" s="175" t="s">
        <v>520</v>
      </c>
      <c r="L66" s="174"/>
      <c r="M66" s="178">
        <f>AA54*N66</f>
        <v>92311.305157202063</v>
      </c>
      <c r="N66" s="249">
        <v>34</v>
      </c>
    </row>
    <row r="67" spans="1:14" ht="16">
      <c r="A67" s="2"/>
      <c r="B67" s="2" t="s">
        <v>56</v>
      </c>
      <c r="C67" s="4">
        <v>1170</v>
      </c>
      <c r="D67" s="2">
        <v>723</v>
      </c>
      <c r="E67" s="2">
        <v>871</v>
      </c>
      <c r="F67" s="2">
        <v>-305</v>
      </c>
      <c r="G67" s="2">
        <v>982</v>
      </c>
      <c r="H67" s="4">
        <v>1195</v>
      </c>
      <c r="K67" s="175" t="s">
        <v>521</v>
      </c>
      <c r="L67" s="174"/>
      <c r="M67" s="178">
        <f>M66*AA53</f>
        <v>47919.255300586789</v>
      </c>
      <c r="N67" s="174"/>
    </row>
    <row r="68" spans="1:14" ht="16">
      <c r="A68" s="2"/>
      <c r="B68" s="2" t="s">
        <v>57</v>
      </c>
      <c r="C68" s="2">
        <v>115</v>
      </c>
      <c r="D68" s="2">
        <v>-13</v>
      </c>
      <c r="E68" s="2">
        <v>162</v>
      </c>
      <c r="F68" s="2">
        <v>236</v>
      </c>
      <c r="G68" s="4">
        <v>1668</v>
      </c>
      <c r="H68" s="2">
        <v>-5</v>
      </c>
      <c r="K68" s="175" t="s">
        <v>522</v>
      </c>
      <c r="L68" s="174"/>
      <c r="M68" s="178">
        <f>M65+M67</f>
        <v>66419.590093777864</v>
      </c>
      <c r="N68" s="174"/>
    </row>
    <row r="69" spans="1:14" ht="16">
      <c r="A69" s="2"/>
      <c r="B69" s="5" t="s">
        <v>58</v>
      </c>
      <c r="C69" s="6">
        <v>2220</v>
      </c>
      <c r="D69" s="6">
        <v>2546</v>
      </c>
      <c r="E69" s="6">
        <v>3158</v>
      </c>
      <c r="F69" s="6">
        <v>2531</v>
      </c>
      <c r="G69" s="6">
        <v>5483</v>
      </c>
      <c r="H69" s="6">
        <v>4561</v>
      </c>
      <c r="K69" s="175" t="s">
        <v>523</v>
      </c>
      <c r="L69" s="174"/>
      <c r="M69" s="178">
        <f>-R38</f>
        <v>5796</v>
      </c>
      <c r="N69" s="170"/>
    </row>
    <row r="70" spans="1:14" ht="16">
      <c r="A70" s="2"/>
      <c r="B70" s="2" t="s">
        <v>59</v>
      </c>
      <c r="C70" s="2">
        <v>-492</v>
      </c>
      <c r="D70" s="2">
        <v>-696</v>
      </c>
      <c r="E70" s="2">
        <v>-669</v>
      </c>
      <c r="F70" s="2">
        <v>-667</v>
      </c>
      <c r="G70" s="2">
        <v>-820</v>
      </c>
      <c r="H70" s="2">
        <v>-687</v>
      </c>
      <c r="K70" s="175" t="s">
        <v>524</v>
      </c>
      <c r="L70" s="174"/>
      <c r="M70" s="178">
        <f>M68-M69</f>
        <v>60623.590093777864</v>
      </c>
      <c r="N70" s="170"/>
    </row>
    <row r="71" spans="1:14" ht="16">
      <c r="A71" s="2"/>
      <c r="B71" s="2" t="s">
        <v>60</v>
      </c>
      <c r="C71" s="2">
        <v>-978</v>
      </c>
      <c r="D71" s="4">
        <v>-5478</v>
      </c>
      <c r="E71" s="4">
        <v>-2612</v>
      </c>
      <c r="F71" s="2">
        <v>-970</v>
      </c>
      <c r="G71" s="2">
        <v>-483</v>
      </c>
      <c r="H71" s="4">
        <v>-3003</v>
      </c>
      <c r="K71" s="175" t="s">
        <v>525</v>
      </c>
      <c r="L71" s="174"/>
      <c r="M71" s="250">
        <f>M62</f>
        <v>1170</v>
      </c>
      <c r="N71" s="170"/>
    </row>
    <row r="72" spans="1:14" ht="16">
      <c r="A72" s="2"/>
      <c r="B72" s="2" t="s">
        <v>61</v>
      </c>
      <c r="C72" s="2">
        <v>-2</v>
      </c>
      <c r="D72" s="4">
        <v>-1225</v>
      </c>
      <c r="E72" s="2">
        <v>-19</v>
      </c>
      <c r="F72" s="2">
        <v>-323</v>
      </c>
      <c r="G72" s="4">
        <v>-2124</v>
      </c>
      <c r="H72" s="2">
        <v>-70</v>
      </c>
      <c r="K72" s="177" t="s">
        <v>526</v>
      </c>
      <c r="L72" s="176"/>
      <c r="M72" s="238">
        <f>M70/M71</f>
        <v>51.81503426818621</v>
      </c>
      <c r="N72" s="170"/>
    </row>
    <row r="73" spans="1:14">
      <c r="A73" s="2"/>
      <c r="B73" s="2" t="s">
        <v>62</v>
      </c>
      <c r="C73" s="4">
        <v>-1409</v>
      </c>
      <c r="D73" s="2">
        <v>-639</v>
      </c>
      <c r="E73" s="4">
        <v>-2604</v>
      </c>
      <c r="F73" s="4">
        <v>-2525</v>
      </c>
      <c r="G73" s="4">
        <v>4267</v>
      </c>
      <c r="H73" s="4">
        <v>-1973</v>
      </c>
    </row>
    <row r="74" spans="1:14">
      <c r="A74" s="2"/>
      <c r="B74" s="5" t="s">
        <v>63</v>
      </c>
      <c r="C74" s="6">
        <v>-2881</v>
      </c>
      <c r="D74" s="6">
        <v>-8038</v>
      </c>
      <c r="E74" s="6">
        <v>-5904</v>
      </c>
      <c r="F74" s="6">
        <v>-4485</v>
      </c>
      <c r="G74" s="5">
        <v>840</v>
      </c>
      <c r="H74" s="6">
        <v>-5733</v>
      </c>
    </row>
    <row r="75" spans="1:14">
      <c r="A75" s="2"/>
      <c r="B75" s="2" t="s">
        <v>65</v>
      </c>
      <c r="C75" s="2">
        <v>-21</v>
      </c>
      <c r="D75" s="2">
        <v>-862</v>
      </c>
      <c r="E75" s="2">
        <v>-21</v>
      </c>
      <c r="F75" s="2">
        <v>820</v>
      </c>
      <c r="G75" s="2">
        <v>960</v>
      </c>
      <c r="H75" s="4">
        <v>-2516</v>
      </c>
    </row>
    <row r="76" spans="1:14">
      <c r="A76" s="2"/>
      <c r="B76" s="2" t="s">
        <v>66</v>
      </c>
      <c r="C76" s="2">
        <v>0</v>
      </c>
      <c r="D76" s="2">
        <v>75</v>
      </c>
      <c r="E76" s="2">
        <v>-886</v>
      </c>
      <c r="F76" s="2">
        <v>-862</v>
      </c>
      <c r="G76" s="4">
        <v>-3376</v>
      </c>
      <c r="H76" s="4">
        <v>-1273</v>
      </c>
    </row>
    <row r="77" spans="1:14">
      <c r="A77" s="2"/>
      <c r="B77" s="2" t="s">
        <v>67</v>
      </c>
      <c r="C77" s="4">
        <v>1305</v>
      </c>
      <c r="D77" s="4">
        <v>5515</v>
      </c>
      <c r="E77" s="4">
        <v>2945</v>
      </c>
      <c r="F77" s="4">
        <v>4126</v>
      </c>
      <c r="G77" s="4">
        <v>1154</v>
      </c>
      <c r="H77" s="4">
        <v>7477</v>
      </c>
    </row>
    <row r="78" spans="1:14">
      <c r="A78" s="2"/>
      <c r="B78" s="5" t="s">
        <v>68</v>
      </c>
      <c r="C78" s="6">
        <v>1284</v>
      </c>
      <c r="D78" s="6">
        <v>4728</v>
      </c>
      <c r="E78" s="6">
        <v>2038</v>
      </c>
      <c r="F78" s="6">
        <v>4084</v>
      </c>
      <c r="G78" s="6">
        <v>-1262</v>
      </c>
      <c r="H78" s="6">
        <v>3688</v>
      </c>
    </row>
    <row r="79" spans="1:14">
      <c r="A79" s="2"/>
      <c r="B79" s="2" t="s">
        <v>69</v>
      </c>
      <c r="C79" s="2">
        <v>623</v>
      </c>
      <c r="D79" s="2">
        <v>-764</v>
      </c>
      <c r="E79" s="2">
        <v>-708</v>
      </c>
      <c r="F79" s="4">
        <v>2130</v>
      </c>
      <c r="G79" s="4">
        <v>5061</v>
      </c>
      <c r="H79" s="4">
        <v>2516</v>
      </c>
    </row>
    <row r="80" spans="1:14">
      <c r="A80" s="2"/>
      <c r="B80" s="2" t="s">
        <v>70</v>
      </c>
      <c r="C80" s="2">
        <v>-26</v>
      </c>
      <c r="D80" s="2">
        <v>-44</v>
      </c>
      <c r="E80" s="2">
        <v>0</v>
      </c>
      <c r="F80" s="2">
        <v>36</v>
      </c>
      <c r="G80" s="2">
        <v>-113</v>
      </c>
      <c r="H80" s="2">
        <v>-6</v>
      </c>
    </row>
    <row r="81" spans="1:8">
      <c r="A81" s="2"/>
      <c r="B81" s="5" t="s">
        <v>71</v>
      </c>
      <c r="C81" s="5">
        <v>597</v>
      </c>
      <c r="D81" s="5">
        <v>-808</v>
      </c>
      <c r="E81" s="5">
        <v>-708</v>
      </c>
      <c r="F81" s="6">
        <v>2166</v>
      </c>
      <c r="G81" s="6">
        <v>4948</v>
      </c>
      <c r="H81" s="6">
        <v>2510</v>
      </c>
    </row>
    <row r="83" spans="1:8">
      <c r="B83" s="2" t="s">
        <v>99</v>
      </c>
      <c r="C83">
        <v>997</v>
      </c>
    </row>
    <row r="84" spans="1:8">
      <c r="B84" s="2"/>
    </row>
  </sheetData>
  <mergeCells count="1">
    <mergeCell ref="B1:I1"/>
  </mergeCells>
  <conditionalFormatting sqref="L65:M72">
    <cfRule type="top10" dxfId="1" priority="2" percent="1" rank="10"/>
  </conditionalFormatting>
  <pageMargins left="0.7" right="0.7" top="0.75" bottom="0.75" header="0.3" footer="0.3"/>
  <ignoredErrors>
    <ignoredError sqref="D5:H6 D8:H10 D13:H13 D16:H17 D7:H7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79"/>
  <sheetViews>
    <sheetView showGridLines="0" topLeftCell="K19" zoomScale="90" zoomScaleNormal="90" workbookViewId="0">
      <selection activeCell="S75" sqref="S75"/>
    </sheetView>
  </sheetViews>
  <sheetFormatPr baseColWidth="10" defaultColWidth="10.83203125" defaultRowHeight="15"/>
  <cols>
    <col min="1" max="1" width="2.83203125" customWidth="1"/>
    <col min="2" max="2" width="41.33203125" customWidth="1"/>
    <col min="3" max="12" width="11.5" customWidth="1"/>
    <col min="13" max="13" width="9.1640625" customWidth="1"/>
    <col min="14" max="14" width="8.33203125" customWidth="1"/>
    <col min="16" max="16" width="29" customWidth="1"/>
    <col min="17" max="17" width="6.5" customWidth="1"/>
    <col min="18" max="18" width="10.83203125" customWidth="1"/>
    <col min="19" max="19" width="9.5" customWidth="1"/>
    <col min="20" max="20" width="10.33203125" customWidth="1"/>
  </cols>
  <sheetData>
    <row r="1" spans="2:37" ht="16" thickBot="1">
      <c r="C1" s="262" t="s">
        <v>387</v>
      </c>
      <c r="D1" s="262"/>
      <c r="E1" s="262"/>
      <c r="F1" s="262"/>
      <c r="G1" s="262"/>
      <c r="H1" s="262"/>
      <c r="I1" s="262"/>
      <c r="J1" s="262"/>
      <c r="K1" s="262"/>
      <c r="L1" s="262"/>
    </row>
    <row r="2" spans="2:37" ht="18" thickTop="1" thickBot="1">
      <c r="C2" s="69" t="s">
        <v>3</v>
      </c>
      <c r="D2" s="69" t="s">
        <v>4</v>
      </c>
      <c r="E2" s="69" t="s">
        <v>5</v>
      </c>
      <c r="F2" s="69" t="s">
        <v>6</v>
      </c>
      <c r="G2" s="69" t="s">
        <v>7</v>
      </c>
      <c r="H2" s="69" t="s">
        <v>8</v>
      </c>
      <c r="I2" s="69" t="s">
        <v>9</v>
      </c>
      <c r="J2" s="69" t="s">
        <v>10</v>
      </c>
      <c r="K2" s="69" t="s">
        <v>11</v>
      </c>
      <c r="L2" s="69" t="s">
        <v>12</v>
      </c>
      <c r="M2" s="81" t="s">
        <v>467</v>
      </c>
      <c r="N2" s="81" t="s">
        <v>466</v>
      </c>
      <c r="P2" s="125" t="s">
        <v>482</v>
      </c>
      <c r="Q2" s="125"/>
      <c r="R2" s="126" t="s">
        <v>7</v>
      </c>
      <c r="S2" s="126" t="s">
        <v>8</v>
      </c>
      <c r="T2" s="126" t="s">
        <v>9</v>
      </c>
      <c r="U2" s="126" t="s">
        <v>10</v>
      </c>
      <c r="V2" s="126" t="s">
        <v>11</v>
      </c>
      <c r="W2" s="126" t="s">
        <v>12</v>
      </c>
      <c r="X2" s="126" t="s">
        <v>474</v>
      </c>
      <c r="Y2" s="126" t="s">
        <v>475</v>
      </c>
      <c r="Z2" s="126" t="s">
        <v>476</v>
      </c>
      <c r="AA2" s="126" t="s">
        <v>490</v>
      </c>
      <c r="AB2" s="126" t="s">
        <v>491</v>
      </c>
      <c r="AC2" s="126" t="s">
        <v>531</v>
      </c>
      <c r="AD2" s="126" t="s">
        <v>532</v>
      </c>
      <c r="AE2" s="126" t="s">
        <v>533</v>
      </c>
      <c r="AF2" s="126" t="s">
        <v>534</v>
      </c>
      <c r="AH2" s="121" t="s">
        <v>499</v>
      </c>
      <c r="AI2" s="122"/>
      <c r="AJ2" s="122"/>
      <c r="AK2" s="122" t="s">
        <v>515</v>
      </c>
    </row>
    <row r="3" spans="2:37" ht="18" thickTop="1" thickBot="1">
      <c r="B3" s="78" t="s">
        <v>447</v>
      </c>
      <c r="C3" s="79">
        <f>C22</f>
        <v>27582</v>
      </c>
      <c r="D3" s="79">
        <f t="shared" ref="D3:L3" si="0">D22</f>
        <v>29962</v>
      </c>
      <c r="E3" s="79">
        <f t="shared" si="0"/>
        <v>31555</v>
      </c>
      <c r="F3" s="79">
        <f t="shared" si="0"/>
        <v>32870</v>
      </c>
      <c r="G3" s="79">
        <f t="shared" si="0"/>
        <v>34188</v>
      </c>
      <c r="H3" s="79">
        <f t="shared" si="0"/>
        <v>32818</v>
      </c>
      <c r="I3" s="79">
        <f t="shared" si="0"/>
        <v>32119</v>
      </c>
      <c r="J3" s="79">
        <f t="shared" si="0"/>
        <v>36878</v>
      </c>
      <c r="K3" s="79">
        <f t="shared" si="0"/>
        <v>40338</v>
      </c>
      <c r="L3" s="79">
        <f t="shared" si="0"/>
        <v>42126</v>
      </c>
      <c r="M3" s="82"/>
      <c r="N3" s="98"/>
      <c r="P3" s="145" t="s">
        <v>447</v>
      </c>
      <c r="Q3" s="145"/>
      <c r="R3" s="146">
        <f>G22</f>
        <v>34188</v>
      </c>
      <c r="S3" s="146">
        <f t="shared" ref="S3:W3" si="1">H22</f>
        <v>32818</v>
      </c>
      <c r="T3" s="146">
        <f t="shared" si="1"/>
        <v>32119</v>
      </c>
      <c r="U3" s="146">
        <f t="shared" si="1"/>
        <v>36878</v>
      </c>
      <c r="V3" s="146">
        <f t="shared" si="1"/>
        <v>40338</v>
      </c>
      <c r="W3" s="146">
        <f t="shared" si="1"/>
        <v>42126</v>
      </c>
      <c r="X3" s="147">
        <f>W3*(1+$X$4)</f>
        <v>43811.040000000001</v>
      </c>
      <c r="Y3" s="147">
        <f>X3*(1+X4)</f>
        <v>45563.481599999999</v>
      </c>
      <c r="Z3" s="147">
        <f t="shared" ref="Z3:AF3" si="2">Y3*(1+Y4)</f>
        <v>47386.020863999998</v>
      </c>
      <c r="AA3" s="147">
        <f t="shared" si="2"/>
        <v>49281.461698560001</v>
      </c>
      <c r="AB3" s="147">
        <f t="shared" si="2"/>
        <v>51252.720166502404</v>
      </c>
      <c r="AC3" s="147">
        <f t="shared" si="2"/>
        <v>53302.828973162505</v>
      </c>
      <c r="AD3" s="147">
        <f t="shared" si="2"/>
        <v>55434.942132089003</v>
      </c>
      <c r="AE3" s="147">
        <f t="shared" si="2"/>
        <v>56543.640974730784</v>
      </c>
      <c r="AF3" s="147">
        <f t="shared" si="2"/>
        <v>57674.5137942254</v>
      </c>
      <c r="AH3" s="2" t="s">
        <v>500</v>
      </c>
      <c r="AK3" s="165">
        <v>8.3000000000000001E-3</v>
      </c>
    </row>
    <row r="4" spans="2:37" ht="17" thickTop="1">
      <c r="B4" s="70" t="s">
        <v>446</v>
      </c>
      <c r="C4" s="71"/>
      <c r="D4" s="72">
        <f>(D3-C3)/C3</f>
        <v>8.6288158944238996E-2</v>
      </c>
      <c r="E4" s="72">
        <f t="shared" ref="E4:L4" si="3">(E3-D3)/D3</f>
        <v>5.3167345304051802E-2</v>
      </c>
      <c r="F4" s="72">
        <f t="shared" si="3"/>
        <v>4.1673268895579145E-2</v>
      </c>
      <c r="G4" s="72">
        <f t="shared" si="3"/>
        <v>4.0097353209613627E-2</v>
      </c>
      <c r="H4" s="72">
        <f t="shared" si="3"/>
        <v>-4.0072540072540075E-2</v>
      </c>
      <c r="I4" s="72">
        <f t="shared" si="3"/>
        <v>-2.129928697665915E-2</v>
      </c>
      <c r="J4" s="72">
        <f t="shared" si="3"/>
        <v>0.1481677511753168</v>
      </c>
      <c r="K4" s="72">
        <f t="shared" si="3"/>
        <v>9.3822875427083896E-2</v>
      </c>
      <c r="L4" s="72">
        <f t="shared" si="3"/>
        <v>4.432544994793991E-2</v>
      </c>
      <c r="M4" s="99">
        <f>(L3/C3)^(1/10)-1</f>
        <v>4.3259737356585282E-2</v>
      </c>
      <c r="N4" s="100">
        <f>(L3/G3)^(1/6)-1</f>
        <v>3.5410952699532983E-2</v>
      </c>
      <c r="P4" s="148" t="s">
        <v>477</v>
      </c>
      <c r="Q4" s="149"/>
      <c r="R4" s="150"/>
      <c r="S4" s="151">
        <f>(S3-R3)/R3</f>
        <v>-4.0072540072540075E-2</v>
      </c>
      <c r="T4" s="151">
        <f t="shared" ref="T4:W4" si="4">(T3-S3)/S3</f>
        <v>-2.129928697665915E-2</v>
      </c>
      <c r="U4" s="151">
        <f t="shared" si="4"/>
        <v>0.1481677511753168</v>
      </c>
      <c r="V4" s="151">
        <f t="shared" si="4"/>
        <v>9.3822875427083896E-2</v>
      </c>
      <c r="W4" s="151">
        <f t="shared" si="4"/>
        <v>4.432544994793991E-2</v>
      </c>
      <c r="X4" s="164">
        <v>0.04</v>
      </c>
      <c r="Y4" s="151">
        <f>X4</f>
        <v>0.04</v>
      </c>
      <c r="Z4" s="151">
        <f t="shared" ref="Z4:AF4" si="5">Y4</f>
        <v>0.04</v>
      </c>
      <c r="AA4" s="164">
        <v>0.04</v>
      </c>
      <c r="AB4" s="151">
        <f t="shared" si="5"/>
        <v>0.04</v>
      </c>
      <c r="AC4" s="151">
        <f t="shared" si="5"/>
        <v>0.04</v>
      </c>
      <c r="AD4" s="164">
        <v>0.02</v>
      </c>
      <c r="AE4" s="151">
        <f t="shared" si="5"/>
        <v>0.02</v>
      </c>
      <c r="AF4" s="151">
        <f t="shared" si="5"/>
        <v>0.02</v>
      </c>
      <c r="AG4" s="67"/>
      <c r="AH4" s="67" t="s">
        <v>501</v>
      </c>
      <c r="AI4" s="67"/>
      <c r="AJ4" s="67"/>
      <c r="AK4" s="241">
        <v>5.6000000000000001E-2</v>
      </c>
    </row>
    <row r="5" spans="2:37" ht="17" thickBot="1">
      <c r="B5" s="75" t="s">
        <v>267</v>
      </c>
      <c r="C5" s="77">
        <f>C24+C61</f>
        <v>26292</v>
      </c>
      <c r="D5" s="77">
        <f t="shared" ref="D5:L5" si="6">D24+D61</f>
        <v>29768</v>
      </c>
      <c r="E5" s="77">
        <f t="shared" si="6"/>
        <v>30834</v>
      </c>
      <c r="F5" s="77">
        <f t="shared" si="6"/>
        <v>32058</v>
      </c>
      <c r="G5" s="77">
        <f t="shared" si="6"/>
        <v>33156</v>
      </c>
      <c r="H5" s="77">
        <f t="shared" si="6"/>
        <v>31873</v>
      </c>
      <c r="I5" s="77">
        <f t="shared" si="6"/>
        <v>31188</v>
      </c>
      <c r="J5" s="77">
        <f t="shared" si="6"/>
        <v>35439</v>
      </c>
      <c r="K5" s="77">
        <f t="shared" si="6"/>
        <v>38279</v>
      </c>
      <c r="L5" s="77">
        <f t="shared" si="6"/>
        <v>40852</v>
      </c>
      <c r="M5" s="101"/>
      <c r="N5" s="102"/>
      <c r="P5" s="148"/>
      <c r="Q5" s="149"/>
      <c r="R5" s="150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K5" s="2"/>
    </row>
    <row r="6" spans="2:37" ht="18" thickTop="1" thickBot="1">
      <c r="B6" s="70" t="s">
        <v>446</v>
      </c>
      <c r="C6" s="73"/>
      <c r="D6" s="72">
        <f>(D5-C5)/C5</f>
        <v>0.13220751559409707</v>
      </c>
      <c r="E6" s="72">
        <f t="shared" ref="E6:L6" si="7">(E5-D5)/D5</f>
        <v>3.581026605751142E-2</v>
      </c>
      <c r="F6" s="72">
        <f t="shared" si="7"/>
        <v>3.9696438995913602E-2</v>
      </c>
      <c r="G6" s="72">
        <f t="shared" si="7"/>
        <v>3.4250421111734979E-2</v>
      </c>
      <c r="H6" s="72">
        <f t="shared" si="7"/>
        <v>-3.8695861985764267E-2</v>
      </c>
      <c r="I6" s="72">
        <f t="shared" si="7"/>
        <v>-2.1491544567502276E-2</v>
      </c>
      <c r="J6" s="72">
        <f t="shared" si="7"/>
        <v>0.13630242400923431</v>
      </c>
      <c r="K6" s="72">
        <f t="shared" si="7"/>
        <v>8.0137701402409778E-2</v>
      </c>
      <c r="L6" s="72">
        <f t="shared" si="7"/>
        <v>6.7217011938660878E-2</v>
      </c>
      <c r="M6" s="99">
        <f>(L5/C5)^(1/10)-1</f>
        <v>4.5054572907766044E-2</v>
      </c>
      <c r="N6" s="100">
        <f>(L5/G5)^(1/6)-1</f>
        <v>3.5400885452471664E-2</v>
      </c>
      <c r="P6" s="145" t="s">
        <v>267</v>
      </c>
      <c r="Q6" s="145"/>
      <c r="R6" s="146">
        <f>G24+G25+G61</f>
        <v>10003</v>
      </c>
      <c r="S6" s="146">
        <f t="shared" ref="S6:W6" si="8">H24+H25+H61</f>
        <v>8981</v>
      </c>
      <c r="T6" s="146">
        <f t="shared" si="8"/>
        <v>9191</v>
      </c>
      <c r="U6" s="146">
        <f t="shared" si="8"/>
        <v>8746</v>
      </c>
      <c r="V6" s="146">
        <f t="shared" si="8"/>
        <v>9415</v>
      </c>
      <c r="W6" s="146">
        <f t="shared" si="8"/>
        <v>9298</v>
      </c>
      <c r="X6" s="147">
        <f>W6*(1+$X$7)</f>
        <v>9669.92</v>
      </c>
      <c r="Y6" s="147">
        <f>X6*(1+X7)</f>
        <v>10056.7168</v>
      </c>
      <c r="Z6" s="147">
        <f t="shared" ref="Z6:AF6" si="9">Y6*(1+Y7)</f>
        <v>10458.985472</v>
      </c>
      <c r="AA6" s="147">
        <f t="shared" si="9"/>
        <v>10877.34489088</v>
      </c>
      <c r="AB6" s="147">
        <f t="shared" si="9"/>
        <v>11312.438686515201</v>
      </c>
      <c r="AC6" s="147">
        <f t="shared" si="9"/>
        <v>11764.93623397581</v>
      </c>
      <c r="AD6" s="147">
        <f t="shared" si="9"/>
        <v>12235.533683334843</v>
      </c>
      <c r="AE6" s="147">
        <f t="shared" si="9"/>
        <v>12480.24435700154</v>
      </c>
      <c r="AF6" s="147">
        <f t="shared" si="9"/>
        <v>12729.849244141571</v>
      </c>
      <c r="AG6" s="67"/>
      <c r="AH6" s="121" t="s">
        <v>502</v>
      </c>
      <c r="AI6" s="122"/>
      <c r="AJ6" s="122"/>
      <c r="AK6" s="166"/>
    </row>
    <row r="7" spans="2:37" ht="17" thickBot="1">
      <c r="B7" s="75" t="s">
        <v>448</v>
      </c>
      <c r="C7" s="77">
        <f>C30</f>
        <v>4057</v>
      </c>
      <c r="D7" s="77">
        <f t="shared" ref="D7:L7" si="10">D30</f>
        <v>4935</v>
      </c>
      <c r="E7" s="77">
        <f t="shared" si="10"/>
        <v>4482</v>
      </c>
      <c r="F7" s="77">
        <f t="shared" si="10"/>
        <v>5359</v>
      </c>
      <c r="G7" s="77">
        <f t="shared" si="10"/>
        <v>5885</v>
      </c>
      <c r="H7" s="77">
        <f t="shared" si="10"/>
        <v>5163</v>
      </c>
      <c r="I7" s="77">
        <f t="shared" si="10"/>
        <v>5408</v>
      </c>
      <c r="J7" s="77">
        <f t="shared" si="10"/>
        <v>2748</v>
      </c>
      <c r="K7" s="77">
        <f t="shared" si="10"/>
        <v>6921</v>
      </c>
      <c r="L7" s="77">
        <f t="shared" si="10"/>
        <v>6440</v>
      </c>
      <c r="M7" s="99"/>
      <c r="N7" s="102"/>
      <c r="P7" s="149" t="s">
        <v>477</v>
      </c>
      <c r="Q7" s="149"/>
      <c r="R7" s="152"/>
      <c r="S7" s="153">
        <f>(S6-R6)/R6</f>
        <v>-0.10216934919524143</v>
      </c>
      <c r="T7" s="153">
        <f t="shared" ref="T7:W7" si="11">(T6-S6)/S6</f>
        <v>2.3382696804364771E-2</v>
      </c>
      <c r="U7" s="153">
        <f t="shared" si="11"/>
        <v>-4.8416929605048419E-2</v>
      </c>
      <c r="V7" s="153">
        <f t="shared" si="11"/>
        <v>7.6492110679167613E-2</v>
      </c>
      <c r="W7" s="153">
        <f t="shared" si="11"/>
        <v>-1.2426978226234732E-2</v>
      </c>
      <c r="X7" s="164">
        <v>0.04</v>
      </c>
      <c r="Y7" s="153">
        <f>X7</f>
        <v>0.04</v>
      </c>
      <c r="Z7" s="153">
        <f t="shared" ref="Z7:AF7" si="12">Y7</f>
        <v>0.04</v>
      </c>
      <c r="AA7" s="164">
        <v>0.04</v>
      </c>
      <c r="AB7" s="153">
        <f t="shared" si="12"/>
        <v>0.04</v>
      </c>
      <c r="AC7" s="153">
        <f t="shared" si="12"/>
        <v>0.04</v>
      </c>
      <c r="AD7" s="164">
        <v>0.02</v>
      </c>
      <c r="AE7" s="153">
        <f t="shared" si="12"/>
        <v>0.02</v>
      </c>
      <c r="AF7" s="153">
        <f t="shared" si="12"/>
        <v>0.02</v>
      </c>
      <c r="AH7" s="2" t="s">
        <v>503</v>
      </c>
      <c r="AK7" s="2">
        <v>1.08</v>
      </c>
    </row>
    <row r="8" spans="2:37" ht="18" thickTop="1" thickBot="1">
      <c r="B8" s="70" t="s">
        <v>446</v>
      </c>
      <c r="C8" s="74"/>
      <c r="D8" s="72">
        <f>(D7-C7)/C7</f>
        <v>0.21641607098841509</v>
      </c>
      <c r="E8" s="72">
        <f t="shared" ref="E8:L8" si="13">(E7-D7)/D7</f>
        <v>-9.1793313069908816E-2</v>
      </c>
      <c r="F8" s="72">
        <f t="shared" si="13"/>
        <v>0.19567157518964748</v>
      </c>
      <c r="G8" s="72">
        <f t="shared" si="13"/>
        <v>9.8152640417988435E-2</v>
      </c>
      <c r="H8" s="72">
        <f t="shared" si="13"/>
        <v>-0.12268479184367034</v>
      </c>
      <c r="I8" s="72">
        <f t="shared" si="13"/>
        <v>4.7453031183420494E-2</v>
      </c>
      <c r="J8" s="72">
        <f t="shared" si="13"/>
        <v>-0.49186390532544377</v>
      </c>
      <c r="K8" s="72">
        <f t="shared" si="13"/>
        <v>1.5185589519650655</v>
      </c>
      <c r="L8" s="72">
        <f t="shared" si="13"/>
        <v>-6.9498627365987581E-2</v>
      </c>
      <c r="M8" s="103">
        <f>(L7/C7)^(1/10)-1</f>
        <v>4.7292723167285278E-2</v>
      </c>
      <c r="N8" s="104">
        <f>(L7/G7)^(1/6)-1</f>
        <v>1.5133671519258263E-2</v>
      </c>
      <c r="P8" s="149"/>
      <c r="Q8" s="149"/>
      <c r="R8" s="152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67"/>
      <c r="AH8" s="67" t="s">
        <v>504</v>
      </c>
      <c r="AI8" s="67"/>
      <c r="AJ8" s="67"/>
      <c r="AK8" s="120">
        <f>AK3+AK7* AK4</f>
        <v>6.8780000000000008E-2</v>
      </c>
    </row>
    <row r="9" spans="2:37" ht="17" thickTop="1">
      <c r="B9" s="2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P9" s="127" t="s">
        <v>55</v>
      </c>
      <c r="R9" s="154">
        <f>-G61</f>
        <v>-1012</v>
      </c>
      <c r="S9" s="154">
        <f t="shared" ref="S9:W9" si="14">-H61</f>
        <v>-1043</v>
      </c>
      <c r="T9" s="154">
        <f t="shared" si="14"/>
        <v>-1095</v>
      </c>
      <c r="U9" s="154">
        <f t="shared" si="14"/>
        <v>-1321</v>
      </c>
      <c r="V9" s="154">
        <f t="shared" si="14"/>
        <v>-1293</v>
      </c>
      <c r="W9" s="154">
        <f t="shared" si="14"/>
        <v>-1188</v>
      </c>
      <c r="X9" s="244">
        <f>-X3*X10</f>
        <v>-1752.4416000000001</v>
      </c>
      <c r="Y9" s="244">
        <f t="shared" ref="Y9:AF9" si="15">-Y3*Y10</f>
        <v>-1822.539264</v>
      </c>
      <c r="Z9" s="244">
        <f t="shared" si="15"/>
        <v>-1895.44083456</v>
      </c>
      <c r="AA9" s="244">
        <f t="shared" si="15"/>
        <v>-1971.2584679424001</v>
      </c>
      <c r="AB9" s="244">
        <f t="shared" si="15"/>
        <v>-2050.108806660096</v>
      </c>
      <c r="AC9" s="244">
        <f t="shared" si="15"/>
        <v>-2132.1131589265001</v>
      </c>
      <c r="AD9" s="244">
        <f t="shared" si="15"/>
        <v>-2217.3976852835603</v>
      </c>
      <c r="AE9" s="244">
        <f t="shared" si="15"/>
        <v>-2261.7456389892313</v>
      </c>
      <c r="AF9" s="244">
        <f t="shared" si="15"/>
        <v>-2306.9805517690161</v>
      </c>
      <c r="AH9" s="2" t="s">
        <v>505</v>
      </c>
      <c r="AK9" s="169">
        <v>85000</v>
      </c>
    </row>
    <row r="10" spans="2:37" ht="17" thickBot="1">
      <c r="B10" s="75" t="s">
        <v>468</v>
      </c>
      <c r="C10" s="76">
        <f>C7/1710</f>
        <v>2.3725146198830411</v>
      </c>
      <c r="D10" s="76">
        <f t="shared" ref="D10:K10" si="16">D7/1710</f>
        <v>2.8859649122807016</v>
      </c>
      <c r="E10" s="76">
        <f t="shared" si="16"/>
        <v>2.6210526315789475</v>
      </c>
      <c r="F10" s="76">
        <f t="shared" si="16"/>
        <v>3.1339181286549707</v>
      </c>
      <c r="G10" s="76">
        <f t="shared" si="16"/>
        <v>3.4415204678362574</v>
      </c>
      <c r="H10" s="76">
        <f t="shared" si="16"/>
        <v>3.0192982456140349</v>
      </c>
      <c r="I10" s="76">
        <f t="shared" si="16"/>
        <v>3.1625730994152046</v>
      </c>
      <c r="J10" s="76">
        <f t="shared" si="16"/>
        <v>1.6070175438596492</v>
      </c>
      <c r="K10" s="76">
        <f t="shared" si="16"/>
        <v>4.0473684210526315</v>
      </c>
      <c r="L10" s="76">
        <f>L7/1710</f>
        <v>3.7660818713450293</v>
      </c>
      <c r="M10" s="16"/>
      <c r="N10" s="16"/>
      <c r="P10" s="127"/>
      <c r="Q10" s="128"/>
      <c r="R10" s="151">
        <f t="shared" ref="R10:W10" si="17">R9/R3</f>
        <v>-2.9601029601029602E-2</v>
      </c>
      <c r="S10" s="151">
        <f t="shared" si="17"/>
        <v>-3.1781339508806142E-2</v>
      </c>
      <c r="T10" s="151">
        <f t="shared" si="17"/>
        <v>-3.4091970484759801E-2</v>
      </c>
      <c r="U10" s="151">
        <f t="shared" si="17"/>
        <v>-3.582081457779706E-2</v>
      </c>
      <c r="V10" s="151">
        <f t="shared" si="17"/>
        <v>-3.2054142495909564E-2</v>
      </c>
      <c r="W10" s="151">
        <f t="shared" si="17"/>
        <v>-2.8201110952855719E-2</v>
      </c>
      <c r="X10" s="164">
        <v>0.04</v>
      </c>
      <c r="Y10" s="151">
        <f>X10</f>
        <v>0.04</v>
      </c>
      <c r="Z10" s="151">
        <f t="shared" ref="Z10:AF10" si="18">Y10</f>
        <v>0.04</v>
      </c>
      <c r="AA10" s="151">
        <f t="shared" si="18"/>
        <v>0.04</v>
      </c>
      <c r="AB10" s="151">
        <f t="shared" si="18"/>
        <v>0.04</v>
      </c>
      <c r="AC10" s="151">
        <f t="shared" si="18"/>
        <v>0.04</v>
      </c>
      <c r="AD10" s="151">
        <f t="shared" si="18"/>
        <v>0.04</v>
      </c>
      <c r="AE10" s="151">
        <f t="shared" si="18"/>
        <v>0.04</v>
      </c>
      <c r="AF10" s="151">
        <f t="shared" si="18"/>
        <v>0.04</v>
      </c>
      <c r="AK10" s="2"/>
    </row>
    <row r="11" spans="2:37" ht="18" thickTop="1" thickBot="1">
      <c r="B11" s="2" t="s">
        <v>94</v>
      </c>
      <c r="C11" s="1">
        <f>C46+C47-C35</f>
        <v>67685</v>
      </c>
      <c r="D11" s="1">
        <f t="shared" ref="D11:L11" si="19">D46+D47-D35</f>
        <v>60393</v>
      </c>
      <c r="E11" s="1">
        <f t="shared" si="19"/>
        <v>60267</v>
      </c>
      <c r="F11" s="1">
        <f t="shared" si="19"/>
        <v>58139</v>
      </c>
      <c r="G11" s="1">
        <f t="shared" si="19"/>
        <v>58807</v>
      </c>
      <c r="H11" s="1">
        <f t="shared" si="19"/>
        <v>49938</v>
      </c>
      <c r="I11" s="1">
        <f t="shared" si="19"/>
        <v>49293</v>
      </c>
      <c r="J11" s="1">
        <f t="shared" si="19"/>
        <v>53934</v>
      </c>
      <c r="K11" s="1">
        <f t="shared" si="19"/>
        <v>58270</v>
      </c>
      <c r="L11" s="1">
        <f t="shared" si="19"/>
        <v>60875</v>
      </c>
      <c r="M11" s="51"/>
      <c r="P11" s="127"/>
      <c r="Q11" s="128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H11" s="121" t="s">
        <v>506</v>
      </c>
      <c r="AI11" s="122"/>
      <c r="AJ11" s="122"/>
      <c r="AK11" s="166"/>
    </row>
    <row r="12" spans="2:37" ht="16">
      <c r="B12" s="70" t="s">
        <v>446</v>
      </c>
      <c r="D12" s="72">
        <f>(D11-C11)/C11</f>
        <v>-0.10773435768634114</v>
      </c>
      <c r="E12" s="72">
        <f t="shared" ref="E12:L12" si="20">(E11-D11)/D11</f>
        <v>-2.0863345089662711E-3</v>
      </c>
      <c r="F12" s="72">
        <f t="shared" si="20"/>
        <v>-3.5309539217150347E-2</v>
      </c>
      <c r="G12" s="72">
        <f t="shared" si="20"/>
        <v>1.1489705705292489E-2</v>
      </c>
      <c r="H12" s="72">
        <f t="shared" si="20"/>
        <v>-0.15081537912153314</v>
      </c>
      <c r="I12" s="72">
        <f t="shared" si="20"/>
        <v>-1.2916015859665985E-2</v>
      </c>
      <c r="J12" s="72">
        <f t="shared" si="20"/>
        <v>9.4151299373136141E-2</v>
      </c>
      <c r="K12" s="72">
        <f t="shared" si="20"/>
        <v>8.0394556309563547E-2</v>
      </c>
      <c r="L12" s="72">
        <f t="shared" si="20"/>
        <v>4.4705680453063328E-2</v>
      </c>
      <c r="N12" s="68"/>
      <c r="P12" s="145" t="s">
        <v>478</v>
      </c>
      <c r="Q12" s="145"/>
      <c r="R12" s="155">
        <f t="shared" ref="R12:AF12" si="21">R6+R9</f>
        <v>8991</v>
      </c>
      <c r="S12" s="155">
        <f t="shared" si="21"/>
        <v>7938</v>
      </c>
      <c r="T12" s="155">
        <f t="shared" si="21"/>
        <v>8096</v>
      </c>
      <c r="U12" s="155">
        <f t="shared" si="21"/>
        <v>7425</v>
      </c>
      <c r="V12" s="155">
        <f t="shared" si="21"/>
        <v>8122</v>
      </c>
      <c r="W12" s="155">
        <f t="shared" si="21"/>
        <v>8110</v>
      </c>
      <c r="X12" s="155">
        <f t="shared" si="21"/>
        <v>7917.4784</v>
      </c>
      <c r="Y12" s="155">
        <f t="shared" si="21"/>
        <v>8234.1775359999992</v>
      </c>
      <c r="Z12" s="155">
        <f t="shared" si="21"/>
        <v>8563.5446374399999</v>
      </c>
      <c r="AA12" s="155">
        <f t="shared" si="21"/>
        <v>8906.0864229376002</v>
      </c>
      <c r="AB12" s="155">
        <f t="shared" si="21"/>
        <v>9262.3298798551041</v>
      </c>
      <c r="AC12" s="155">
        <f t="shared" si="21"/>
        <v>9632.8230750493094</v>
      </c>
      <c r="AD12" s="155">
        <f t="shared" si="21"/>
        <v>10018.135998051283</v>
      </c>
      <c r="AE12" s="155">
        <f t="shared" si="21"/>
        <v>10218.49871801231</v>
      </c>
      <c r="AF12" s="155">
        <f t="shared" si="21"/>
        <v>10422.868692372555</v>
      </c>
      <c r="AH12" s="2" t="s">
        <v>507</v>
      </c>
      <c r="AK12" s="167">
        <v>4.4999999999999998E-2</v>
      </c>
    </row>
    <row r="13" spans="2:37" ht="16">
      <c r="P13" s="124" t="s">
        <v>479</v>
      </c>
      <c r="Q13" s="124"/>
      <c r="R13" s="154">
        <f>G73</f>
        <v>1878</v>
      </c>
      <c r="S13" s="154">
        <f t="shared" ref="S13:W13" si="22">H73</f>
        <v>-7928</v>
      </c>
      <c r="T13" s="154">
        <f t="shared" si="22"/>
        <v>-136</v>
      </c>
      <c r="U13" s="154">
        <f t="shared" si="22"/>
        <v>6382</v>
      </c>
      <c r="V13" s="154">
        <f t="shared" si="22"/>
        <v>2481</v>
      </c>
      <c r="W13" s="154">
        <f t="shared" si="22"/>
        <v>2172</v>
      </c>
      <c r="X13" s="154">
        <v>0</v>
      </c>
      <c r="Y13" s="154">
        <v>0</v>
      </c>
      <c r="Z13" s="154">
        <v>0</v>
      </c>
      <c r="AA13" s="154">
        <v>0</v>
      </c>
      <c r="AB13" s="154">
        <v>0</v>
      </c>
      <c r="AC13" s="154">
        <v>0</v>
      </c>
      <c r="AD13" s="154">
        <v>0</v>
      </c>
      <c r="AE13" s="154">
        <v>0</v>
      </c>
      <c r="AF13" s="154">
        <v>0</v>
      </c>
      <c r="AH13" s="2" t="s">
        <v>508</v>
      </c>
      <c r="AK13" s="167">
        <v>0.21</v>
      </c>
    </row>
    <row r="14" spans="2:37" ht="16">
      <c r="B14" s="2" t="s">
        <v>449</v>
      </c>
      <c r="C14" s="1">
        <f>C66</f>
        <v>-878</v>
      </c>
      <c r="D14" s="1">
        <f t="shared" ref="D14:L14" si="23">D66</f>
        <v>-1189</v>
      </c>
      <c r="E14" s="1">
        <f t="shared" si="23"/>
        <v>-1053</v>
      </c>
      <c r="F14" s="1">
        <f t="shared" si="23"/>
        <v>-1006</v>
      </c>
      <c r="G14" s="1">
        <f t="shared" si="23"/>
        <v>-1195</v>
      </c>
      <c r="H14" s="1">
        <f t="shared" si="23"/>
        <v>-1341</v>
      </c>
      <c r="I14" s="1">
        <f t="shared" si="23"/>
        <v>-1375</v>
      </c>
      <c r="J14" s="1">
        <f t="shared" si="23"/>
        <v>-1062</v>
      </c>
      <c r="K14" s="1">
        <f t="shared" si="23"/>
        <v>-1310</v>
      </c>
      <c r="L14" s="1">
        <f t="shared" si="23"/>
        <v>-1645</v>
      </c>
      <c r="P14" s="124"/>
      <c r="Q14" s="129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H14" s="2" t="s">
        <v>509</v>
      </c>
      <c r="AK14" s="168">
        <f>(1-AK13)*AK12</f>
        <v>3.5549999999999998E-2</v>
      </c>
    </row>
    <row r="15" spans="2:37" ht="17" thickBot="1">
      <c r="B15" s="2" t="s">
        <v>450</v>
      </c>
      <c r="C15" s="1">
        <f>C64</f>
        <v>126</v>
      </c>
      <c r="D15" s="1">
        <f t="shared" ref="D15:L15" si="24">D64</f>
        <v>1720</v>
      </c>
      <c r="E15" s="1">
        <f t="shared" si="24"/>
        <v>-355</v>
      </c>
      <c r="F15" s="1">
        <f t="shared" si="24"/>
        <v>-9</v>
      </c>
      <c r="G15" s="1">
        <f t="shared" si="24"/>
        <v>2700</v>
      </c>
      <c r="H15" s="1">
        <f t="shared" si="24"/>
        <v>1771</v>
      </c>
      <c r="I15" s="1">
        <f t="shared" si="24"/>
        <v>640</v>
      </c>
      <c r="J15" s="1">
        <f t="shared" si="24"/>
        <v>5647</v>
      </c>
      <c r="K15" s="1">
        <f t="shared" si="24"/>
        <v>-3374</v>
      </c>
      <c r="L15" s="1">
        <f t="shared" si="24"/>
        <v>1403</v>
      </c>
      <c r="P15" s="130" t="s">
        <v>480</v>
      </c>
      <c r="Q15" s="130"/>
      <c r="R15" s="146">
        <f>G26</f>
        <v>8991</v>
      </c>
      <c r="S15" s="146">
        <f t="shared" ref="S15:W15" si="25">H26</f>
        <v>7938</v>
      </c>
      <c r="T15" s="146">
        <f t="shared" si="25"/>
        <v>8096</v>
      </c>
      <c r="U15" s="146">
        <f t="shared" si="25"/>
        <v>7425</v>
      </c>
      <c r="V15" s="146">
        <f t="shared" si="25"/>
        <v>8122</v>
      </c>
      <c r="W15" s="146">
        <f t="shared" si="25"/>
        <v>8110</v>
      </c>
      <c r="X15" s="155">
        <f>X12+X13</f>
        <v>7917.4784</v>
      </c>
      <c r="Y15" s="155">
        <f t="shared" ref="Y15:AF15" si="26">Y12+Y13</f>
        <v>8234.1775359999992</v>
      </c>
      <c r="Z15" s="155">
        <f t="shared" si="26"/>
        <v>8563.5446374399999</v>
      </c>
      <c r="AA15" s="155">
        <f t="shared" si="26"/>
        <v>8906.0864229376002</v>
      </c>
      <c r="AB15" s="155">
        <f t="shared" si="26"/>
        <v>9262.3298798551041</v>
      </c>
      <c r="AC15" s="155">
        <f t="shared" si="26"/>
        <v>9632.8230750493094</v>
      </c>
      <c r="AD15" s="155">
        <f t="shared" si="26"/>
        <v>10018.135998051283</v>
      </c>
      <c r="AE15" s="155">
        <f t="shared" si="26"/>
        <v>10218.49871801231</v>
      </c>
      <c r="AF15" s="155">
        <f t="shared" si="26"/>
        <v>10422.868692372555</v>
      </c>
      <c r="AH15" s="2" t="s">
        <v>510</v>
      </c>
      <c r="AK15" s="4">
        <f>W38</f>
        <v>54433</v>
      </c>
    </row>
    <row r="16" spans="2:37" ht="17" thickTop="1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12" t="s">
        <v>470</v>
      </c>
      <c r="N16" s="108" t="s">
        <v>471</v>
      </c>
      <c r="P16" s="245"/>
      <c r="Q16" s="245"/>
      <c r="R16" s="246"/>
      <c r="S16" s="246"/>
      <c r="T16" s="246"/>
      <c r="U16" s="246"/>
      <c r="V16" s="246"/>
      <c r="W16" s="246"/>
      <c r="X16" s="240"/>
      <c r="Y16" s="240"/>
      <c r="Z16" s="240"/>
      <c r="AA16" s="240"/>
      <c r="AB16" s="240"/>
      <c r="AC16" s="240"/>
      <c r="AD16" s="240"/>
      <c r="AE16" s="240"/>
      <c r="AF16" s="240"/>
      <c r="AK16" s="2"/>
    </row>
    <row r="17" spans="1:37" ht="17" thickBot="1">
      <c r="B17" s="75" t="s">
        <v>93</v>
      </c>
      <c r="C17" s="80">
        <f t="shared" ref="C17:L17" si="27">(C5+C14+C15)/C5</f>
        <v>0.97139814392210555</v>
      </c>
      <c r="D17" s="80">
        <f t="shared" si="27"/>
        <v>1.0178379467884977</v>
      </c>
      <c r="E17" s="80">
        <f t="shared" si="27"/>
        <v>0.954336122462217</v>
      </c>
      <c r="F17" s="80">
        <f t="shared" si="27"/>
        <v>0.9683386362218479</v>
      </c>
      <c r="G17" s="80">
        <f t="shared" si="27"/>
        <v>1.0453914826878996</v>
      </c>
      <c r="H17" s="80">
        <f t="shared" si="27"/>
        <v>1.0134910425752204</v>
      </c>
      <c r="I17" s="80">
        <f t="shared" si="27"/>
        <v>0.97643324355521355</v>
      </c>
      <c r="J17" s="80">
        <f t="shared" si="27"/>
        <v>1.1293772397641018</v>
      </c>
      <c r="K17" s="80">
        <f t="shared" si="27"/>
        <v>0.87763525692938682</v>
      </c>
      <c r="L17" s="80">
        <f t="shared" si="27"/>
        <v>0.99407617742093413</v>
      </c>
      <c r="M17" s="111">
        <f>AVERAGE(C17:L17)</f>
        <v>0.99483152923274232</v>
      </c>
      <c r="N17" s="110">
        <f>AVERAGE(G17:L17)</f>
        <v>1.0060674071554594</v>
      </c>
      <c r="P17" s="124" t="s">
        <v>481</v>
      </c>
      <c r="Q17" s="124"/>
      <c r="R17" s="154">
        <f>C27</f>
        <v>-1907</v>
      </c>
      <c r="S17" s="154">
        <f t="shared" ref="S17:W17" si="28">D27</f>
        <v>-2057</v>
      </c>
      <c r="T17" s="154">
        <f t="shared" si="28"/>
        <v>-1969</v>
      </c>
      <c r="U17" s="154">
        <f t="shared" si="28"/>
        <v>-2529</v>
      </c>
      <c r="V17" s="154">
        <f t="shared" si="28"/>
        <v>-3106</v>
      </c>
      <c r="W17" s="154">
        <f t="shared" si="28"/>
        <v>-2775</v>
      </c>
      <c r="X17" s="156">
        <f>-X15*$X$18</f>
        <v>-1662.670464</v>
      </c>
      <c r="Y17" s="156">
        <f>-Y15*$X$18</f>
        <v>-1729.1772825599999</v>
      </c>
      <c r="Z17" s="156">
        <f>-Z15*$X$18</f>
        <v>-1798.3443738623998</v>
      </c>
      <c r="AA17" s="156">
        <f>-AA15*$X$18</f>
        <v>-1870.278148816896</v>
      </c>
      <c r="AB17" s="156">
        <f>-AB15*$X$18</f>
        <v>-1945.0892747695718</v>
      </c>
      <c r="AC17" s="156">
        <f t="shared" ref="AC17:AF17" si="29">-AC15*$X$18</f>
        <v>-2022.8928457603549</v>
      </c>
      <c r="AD17" s="156">
        <f t="shared" si="29"/>
        <v>-2103.8085595907692</v>
      </c>
      <c r="AE17" s="156">
        <f t="shared" si="29"/>
        <v>-2145.8847307825849</v>
      </c>
      <c r="AF17" s="156">
        <f t="shared" si="29"/>
        <v>-2188.8024253982362</v>
      </c>
      <c r="AH17" s="121" t="s">
        <v>511</v>
      </c>
      <c r="AI17" s="122"/>
      <c r="AJ17" s="122"/>
      <c r="AK17" s="166"/>
    </row>
    <row r="18" spans="1:37" ht="17" thickTop="1">
      <c r="P18" s="124"/>
      <c r="Q18" s="129"/>
      <c r="R18" s="153">
        <f t="shared" ref="R18:W18" si="30">-R17/R15</f>
        <v>0.21210098987876766</v>
      </c>
      <c r="S18" s="153">
        <f t="shared" si="30"/>
        <v>0.25913328294280674</v>
      </c>
      <c r="T18" s="153">
        <f t="shared" si="30"/>
        <v>0.24320652173913043</v>
      </c>
      <c r="U18" s="153">
        <f t="shared" si="30"/>
        <v>0.34060606060606058</v>
      </c>
      <c r="V18" s="153">
        <f t="shared" si="30"/>
        <v>0.38241812361487321</v>
      </c>
      <c r="W18" s="153">
        <f t="shared" si="30"/>
        <v>0.34217016029593095</v>
      </c>
      <c r="X18" s="163">
        <v>0.21</v>
      </c>
      <c r="Y18" s="153">
        <f>X18</f>
        <v>0.21</v>
      </c>
      <c r="Z18" s="153">
        <f t="shared" ref="Z18:AF18" si="31">Y18</f>
        <v>0.21</v>
      </c>
      <c r="AA18" s="153">
        <f t="shared" si="31"/>
        <v>0.21</v>
      </c>
      <c r="AB18" s="153">
        <f t="shared" si="31"/>
        <v>0.21</v>
      </c>
      <c r="AC18" s="153">
        <f t="shared" si="31"/>
        <v>0.21</v>
      </c>
      <c r="AD18" s="153">
        <f t="shared" si="31"/>
        <v>0.21</v>
      </c>
      <c r="AE18" s="153">
        <f t="shared" si="31"/>
        <v>0.21</v>
      </c>
      <c r="AF18" s="153">
        <f t="shared" si="31"/>
        <v>0.21</v>
      </c>
      <c r="AH18" s="2" t="s">
        <v>512</v>
      </c>
      <c r="AK18" s="2"/>
    </row>
    <row r="19" spans="1:37" ht="16">
      <c r="P19" s="124"/>
      <c r="Q19" s="129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  <c r="AC19" s="153"/>
      <c r="AD19" s="153"/>
      <c r="AE19" s="153"/>
      <c r="AF19" s="153"/>
      <c r="AH19" s="2" t="s">
        <v>513</v>
      </c>
      <c r="AK19" s="165">
        <f>AK15/AK9</f>
        <v>0.6403882352941177</v>
      </c>
    </row>
    <row r="20" spans="1:37" ht="16">
      <c r="A20" s="2" t="s">
        <v>1</v>
      </c>
      <c r="B20" s="2"/>
      <c r="C20" s="2"/>
      <c r="D20" s="2"/>
      <c r="E20" s="2"/>
      <c r="F20" s="2"/>
      <c r="G20" s="2"/>
      <c r="H20" s="2"/>
      <c r="I20" s="2"/>
      <c r="J20" s="2"/>
      <c r="K20" s="2"/>
      <c r="P20" s="130" t="s">
        <v>448</v>
      </c>
      <c r="Q20" s="131"/>
      <c r="R20" s="146">
        <f>G30</f>
        <v>5885</v>
      </c>
      <c r="S20" s="146">
        <f t="shared" ref="S20:W20" si="32">H30</f>
        <v>5163</v>
      </c>
      <c r="T20" s="146">
        <f t="shared" si="32"/>
        <v>5408</v>
      </c>
      <c r="U20" s="146">
        <f t="shared" si="32"/>
        <v>2748</v>
      </c>
      <c r="V20" s="146">
        <f t="shared" si="32"/>
        <v>6921</v>
      </c>
      <c r="W20" s="146">
        <f t="shared" si="32"/>
        <v>6440</v>
      </c>
      <c r="X20" s="155">
        <f>X15+X17</f>
        <v>6254.8079360000002</v>
      </c>
      <c r="Y20" s="155">
        <f>Y15+Y17</f>
        <v>6505.0002534399991</v>
      </c>
      <c r="Z20" s="155">
        <f>Z15+Z17</f>
        <v>6765.2002635775998</v>
      </c>
      <c r="AA20" s="155">
        <f>AA15+AA17</f>
        <v>7035.8082741207045</v>
      </c>
      <c r="AB20" s="155">
        <f>AB15+AB17</f>
        <v>7317.2406050855325</v>
      </c>
      <c r="AC20" s="155">
        <f t="shared" ref="AC20:AF20" si="33">AC15+AC17</f>
        <v>7609.9302292889543</v>
      </c>
      <c r="AD20" s="155">
        <f t="shared" si="33"/>
        <v>7914.3274384605138</v>
      </c>
      <c r="AE20" s="155">
        <f t="shared" si="33"/>
        <v>8072.6139872297244</v>
      </c>
      <c r="AF20" s="155">
        <f t="shared" si="33"/>
        <v>8234.0662669743178</v>
      </c>
      <c r="AH20" s="119" t="s">
        <v>514</v>
      </c>
      <c r="AI20" s="118"/>
      <c r="AJ20" s="118"/>
      <c r="AK20" s="123">
        <f>(1-AK19)*AK8+AK19*AK14</f>
        <v>4.7499898941176469E-2</v>
      </c>
    </row>
    <row r="21" spans="1:37" ht="16">
      <c r="A21" s="2"/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H21" s="2" t="s">
        <v>8</v>
      </c>
      <c r="I21" s="2" t="s">
        <v>9</v>
      </c>
      <c r="J21" s="2" t="s">
        <v>10</v>
      </c>
      <c r="K21" s="2" t="s">
        <v>11</v>
      </c>
      <c r="L21" s="2" t="s">
        <v>12</v>
      </c>
      <c r="P21" s="149" t="s">
        <v>477</v>
      </c>
      <c r="Q21" s="149"/>
      <c r="R21" s="152"/>
      <c r="S21" s="153">
        <f>(S20-R20)/R20</f>
        <v>-0.12268479184367034</v>
      </c>
      <c r="T21" s="153">
        <f t="shared" ref="T21:AF21" si="34">(T20-S20)/S20</f>
        <v>4.7453031183420494E-2</v>
      </c>
      <c r="U21" s="153">
        <f t="shared" si="34"/>
        <v>-0.49186390532544377</v>
      </c>
      <c r="V21" s="153">
        <f t="shared" si="34"/>
        <v>1.5185589519650655</v>
      </c>
      <c r="W21" s="153">
        <f t="shared" si="34"/>
        <v>-6.9498627365987581E-2</v>
      </c>
      <c r="X21" s="153">
        <f t="shared" si="34"/>
        <v>-2.875653167701861E-2</v>
      </c>
      <c r="Y21" s="153">
        <f t="shared" si="34"/>
        <v>3.9999999999999834E-2</v>
      </c>
      <c r="Z21" s="153">
        <f t="shared" si="34"/>
        <v>4.0000000000000105E-2</v>
      </c>
      <c r="AA21" s="153">
        <f t="shared" si="34"/>
        <v>4.0000000000000105E-2</v>
      </c>
      <c r="AB21" s="153">
        <f t="shared" si="34"/>
        <v>3.9999999999999973E-2</v>
      </c>
      <c r="AC21" s="153">
        <f t="shared" si="34"/>
        <v>4.0000000000000063E-2</v>
      </c>
      <c r="AD21" s="153">
        <f t="shared" si="34"/>
        <v>4.0000000000000181E-2</v>
      </c>
      <c r="AE21" s="153">
        <f t="shared" si="34"/>
        <v>2.0000000000000046E-2</v>
      </c>
      <c r="AF21" s="153">
        <f t="shared" si="34"/>
        <v>1.9999999999999865E-2</v>
      </c>
    </row>
    <row r="22" spans="1:37" ht="16">
      <c r="A22" s="2"/>
      <c r="B22" s="2" t="s">
        <v>72</v>
      </c>
      <c r="C22" s="4">
        <v>27582</v>
      </c>
      <c r="D22" s="4">
        <v>29962</v>
      </c>
      <c r="E22" s="4">
        <v>31555</v>
      </c>
      <c r="F22" s="4">
        <v>32870</v>
      </c>
      <c r="G22" s="4">
        <v>34188</v>
      </c>
      <c r="H22" s="4">
        <v>32818</v>
      </c>
      <c r="I22" s="4">
        <v>32119</v>
      </c>
      <c r="J22" s="4">
        <v>36878</v>
      </c>
      <c r="K22" s="4">
        <v>40338</v>
      </c>
      <c r="L22" s="4">
        <v>42126</v>
      </c>
      <c r="P22" s="124"/>
      <c r="Q22" s="129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</row>
    <row r="23" spans="1:37" ht="17" thickBot="1">
      <c r="A23" s="2"/>
      <c r="B23" s="2" t="s">
        <v>73</v>
      </c>
      <c r="C23" s="4">
        <v>-2207</v>
      </c>
      <c r="D23" s="4">
        <v>-1112</v>
      </c>
      <c r="E23" s="4">
        <v>-1712</v>
      </c>
      <c r="F23" s="4">
        <v>-1832</v>
      </c>
      <c r="G23" s="4">
        <v>-2044</v>
      </c>
      <c r="H23" s="4">
        <v>-1988</v>
      </c>
      <c r="I23" s="4">
        <v>-2026</v>
      </c>
      <c r="J23" s="4">
        <v>-2760</v>
      </c>
      <c r="K23" s="4">
        <v>-3352</v>
      </c>
      <c r="L23" s="4">
        <v>-2462</v>
      </c>
      <c r="P23" s="132" t="s">
        <v>483</v>
      </c>
      <c r="Q23" s="133"/>
      <c r="R23" s="126" t="s">
        <v>7</v>
      </c>
      <c r="S23" s="126" t="s">
        <v>8</v>
      </c>
      <c r="T23" s="126" t="s">
        <v>9</v>
      </c>
      <c r="U23" s="126" t="s">
        <v>10</v>
      </c>
      <c r="V23" s="126" t="s">
        <v>11</v>
      </c>
      <c r="W23" s="126" t="s">
        <v>12</v>
      </c>
      <c r="X23" s="126" t="s">
        <v>474</v>
      </c>
      <c r="Y23" s="126" t="s">
        <v>475</v>
      </c>
      <c r="Z23" s="126" t="s">
        <v>476</v>
      </c>
      <c r="AA23" s="126" t="s">
        <v>490</v>
      </c>
      <c r="AB23" s="126" t="s">
        <v>491</v>
      </c>
      <c r="AC23" s="126" t="s">
        <v>491</v>
      </c>
      <c r="AD23" s="126" t="s">
        <v>491</v>
      </c>
      <c r="AE23" s="126" t="s">
        <v>491</v>
      </c>
      <c r="AF23" s="126" t="s">
        <v>491</v>
      </c>
    </row>
    <row r="24" spans="1:37" ht="17" thickTop="1">
      <c r="A24" s="2"/>
      <c r="B24" s="5" t="s">
        <v>74</v>
      </c>
      <c r="C24" s="6">
        <v>25375</v>
      </c>
      <c r="D24" s="6">
        <v>28850</v>
      </c>
      <c r="E24" s="6">
        <v>29843</v>
      </c>
      <c r="F24" s="6">
        <v>31038</v>
      </c>
      <c r="G24" s="6">
        <v>32144</v>
      </c>
      <c r="H24" s="6">
        <v>30830</v>
      </c>
      <c r="I24" s="6">
        <v>30093</v>
      </c>
      <c r="J24" s="6">
        <v>34118</v>
      </c>
      <c r="K24" s="6">
        <v>36986</v>
      </c>
      <c r="L24" s="6">
        <v>39664</v>
      </c>
      <c r="P24" s="132"/>
      <c r="Q24" s="133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</row>
    <row r="25" spans="1:37" ht="16">
      <c r="A25" s="2"/>
      <c r="B25" s="2" t="s">
        <v>75</v>
      </c>
      <c r="C25" s="4">
        <v>-19411</v>
      </c>
      <c r="D25" s="4">
        <v>-21894</v>
      </c>
      <c r="E25" s="4">
        <v>-23392</v>
      </c>
      <c r="F25" s="4">
        <v>-23150</v>
      </c>
      <c r="G25" s="4">
        <v>-23153</v>
      </c>
      <c r="H25" s="4">
        <v>-22892</v>
      </c>
      <c r="I25" s="4">
        <v>-21997</v>
      </c>
      <c r="J25" s="4">
        <v>-26693</v>
      </c>
      <c r="K25" s="4">
        <v>-28864</v>
      </c>
      <c r="L25" s="4">
        <v>-31554</v>
      </c>
      <c r="P25" s="145" t="s">
        <v>267</v>
      </c>
      <c r="Q25" s="157"/>
      <c r="R25" s="155">
        <f t="shared" ref="R25:AF25" si="35">R6</f>
        <v>10003</v>
      </c>
      <c r="S25" s="155">
        <f t="shared" si="35"/>
        <v>8981</v>
      </c>
      <c r="T25" s="155">
        <f t="shared" si="35"/>
        <v>9191</v>
      </c>
      <c r="U25" s="155">
        <f t="shared" si="35"/>
        <v>8746</v>
      </c>
      <c r="V25" s="155">
        <f t="shared" si="35"/>
        <v>9415</v>
      </c>
      <c r="W25" s="155">
        <f t="shared" si="35"/>
        <v>9298</v>
      </c>
      <c r="X25" s="155">
        <f t="shared" si="35"/>
        <v>9669.92</v>
      </c>
      <c r="Y25" s="155">
        <f t="shared" si="35"/>
        <v>10056.7168</v>
      </c>
      <c r="Z25" s="155">
        <f t="shared" si="35"/>
        <v>10458.985472</v>
      </c>
      <c r="AA25" s="155">
        <f t="shared" si="35"/>
        <v>10877.34489088</v>
      </c>
      <c r="AB25" s="155">
        <f t="shared" si="35"/>
        <v>11312.438686515201</v>
      </c>
      <c r="AC25" s="155">
        <f t="shared" si="35"/>
        <v>11764.93623397581</v>
      </c>
      <c r="AD25" s="155">
        <f t="shared" si="35"/>
        <v>12235.533683334843</v>
      </c>
      <c r="AE25" s="155">
        <f t="shared" si="35"/>
        <v>12480.24435700154</v>
      </c>
      <c r="AF25" s="155">
        <f t="shared" si="35"/>
        <v>12729.849244141571</v>
      </c>
    </row>
    <row r="26" spans="1:37" ht="16">
      <c r="A26" s="2"/>
      <c r="B26" s="5" t="s">
        <v>20</v>
      </c>
      <c r="C26" s="6">
        <v>5964</v>
      </c>
      <c r="D26" s="6">
        <v>6956</v>
      </c>
      <c r="E26" s="6">
        <v>6451</v>
      </c>
      <c r="F26" s="6">
        <v>7888</v>
      </c>
      <c r="G26" s="6">
        <v>8991</v>
      </c>
      <c r="H26" s="6">
        <v>7938</v>
      </c>
      <c r="I26" s="6">
        <v>8096</v>
      </c>
      <c r="J26" s="6">
        <v>7425</v>
      </c>
      <c r="K26" s="6">
        <v>8122</v>
      </c>
      <c r="L26" s="6">
        <v>8110</v>
      </c>
      <c r="P26" s="124" t="s">
        <v>484</v>
      </c>
      <c r="Q26" s="129"/>
      <c r="R26" s="154">
        <f>G66</f>
        <v>-1195</v>
      </c>
      <c r="S26" s="154">
        <f t="shared" ref="S26:W26" si="36">H66</f>
        <v>-1341</v>
      </c>
      <c r="T26" s="154">
        <f t="shared" si="36"/>
        <v>-1375</v>
      </c>
      <c r="U26" s="154">
        <f t="shared" si="36"/>
        <v>-1062</v>
      </c>
      <c r="V26" s="154">
        <f t="shared" si="36"/>
        <v>-1310</v>
      </c>
      <c r="W26" s="154">
        <f t="shared" si="36"/>
        <v>-1645</v>
      </c>
      <c r="X26" s="156">
        <f>X9</f>
        <v>-1752.4416000000001</v>
      </c>
      <c r="Y26" s="156">
        <f>Y9</f>
        <v>-1822.539264</v>
      </c>
      <c r="Z26" s="156">
        <f>Z9</f>
        <v>-1895.44083456</v>
      </c>
      <c r="AA26" s="156">
        <f>AA9</f>
        <v>-1971.2584679424001</v>
      </c>
      <c r="AB26" s="156">
        <f>AB9</f>
        <v>-2050.108806660096</v>
      </c>
      <c r="AC26" s="156">
        <f t="shared" ref="AC26:AF26" si="37">AC9</f>
        <v>-2132.1131589265001</v>
      </c>
      <c r="AD26" s="156">
        <f t="shared" si="37"/>
        <v>-2217.3976852835603</v>
      </c>
      <c r="AE26" s="156">
        <f t="shared" si="37"/>
        <v>-2261.7456389892313</v>
      </c>
      <c r="AF26" s="156">
        <f t="shared" si="37"/>
        <v>-2306.9805517690161</v>
      </c>
    </row>
    <row r="27" spans="1:37" ht="16">
      <c r="A27" s="2"/>
      <c r="B27" s="2" t="s">
        <v>21</v>
      </c>
      <c r="C27" s="4">
        <v>-1907</v>
      </c>
      <c r="D27" s="4">
        <v>-2057</v>
      </c>
      <c r="E27" s="4">
        <v>-1969</v>
      </c>
      <c r="F27" s="4">
        <v>-2529</v>
      </c>
      <c r="G27" s="4">
        <v>-3106</v>
      </c>
      <c r="H27" s="4">
        <v>-2775</v>
      </c>
      <c r="I27" s="4">
        <v>-2688</v>
      </c>
      <c r="J27" s="4">
        <v>-4677</v>
      </c>
      <c r="K27" s="4">
        <v>-1201</v>
      </c>
      <c r="L27" s="4">
        <v>-1670</v>
      </c>
      <c r="P27" s="124" t="s">
        <v>57</v>
      </c>
      <c r="Q27" s="129"/>
      <c r="R27" s="154">
        <f>G64</f>
        <v>2700</v>
      </c>
      <c r="S27" s="154">
        <f t="shared" ref="S27:W27" si="38">H64</f>
        <v>1771</v>
      </c>
      <c r="T27" s="154">
        <f t="shared" si="38"/>
        <v>640</v>
      </c>
      <c r="U27" s="154">
        <f t="shared" si="38"/>
        <v>5647</v>
      </c>
      <c r="V27" s="154">
        <f t="shared" si="38"/>
        <v>-3374</v>
      </c>
      <c r="W27" s="154">
        <f t="shared" si="38"/>
        <v>1403</v>
      </c>
      <c r="X27" s="244">
        <f>-(X3-W3)*X28</f>
        <v>-318.24632301113428</v>
      </c>
      <c r="Y27" s="244">
        <f>-(Y3-X3)*Y28</f>
        <v>-330.97617593157918</v>
      </c>
      <c r="Z27" s="244">
        <f>-(Z3-Y3)*Z28</f>
        <v>-344.21522296884251</v>
      </c>
      <c r="AA27" s="244">
        <f>-(AA3-Z3)*AA28</f>
        <v>-357.98383188759681</v>
      </c>
      <c r="AB27" s="244">
        <f>-(AB3-AA3)*AB28</f>
        <v>-372.30318516310086</v>
      </c>
      <c r="AC27" s="244">
        <f t="shared" ref="AC27:AF27" si="39">-(AC3-AB3)*AC28</f>
        <v>-387.19531256962506</v>
      </c>
      <c r="AD27" s="244">
        <f t="shared" si="39"/>
        <v>-402.68312507240898</v>
      </c>
      <c r="AE27" s="244">
        <f t="shared" si="39"/>
        <v>-209.39522503765301</v>
      </c>
      <c r="AF27" s="244">
        <f t="shared" si="39"/>
        <v>-213.58312953840596</v>
      </c>
    </row>
    <row r="28" spans="1:37" ht="16">
      <c r="A28" s="2"/>
      <c r="B28" s="2" t="s">
        <v>76</v>
      </c>
      <c r="C28" s="4">
        <v>4057</v>
      </c>
      <c r="D28" s="4">
        <v>4899</v>
      </c>
      <c r="E28" s="4">
        <v>4482</v>
      </c>
      <c r="F28" s="4">
        <v>5359</v>
      </c>
      <c r="G28" s="4">
        <v>5885</v>
      </c>
      <c r="H28" s="4">
        <v>5163</v>
      </c>
      <c r="I28" s="4">
        <v>5408</v>
      </c>
      <c r="J28" s="4">
        <v>2748</v>
      </c>
      <c r="K28" s="4">
        <v>6921</v>
      </c>
      <c r="L28" s="4">
        <v>6440</v>
      </c>
      <c r="P28" s="124"/>
      <c r="R28" s="199">
        <f t="shared" ref="R28:W28" si="40">-R27/(R3-Q3)</f>
        <v>-7.897507897507898E-2</v>
      </c>
      <c r="S28" s="199">
        <f t="shared" si="40"/>
        <v>1.2927007299270072</v>
      </c>
      <c r="T28" s="199">
        <f t="shared" si="40"/>
        <v>0.91559370529327611</v>
      </c>
      <c r="U28" s="199">
        <f t="shared" si="40"/>
        <v>-1.1865938222315613</v>
      </c>
      <c r="V28" s="199">
        <f t="shared" si="40"/>
        <v>0.97514450867052027</v>
      </c>
      <c r="W28" s="199">
        <f t="shared" si="40"/>
        <v>-0.78467561521252793</v>
      </c>
      <c r="X28" s="163">
        <f>AVERAGE(R28:W28)</f>
        <v>0.18886573791193925</v>
      </c>
      <c r="Y28" s="134">
        <f>X28</f>
        <v>0.18886573791193925</v>
      </c>
      <c r="Z28" s="134">
        <f t="shared" ref="Z28:AF28" si="41">Y28</f>
        <v>0.18886573791193925</v>
      </c>
      <c r="AA28" s="134">
        <f t="shared" si="41"/>
        <v>0.18886573791193925</v>
      </c>
      <c r="AB28" s="134">
        <f t="shared" si="41"/>
        <v>0.18886573791193925</v>
      </c>
      <c r="AC28" s="134">
        <f t="shared" si="41"/>
        <v>0.18886573791193925</v>
      </c>
      <c r="AD28" s="134">
        <f t="shared" si="41"/>
        <v>0.18886573791193925</v>
      </c>
      <c r="AE28" s="134">
        <f t="shared" si="41"/>
        <v>0.18886573791193925</v>
      </c>
      <c r="AF28" s="134">
        <f t="shared" si="41"/>
        <v>0.18886573791193925</v>
      </c>
    </row>
    <row r="29" spans="1:37" ht="16">
      <c r="A29" s="2"/>
      <c r="B29" s="2" t="s">
        <v>77</v>
      </c>
      <c r="C29" s="2">
        <v>0</v>
      </c>
      <c r="D29" s="2">
        <v>36</v>
      </c>
      <c r="E29" s="2"/>
      <c r="F29" s="2"/>
      <c r="G29" s="2"/>
      <c r="H29" s="2"/>
      <c r="I29" s="2"/>
      <c r="J29" s="2"/>
      <c r="K29" s="2"/>
      <c r="L29" s="2"/>
      <c r="P29" s="135" t="s">
        <v>481</v>
      </c>
      <c r="Q29" s="136"/>
      <c r="R29" s="158">
        <f>G27</f>
        <v>-3106</v>
      </c>
      <c r="S29" s="158">
        <f t="shared" ref="S29:W29" si="42">H27</f>
        <v>-2775</v>
      </c>
      <c r="T29" s="158">
        <f t="shared" si="42"/>
        <v>-2688</v>
      </c>
      <c r="U29" s="158">
        <f t="shared" si="42"/>
        <v>-4677</v>
      </c>
      <c r="V29" s="158">
        <f t="shared" si="42"/>
        <v>-1201</v>
      </c>
      <c r="W29" s="158">
        <f t="shared" si="42"/>
        <v>-1670</v>
      </c>
      <c r="X29" s="158">
        <f t="shared" ref="X29:AF29" si="43">X17</f>
        <v>-1662.670464</v>
      </c>
      <c r="Y29" s="158">
        <f t="shared" si="43"/>
        <v>-1729.1772825599999</v>
      </c>
      <c r="Z29" s="158">
        <f t="shared" si="43"/>
        <v>-1798.3443738623998</v>
      </c>
      <c r="AA29" s="158">
        <f t="shared" si="43"/>
        <v>-1870.278148816896</v>
      </c>
      <c r="AB29" s="158">
        <f t="shared" si="43"/>
        <v>-1945.0892747695718</v>
      </c>
      <c r="AC29" s="158">
        <f t="shared" si="43"/>
        <v>-2022.8928457603549</v>
      </c>
      <c r="AD29" s="158">
        <f t="shared" si="43"/>
        <v>-2103.8085595907692</v>
      </c>
      <c r="AE29" s="158">
        <f t="shared" si="43"/>
        <v>-2145.8847307825849</v>
      </c>
      <c r="AF29" s="158">
        <f t="shared" si="43"/>
        <v>-2188.8024253982362</v>
      </c>
    </row>
    <row r="30" spans="1:37" ht="16">
      <c r="A30" s="2"/>
      <c r="B30" s="5" t="s">
        <v>24</v>
      </c>
      <c r="C30" s="6">
        <v>4057</v>
      </c>
      <c r="D30" s="6">
        <v>4935</v>
      </c>
      <c r="E30" s="6">
        <v>4482</v>
      </c>
      <c r="F30" s="6">
        <v>5359</v>
      </c>
      <c r="G30" s="6">
        <v>5885</v>
      </c>
      <c r="H30" s="6">
        <v>5163</v>
      </c>
      <c r="I30" s="6">
        <v>5408</v>
      </c>
      <c r="J30" s="6">
        <v>2748</v>
      </c>
      <c r="K30" s="6">
        <v>6921</v>
      </c>
      <c r="L30" s="6">
        <v>6440</v>
      </c>
      <c r="P30" s="135" t="s">
        <v>485</v>
      </c>
      <c r="Q30" s="163">
        <v>0.25</v>
      </c>
      <c r="R30" s="154">
        <f>G72</f>
        <v>-1041</v>
      </c>
      <c r="S30" s="154">
        <f t="shared" ref="S30:W30" si="44">H72</f>
        <v>-1172</v>
      </c>
      <c r="T30" s="154">
        <f t="shared" si="44"/>
        <v>-1207</v>
      </c>
      <c r="U30" s="154">
        <f t="shared" si="44"/>
        <v>-1251</v>
      </c>
      <c r="V30" s="154">
        <f t="shared" si="44"/>
        <v>-1324</v>
      </c>
      <c r="W30" s="154">
        <f t="shared" si="44"/>
        <v>-1422</v>
      </c>
      <c r="X30" s="156">
        <f>-$Q$30*X20</f>
        <v>-1563.701984</v>
      </c>
      <c r="Y30" s="156">
        <f>-$Q$30*Y20</f>
        <v>-1626.2500633599998</v>
      </c>
      <c r="Z30" s="156">
        <f>-$Q$30*Z20</f>
        <v>-1691.3000658943999</v>
      </c>
      <c r="AA30" s="156">
        <f>-$Q$30*AA20</f>
        <v>-1758.9520685301761</v>
      </c>
      <c r="AB30" s="156">
        <f>-$Q$30*AB20</f>
        <v>-1829.3101512713831</v>
      </c>
      <c r="AC30" s="156">
        <f t="shared" ref="AC30:AF30" si="45">-$Q$30*AC20</f>
        <v>-1902.4825573222386</v>
      </c>
      <c r="AD30" s="156">
        <f t="shared" si="45"/>
        <v>-1978.5818596151285</v>
      </c>
      <c r="AE30" s="156">
        <f t="shared" si="45"/>
        <v>-2018.1534968074311</v>
      </c>
      <c r="AF30" s="156">
        <f t="shared" si="45"/>
        <v>-2058.5165667435795</v>
      </c>
    </row>
    <row r="31" spans="1:37" ht="1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P31" s="124" t="s">
        <v>479</v>
      </c>
      <c r="Q31" s="129"/>
      <c r="R31" s="158">
        <f t="shared" ref="R31:AF31" si="46">R13</f>
        <v>1878</v>
      </c>
      <c r="S31" s="158">
        <f t="shared" si="46"/>
        <v>-7928</v>
      </c>
      <c r="T31" s="158">
        <f t="shared" si="46"/>
        <v>-136</v>
      </c>
      <c r="U31" s="158">
        <f t="shared" si="46"/>
        <v>6382</v>
      </c>
      <c r="V31" s="158">
        <f t="shared" si="46"/>
        <v>2481</v>
      </c>
      <c r="W31" s="158">
        <f t="shared" si="46"/>
        <v>2172</v>
      </c>
      <c r="X31" s="158">
        <f t="shared" si="46"/>
        <v>0</v>
      </c>
      <c r="Y31" s="158">
        <f t="shared" si="46"/>
        <v>0</v>
      </c>
      <c r="Z31" s="158">
        <f t="shared" si="46"/>
        <v>0</v>
      </c>
      <c r="AA31" s="158">
        <f t="shared" si="46"/>
        <v>0</v>
      </c>
      <c r="AB31" s="158">
        <f t="shared" si="46"/>
        <v>0</v>
      </c>
      <c r="AC31" s="158">
        <f t="shared" si="46"/>
        <v>0</v>
      </c>
      <c r="AD31" s="158">
        <f t="shared" si="46"/>
        <v>0</v>
      </c>
      <c r="AE31" s="158">
        <f t="shared" si="46"/>
        <v>0</v>
      </c>
      <c r="AF31" s="158">
        <f t="shared" si="46"/>
        <v>0</v>
      </c>
    </row>
    <row r="32" spans="1:37" ht="16">
      <c r="A32" s="2" t="s">
        <v>25</v>
      </c>
      <c r="B32" s="2"/>
      <c r="C32" s="2"/>
      <c r="D32" s="2"/>
      <c r="E32" s="2"/>
      <c r="F32" s="2"/>
      <c r="G32" s="2"/>
      <c r="H32" s="2"/>
      <c r="I32" s="2"/>
      <c r="J32" s="2"/>
      <c r="K32" s="2"/>
      <c r="P32" s="137" t="s">
        <v>486</v>
      </c>
      <c r="Q32" s="138"/>
      <c r="R32" s="159">
        <f>R25+R26+R27+R29+R30+R31</f>
        <v>9239</v>
      </c>
      <c r="S32" s="159">
        <f t="shared" ref="S32:AF32" si="47">S25+S26+S27+S29+S30+S31</f>
        <v>-2464</v>
      </c>
      <c r="T32" s="159">
        <f t="shared" si="47"/>
        <v>4425</v>
      </c>
      <c r="U32" s="159">
        <f t="shared" si="47"/>
        <v>13785</v>
      </c>
      <c r="V32" s="159">
        <f t="shared" si="47"/>
        <v>4687</v>
      </c>
      <c r="W32" s="159">
        <f t="shared" si="47"/>
        <v>8136</v>
      </c>
      <c r="X32" s="159">
        <f t="shared" si="47"/>
        <v>4372.8596289888656</v>
      </c>
      <c r="Y32" s="159">
        <f t="shared" si="47"/>
        <v>4547.774014148421</v>
      </c>
      <c r="Z32" s="159">
        <f t="shared" si="47"/>
        <v>4729.6849747143578</v>
      </c>
      <c r="AA32" s="159">
        <f t="shared" si="47"/>
        <v>4918.8723737029313</v>
      </c>
      <c r="AB32" s="159">
        <f t="shared" si="47"/>
        <v>5115.6272686510492</v>
      </c>
      <c r="AC32" s="159">
        <f t="shared" si="47"/>
        <v>5320.25235939709</v>
      </c>
      <c r="AD32" s="159">
        <f t="shared" si="47"/>
        <v>5533.0624537729755</v>
      </c>
      <c r="AE32" s="159">
        <f t="shared" si="47"/>
        <v>5845.06526538464</v>
      </c>
      <c r="AF32" s="159">
        <f t="shared" si="47"/>
        <v>5961.9665706923333</v>
      </c>
    </row>
    <row r="33" spans="1:32" ht="16">
      <c r="A33" s="2"/>
      <c r="B33" s="2" t="s">
        <v>2</v>
      </c>
      <c r="C33" s="2" t="s">
        <v>3</v>
      </c>
      <c r="D33" s="2" t="s">
        <v>4</v>
      </c>
      <c r="E33" s="2" t="s">
        <v>5</v>
      </c>
      <c r="F33" s="2" t="s">
        <v>6</v>
      </c>
      <c r="G33" s="2" t="s">
        <v>7</v>
      </c>
      <c r="H33" s="2" t="s">
        <v>8</v>
      </c>
      <c r="I33" s="2" t="s">
        <v>9</v>
      </c>
      <c r="J33" s="2" t="s">
        <v>10</v>
      </c>
      <c r="K33" s="2" t="s">
        <v>11</v>
      </c>
      <c r="L33" s="2" t="s">
        <v>12</v>
      </c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</row>
    <row r="34" spans="1:32" ht="16">
      <c r="A34" s="2"/>
      <c r="B34" s="2" t="s">
        <v>26</v>
      </c>
      <c r="C34" s="2"/>
      <c r="D34" s="2"/>
      <c r="E34" s="2"/>
      <c r="F34" s="2"/>
      <c r="G34" s="2"/>
      <c r="H34" s="2"/>
      <c r="I34" s="2"/>
      <c r="J34" s="2"/>
      <c r="K34" s="2"/>
      <c r="L34" s="2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</row>
    <row r="35" spans="1:32" ht="16">
      <c r="A35" s="2"/>
      <c r="B35" s="2" t="s">
        <v>78</v>
      </c>
      <c r="C35" s="4">
        <v>2145</v>
      </c>
      <c r="D35" s="4">
        <v>3514</v>
      </c>
      <c r="E35" s="4">
        <v>2020</v>
      </c>
      <c r="F35" s="4">
        <v>2212</v>
      </c>
      <c r="G35" s="4">
        <v>2628</v>
      </c>
      <c r="H35" s="4">
        <v>2935</v>
      </c>
      <c r="I35" s="4">
        <v>3278</v>
      </c>
      <c r="J35" s="4">
        <v>5148</v>
      </c>
      <c r="K35" s="4">
        <v>3253</v>
      </c>
      <c r="L35" s="4">
        <v>3402</v>
      </c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</row>
    <row r="36" spans="1:32" ht="16">
      <c r="A36" s="2"/>
      <c r="B36" s="2" t="s">
        <v>79</v>
      </c>
      <c r="C36" s="4">
        <v>13557</v>
      </c>
      <c r="D36" s="4">
        <v>20572</v>
      </c>
      <c r="E36" s="4">
        <v>19892</v>
      </c>
      <c r="F36" s="4">
        <v>16776</v>
      </c>
      <c r="G36" s="4">
        <v>19190</v>
      </c>
      <c r="H36" s="4">
        <v>19569</v>
      </c>
      <c r="I36" s="4">
        <v>20779</v>
      </c>
      <c r="J36" s="4">
        <v>27709</v>
      </c>
      <c r="K36" s="4">
        <v>24026</v>
      </c>
      <c r="L36" s="4">
        <v>20392</v>
      </c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</row>
    <row r="37" spans="1:32" ht="17" thickBot="1">
      <c r="A37" s="2"/>
      <c r="B37" s="2" t="s">
        <v>80</v>
      </c>
      <c r="C37" s="4">
        <v>14664</v>
      </c>
      <c r="D37" s="4">
        <v>7954</v>
      </c>
      <c r="E37" s="4">
        <v>5952</v>
      </c>
      <c r="F37" s="4">
        <v>5514</v>
      </c>
      <c r="G37" s="4">
        <v>4901</v>
      </c>
      <c r="H37" s="4">
        <v>19009</v>
      </c>
      <c r="I37" s="4">
        <v>4308</v>
      </c>
      <c r="J37" s="4">
        <v>3229</v>
      </c>
      <c r="K37" s="4">
        <v>4813</v>
      </c>
      <c r="L37" s="4">
        <v>8544</v>
      </c>
      <c r="P37" s="132" t="s">
        <v>487</v>
      </c>
      <c r="Q37" s="133"/>
      <c r="R37" s="126" t="s">
        <v>7</v>
      </c>
      <c r="S37" s="126" t="s">
        <v>8</v>
      </c>
      <c r="T37" s="126" t="s">
        <v>9</v>
      </c>
      <c r="U37" s="126" t="s">
        <v>10</v>
      </c>
      <c r="V37" s="126" t="s">
        <v>11</v>
      </c>
      <c r="W37" s="126" t="s">
        <v>12</v>
      </c>
      <c r="X37" s="126" t="s">
        <v>474</v>
      </c>
      <c r="Y37" s="126" t="s">
        <v>475</v>
      </c>
      <c r="Z37" s="126" t="s">
        <v>476</v>
      </c>
      <c r="AA37" s="126" t="s">
        <v>490</v>
      </c>
      <c r="AB37" s="126" t="s">
        <v>491</v>
      </c>
      <c r="AC37" s="126" t="s">
        <v>491</v>
      </c>
      <c r="AD37" s="126" t="s">
        <v>491</v>
      </c>
      <c r="AE37" s="126" t="s">
        <v>491</v>
      </c>
      <c r="AF37" s="126" t="s">
        <v>491</v>
      </c>
    </row>
    <row r="38" spans="1:32" ht="17" thickTop="1">
      <c r="A38" s="2"/>
      <c r="B38" s="2" t="s">
        <v>81</v>
      </c>
      <c r="C38" s="4">
        <v>36880</v>
      </c>
      <c r="D38" s="4">
        <v>40452</v>
      </c>
      <c r="E38" s="4">
        <v>42338</v>
      </c>
      <c r="F38" s="4">
        <v>43777</v>
      </c>
      <c r="G38" s="4">
        <v>44386</v>
      </c>
      <c r="H38" s="4">
        <v>43671</v>
      </c>
      <c r="I38" s="4">
        <v>46841</v>
      </c>
      <c r="J38" s="4">
        <v>53526</v>
      </c>
      <c r="K38" s="4">
        <v>55320</v>
      </c>
      <c r="L38" s="4">
        <v>56794</v>
      </c>
      <c r="P38" s="135" t="s">
        <v>488</v>
      </c>
      <c r="Q38" s="136"/>
      <c r="R38" s="154">
        <f>G47-G35</f>
        <v>55327</v>
      </c>
      <c r="S38" s="154">
        <f t="shared" ref="S38:W38" si="48">H47-H35</f>
        <v>45126</v>
      </c>
      <c r="T38" s="154">
        <f t="shared" si="48"/>
        <v>43712</v>
      </c>
      <c r="U38" s="154">
        <f t="shared" si="48"/>
        <v>50656</v>
      </c>
      <c r="V38" s="154">
        <f t="shared" si="48"/>
        <v>55170</v>
      </c>
      <c r="W38" s="154">
        <f t="shared" si="48"/>
        <v>54433</v>
      </c>
      <c r="X38" s="158">
        <f>W40</f>
        <v>54433</v>
      </c>
      <c r="Y38" s="158">
        <f>X40</f>
        <v>50060.140371011134</v>
      </c>
      <c r="Z38" s="158">
        <f>Y40</f>
        <v>45512.366356862709</v>
      </c>
      <c r="AA38" s="158">
        <f>Z40</f>
        <v>40782.681382148352</v>
      </c>
      <c r="AB38" s="158">
        <f>AA40</f>
        <v>35863.809008445423</v>
      </c>
      <c r="AC38" s="158">
        <f t="shared" ref="AC38:AF38" si="49">AB40</f>
        <v>30748.181739794374</v>
      </c>
      <c r="AD38" s="158">
        <f t="shared" si="49"/>
        <v>25427.929380397283</v>
      </c>
      <c r="AE38" s="158">
        <f t="shared" si="49"/>
        <v>19894.866926624309</v>
      </c>
      <c r="AF38" s="158">
        <f t="shared" si="49"/>
        <v>14049.801661239668</v>
      </c>
    </row>
    <row r="39" spans="1:32" ht="16">
      <c r="A39" s="2"/>
      <c r="B39" s="2" t="s">
        <v>82</v>
      </c>
      <c r="C39" s="4">
        <v>57616</v>
      </c>
      <c r="D39" s="4">
        <v>61166</v>
      </c>
      <c r="E39" s="4">
        <v>64309</v>
      </c>
      <c r="F39" s="4">
        <v>66585</v>
      </c>
      <c r="G39" s="4">
        <v>70104</v>
      </c>
      <c r="H39" s="4">
        <v>58799</v>
      </c>
      <c r="I39" s="4">
        <v>65461</v>
      </c>
      <c r="J39" s="4">
        <v>74300</v>
      </c>
      <c r="K39" s="4">
        <v>83396</v>
      </c>
      <c r="L39" s="4">
        <v>89624</v>
      </c>
      <c r="P39" s="139" t="s">
        <v>489</v>
      </c>
      <c r="Q39" s="140"/>
      <c r="R39" s="160">
        <f t="shared" ref="R39:AF39" si="50">-R32</f>
        <v>-9239</v>
      </c>
      <c r="S39" s="160">
        <f t="shared" si="50"/>
        <v>2464</v>
      </c>
      <c r="T39" s="160">
        <f t="shared" si="50"/>
        <v>-4425</v>
      </c>
      <c r="U39" s="160">
        <f t="shared" si="50"/>
        <v>-13785</v>
      </c>
      <c r="V39" s="160">
        <f t="shared" si="50"/>
        <v>-4687</v>
      </c>
      <c r="W39" s="160">
        <f t="shared" si="50"/>
        <v>-8136</v>
      </c>
      <c r="X39" s="160">
        <f>-X32</f>
        <v>-4372.8596289888656</v>
      </c>
      <c r="Y39" s="160">
        <f t="shared" si="50"/>
        <v>-4547.774014148421</v>
      </c>
      <c r="Z39" s="160">
        <f t="shared" si="50"/>
        <v>-4729.6849747143578</v>
      </c>
      <c r="AA39" s="160">
        <f t="shared" si="50"/>
        <v>-4918.8723737029313</v>
      </c>
      <c r="AB39" s="160">
        <f t="shared" si="50"/>
        <v>-5115.6272686510492</v>
      </c>
      <c r="AC39" s="160">
        <f t="shared" si="50"/>
        <v>-5320.25235939709</v>
      </c>
      <c r="AD39" s="160">
        <f t="shared" si="50"/>
        <v>-5533.0624537729755</v>
      </c>
      <c r="AE39" s="160">
        <f t="shared" si="50"/>
        <v>-5845.06526538464</v>
      </c>
      <c r="AF39" s="160">
        <f t="shared" si="50"/>
        <v>-5961.9665706923333</v>
      </c>
    </row>
    <row r="40" spans="1:32" ht="16">
      <c r="A40" s="2"/>
      <c r="B40" s="2" t="s">
        <v>83</v>
      </c>
      <c r="C40" s="4">
        <v>2905</v>
      </c>
      <c r="D40" s="4">
        <v>3367</v>
      </c>
      <c r="E40" s="4">
        <v>3635</v>
      </c>
      <c r="F40" s="4">
        <v>3875</v>
      </c>
      <c r="G40" s="4">
        <v>3938</v>
      </c>
      <c r="H40" s="4">
        <v>4108</v>
      </c>
      <c r="I40" s="4">
        <v>4433</v>
      </c>
      <c r="J40" s="4">
        <v>4329</v>
      </c>
      <c r="K40" s="4">
        <v>4416</v>
      </c>
      <c r="L40" s="4">
        <v>4834</v>
      </c>
      <c r="P40" s="141" t="s">
        <v>492</v>
      </c>
      <c r="Q40" s="142"/>
      <c r="R40" s="161">
        <f t="shared" ref="R40:W40" si="51">R38</f>
        <v>55327</v>
      </c>
      <c r="S40" s="161">
        <f t="shared" si="51"/>
        <v>45126</v>
      </c>
      <c r="T40" s="161">
        <f t="shared" si="51"/>
        <v>43712</v>
      </c>
      <c r="U40" s="161">
        <f t="shared" si="51"/>
        <v>50656</v>
      </c>
      <c r="V40" s="161">
        <f t="shared" si="51"/>
        <v>55170</v>
      </c>
      <c r="W40" s="161">
        <f t="shared" si="51"/>
        <v>54433</v>
      </c>
      <c r="X40" s="161">
        <f>X38+X39</f>
        <v>50060.140371011134</v>
      </c>
      <c r="Y40" s="161">
        <f>Y38+Y39</f>
        <v>45512.366356862709</v>
      </c>
      <c r="Z40" s="161">
        <f>Z38+Z39</f>
        <v>40782.681382148352</v>
      </c>
      <c r="AA40" s="161">
        <f>AA38+AA39</f>
        <v>35863.809008445423</v>
      </c>
      <c r="AB40" s="161">
        <f>AB38+AB39</f>
        <v>30748.181739794374</v>
      </c>
      <c r="AC40" s="161">
        <f t="shared" ref="AC40:AF40" si="52">AC38+AC39</f>
        <v>25427.929380397283</v>
      </c>
      <c r="AD40" s="161">
        <f t="shared" si="52"/>
        <v>19894.866926624309</v>
      </c>
      <c r="AE40" s="161">
        <f t="shared" si="52"/>
        <v>14049.801661239668</v>
      </c>
      <c r="AF40" s="161">
        <f t="shared" si="52"/>
        <v>8087.8350905473344</v>
      </c>
    </row>
    <row r="41" spans="1:32" ht="16">
      <c r="A41" s="2"/>
      <c r="B41" s="2" t="s">
        <v>84</v>
      </c>
      <c r="C41" s="4">
        <v>3554</v>
      </c>
      <c r="D41" s="4">
        <v>3657</v>
      </c>
      <c r="E41" s="4">
        <v>3576</v>
      </c>
      <c r="F41" s="4">
        <v>3408</v>
      </c>
      <c r="G41" s="4">
        <v>2614</v>
      </c>
      <c r="H41" s="4">
        <v>3024</v>
      </c>
      <c r="I41" s="4">
        <v>3232</v>
      </c>
      <c r="J41" s="4">
        <v>3209</v>
      </c>
      <c r="K41" s="4">
        <v>2907</v>
      </c>
      <c r="L41" s="2"/>
      <c r="P41" s="135" t="s">
        <v>493</v>
      </c>
      <c r="Q41" s="136"/>
      <c r="R41" s="143"/>
      <c r="S41" s="144"/>
      <c r="T41" s="144"/>
      <c r="U41" s="144"/>
      <c r="V41" s="144"/>
      <c r="W41" s="144"/>
      <c r="X41" s="158">
        <f>-X39</f>
        <v>4372.8596289888656</v>
      </c>
      <c r="Y41" s="158">
        <f>-Y39</f>
        <v>4547.774014148421</v>
      </c>
      <c r="Z41" s="158">
        <f>-Z39</f>
        <v>4729.6849747143578</v>
      </c>
      <c r="AA41" s="158">
        <f>-AA39</f>
        <v>4918.8723737029313</v>
      </c>
      <c r="AB41" s="158">
        <f>-AB39</f>
        <v>5115.6272686510492</v>
      </c>
      <c r="AC41" s="158">
        <f t="shared" ref="AC41:AF41" si="53">-AC39</f>
        <v>5320.25235939709</v>
      </c>
      <c r="AD41" s="158">
        <f t="shared" si="53"/>
        <v>5533.0624537729755</v>
      </c>
      <c r="AE41" s="158">
        <f t="shared" si="53"/>
        <v>5845.06526538464</v>
      </c>
      <c r="AF41" s="158">
        <f t="shared" si="53"/>
        <v>5961.9665706923333</v>
      </c>
    </row>
    <row r="42" spans="1:32" ht="16">
      <c r="A42" s="2"/>
      <c r="B42" s="2" t="s">
        <v>85</v>
      </c>
      <c r="C42" s="4">
        <v>15368</v>
      </c>
      <c r="D42" s="4">
        <v>12655</v>
      </c>
      <c r="E42" s="4">
        <v>11418</v>
      </c>
      <c r="F42" s="4">
        <v>11228</v>
      </c>
      <c r="G42" s="4">
        <v>11342</v>
      </c>
      <c r="H42" s="4">
        <v>10069</v>
      </c>
      <c r="I42" s="4">
        <v>10561</v>
      </c>
      <c r="J42" s="4">
        <v>9746</v>
      </c>
      <c r="K42" s="4">
        <v>10471</v>
      </c>
      <c r="L42" s="4">
        <v>14731</v>
      </c>
      <c r="P42" s="135" t="s">
        <v>494</v>
      </c>
      <c r="Q42" s="136"/>
      <c r="R42" s="162">
        <f t="shared" ref="R42:X42" si="54">R40/R25</f>
        <v>5.531040687793662</v>
      </c>
      <c r="S42" s="162">
        <f t="shared" si="54"/>
        <v>5.0246075047322121</v>
      </c>
      <c r="T42" s="162">
        <f t="shared" si="54"/>
        <v>4.7559569143727556</v>
      </c>
      <c r="U42" s="162">
        <f t="shared" si="54"/>
        <v>5.7919048707980787</v>
      </c>
      <c r="V42" s="162">
        <f t="shared" si="54"/>
        <v>5.8597981943706854</v>
      </c>
      <c r="W42" s="162">
        <f t="shared" si="54"/>
        <v>5.8542697354269739</v>
      </c>
      <c r="X42" s="162">
        <f t="shared" si="54"/>
        <v>5.1768929185568373</v>
      </c>
      <c r="Y42" s="162">
        <f>Y40/Y25</f>
        <v>4.5255690561817064</v>
      </c>
      <c r="Z42" s="162">
        <f>Z40/Z25</f>
        <v>3.899296111590234</v>
      </c>
      <c r="AA42" s="162">
        <f>AA40/AA25</f>
        <v>3.2971105879445886</v>
      </c>
      <c r="AB42" s="162">
        <f>AB40/AB25</f>
        <v>2.7180860459776208</v>
      </c>
      <c r="AC42" s="162">
        <f t="shared" ref="AC42:AF42" si="55">AC40/AC25</f>
        <v>2.1613316787016905</v>
      </c>
      <c r="AD42" s="162">
        <f t="shared" si="55"/>
        <v>1.6259909409363731</v>
      </c>
      <c r="AE42" s="162">
        <f t="shared" si="55"/>
        <v>1.1257633472022197</v>
      </c>
      <c r="AF42" s="162">
        <f t="shared" si="55"/>
        <v>0.63534413765893205</v>
      </c>
    </row>
    <row r="43" spans="1:32" ht="16">
      <c r="A43" s="2"/>
      <c r="B43" s="5" t="s">
        <v>35</v>
      </c>
      <c r="C43" s="6">
        <v>146689</v>
      </c>
      <c r="D43" s="6">
        <v>153337</v>
      </c>
      <c r="E43" s="6">
        <v>153140</v>
      </c>
      <c r="F43" s="6">
        <v>153375</v>
      </c>
      <c r="G43" s="6">
        <v>159103</v>
      </c>
      <c r="H43" s="6">
        <v>161184</v>
      </c>
      <c r="I43" s="6">
        <v>158893</v>
      </c>
      <c r="J43" s="6">
        <v>181196</v>
      </c>
      <c r="K43" s="6">
        <v>188602</v>
      </c>
      <c r="L43" s="6">
        <v>198321</v>
      </c>
      <c r="P43" s="135"/>
      <c r="Q43" s="136"/>
      <c r="R43" s="144"/>
      <c r="S43" s="143"/>
      <c r="T43" s="143"/>
      <c r="U43" s="143"/>
      <c r="V43" s="143"/>
      <c r="W43" s="143"/>
      <c r="X43" s="143"/>
      <c r="Y43" s="143"/>
      <c r="Z43" s="143"/>
      <c r="AA43" s="143"/>
      <c r="AB43" s="124"/>
      <c r="AC43" s="124"/>
      <c r="AD43" s="124"/>
      <c r="AE43" s="124"/>
      <c r="AF43" s="124"/>
    </row>
    <row r="44" spans="1:32" ht="17" thickBot="1">
      <c r="A44" s="2"/>
      <c r="B44" s="2" t="s">
        <v>36</v>
      </c>
      <c r="C44" s="2"/>
      <c r="D44" s="2"/>
      <c r="E44" s="2"/>
      <c r="F44" s="2"/>
      <c r="G44" s="2"/>
      <c r="H44" s="2"/>
      <c r="I44" s="2"/>
      <c r="J44" s="2"/>
      <c r="K44" s="2"/>
      <c r="L44" s="2"/>
      <c r="P44" s="198" t="s">
        <v>495</v>
      </c>
      <c r="Q44" s="197"/>
      <c r="R44" s="196" t="s">
        <v>7</v>
      </c>
      <c r="S44" s="196" t="s">
        <v>8</v>
      </c>
      <c r="T44" s="196" t="s">
        <v>9</v>
      </c>
      <c r="U44" s="196" t="s">
        <v>10</v>
      </c>
      <c r="V44" s="196" t="s">
        <v>11</v>
      </c>
      <c r="W44" s="196" t="s">
        <v>12</v>
      </c>
      <c r="X44" s="196" t="s">
        <v>474</v>
      </c>
      <c r="Y44" s="196" t="s">
        <v>475</v>
      </c>
      <c r="Z44" s="196" t="s">
        <v>476</v>
      </c>
      <c r="AA44" s="196" t="s">
        <v>490</v>
      </c>
      <c r="AB44" s="196" t="s">
        <v>491</v>
      </c>
      <c r="AC44" s="196" t="s">
        <v>491</v>
      </c>
      <c r="AD44" s="196" t="s">
        <v>491</v>
      </c>
      <c r="AE44" s="196" t="s">
        <v>491</v>
      </c>
      <c r="AF44" s="196" t="s">
        <v>491</v>
      </c>
    </row>
    <row r="45" spans="1:32" ht="17" thickTop="1">
      <c r="A45" s="2"/>
      <c r="B45" s="2" t="s">
        <v>86</v>
      </c>
      <c r="C45" s="4">
        <v>29727</v>
      </c>
      <c r="D45" s="4">
        <v>37898</v>
      </c>
      <c r="E45" s="4">
        <v>39803</v>
      </c>
      <c r="F45" s="4">
        <v>41763</v>
      </c>
      <c r="G45" s="4">
        <v>44171</v>
      </c>
      <c r="H45" s="4">
        <v>54997</v>
      </c>
      <c r="I45" s="4">
        <v>53042</v>
      </c>
      <c r="J45" s="4">
        <v>64452</v>
      </c>
      <c r="K45" s="4">
        <v>69960</v>
      </c>
      <c r="L45" s="4">
        <v>73287</v>
      </c>
      <c r="P45" s="195" t="s">
        <v>496</v>
      </c>
      <c r="Q45" s="193"/>
      <c r="R45" s="194">
        <f t="shared" ref="R45:AB45" si="56">SUM(R25:R27)</f>
        <v>11508</v>
      </c>
      <c r="S45" s="194">
        <f t="shared" si="56"/>
        <v>9411</v>
      </c>
      <c r="T45" s="194">
        <f t="shared" si="56"/>
        <v>8456</v>
      </c>
      <c r="U45" s="194">
        <f t="shared" si="56"/>
        <v>13331</v>
      </c>
      <c r="V45" s="194">
        <f t="shared" si="56"/>
        <v>4731</v>
      </c>
      <c r="W45" s="194">
        <f t="shared" si="56"/>
        <v>9056</v>
      </c>
      <c r="X45" s="194">
        <f t="shared" si="56"/>
        <v>7599.2320769888656</v>
      </c>
      <c r="Y45" s="194">
        <f t="shared" si="56"/>
        <v>7903.2013600684204</v>
      </c>
      <c r="Z45" s="194">
        <f t="shared" si="56"/>
        <v>8219.3294144711581</v>
      </c>
      <c r="AA45" s="194">
        <f t="shared" si="56"/>
        <v>8548.102591050003</v>
      </c>
      <c r="AB45" s="194">
        <f t="shared" si="56"/>
        <v>8890.0266946920037</v>
      </c>
      <c r="AC45" s="194">
        <f t="shared" ref="AC45:AF45" si="57">SUM(AC25:AC27)</f>
        <v>9245.627762479684</v>
      </c>
      <c r="AD45" s="194">
        <f t="shared" si="57"/>
        <v>9615.4528729788726</v>
      </c>
      <c r="AE45" s="194">
        <f t="shared" si="57"/>
        <v>10009.103492974657</v>
      </c>
      <c r="AF45" s="194">
        <f t="shared" si="57"/>
        <v>10209.285562834149</v>
      </c>
    </row>
    <row r="46" spans="1:32" ht="16">
      <c r="A46" s="2"/>
      <c r="B46" s="2" t="s">
        <v>87</v>
      </c>
      <c r="C46" s="4">
        <v>3414</v>
      </c>
      <c r="D46" s="4">
        <v>4337</v>
      </c>
      <c r="E46" s="4">
        <v>3314</v>
      </c>
      <c r="F46" s="4">
        <v>5021</v>
      </c>
      <c r="G46" s="4">
        <v>3480</v>
      </c>
      <c r="H46" s="4">
        <v>4812</v>
      </c>
      <c r="I46" s="4">
        <v>5581</v>
      </c>
      <c r="J46" s="4">
        <v>3278</v>
      </c>
      <c r="K46" s="4">
        <v>3100</v>
      </c>
      <c r="L46" s="4">
        <v>6442</v>
      </c>
      <c r="P46" s="180" t="s">
        <v>497</v>
      </c>
      <c r="Q46" s="191">
        <v>0.21</v>
      </c>
      <c r="R46" s="179">
        <f t="shared" ref="R46:AF46" si="58">-($Q$46*R45)</f>
        <v>-2416.6799999999998</v>
      </c>
      <c r="S46" s="179">
        <f t="shared" si="58"/>
        <v>-1976.31</v>
      </c>
      <c r="T46" s="179">
        <f t="shared" si="58"/>
        <v>-1775.76</v>
      </c>
      <c r="U46" s="179">
        <f t="shared" si="58"/>
        <v>-2799.5099999999998</v>
      </c>
      <c r="V46" s="179">
        <f t="shared" si="58"/>
        <v>-993.51</v>
      </c>
      <c r="W46" s="179">
        <f t="shared" si="58"/>
        <v>-1901.76</v>
      </c>
      <c r="X46" s="179">
        <f t="shared" si="58"/>
        <v>-1595.8387361676616</v>
      </c>
      <c r="Y46" s="179">
        <f t="shared" si="58"/>
        <v>-1659.6722856143683</v>
      </c>
      <c r="Z46" s="179">
        <f t="shared" si="58"/>
        <v>-1726.0591770389431</v>
      </c>
      <c r="AA46" s="179">
        <f t="shared" si="58"/>
        <v>-1795.1015441205006</v>
      </c>
      <c r="AB46" s="179">
        <f t="shared" si="58"/>
        <v>-1866.9056058853207</v>
      </c>
      <c r="AC46" s="179">
        <f t="shared" si="58"/>
        <v>-1941.5818301207335</v>
      </c>
      <c r="AD46" s="179">
        <f t="shared" si="58"/>
        <v>-2019.2451033255632</v>
      </c>
      <c r="AE46" s="179">
        <f t="shared" si="58"/>
        <v>-2101.9117335246779</v>
      </c>
      <c r="AF46" s="179">
        <f t="shared" si="58"/>
        <v>-2143.9499681951711</v>
      </c>
    </row>
    <row r="47" spans="1:32" ht="16">
      <c r="A47" s="2"/>
      <c r="B47" s="2" t="s">
        <v>41</v>
      </c>
      <c r="C47" s="4">
        <v>66416</v>
      </c>
      <c r="D47" s="4">
        <v>59570</v>
      </c>
      <c r="E47" s="4">
        <v>58973</v>
      </c>
      <c r="F47" s="4">
        <v>55330</v>
      </c>
      <c r="G47" s="4">
        <v>57955</v>
      </c>
      <c r="H47" s="4">
        <v>48061</v>
      </c>
      <c r="I47" s="4">
        <v>46990</v>
      </c>
      <c r="J47" s="4">
        <v>55804</v>
      </c>
      <c r="K47" s="4">
        <v>58423</v>
      </c>
      <c r="L47" s="4">
        <v>57835</v>
      </c>
      <c r="P47" s="195" t="s">
        <v>498</v>
      </c>
      <c r="Q47" s="193"/>
      <c r="R47" s="194">
        <f t="shared" ref="R47:AB47" si="59">SUM(R45:R46)</f>
        <v>9091.32</v>
      </c>
      <c r="S47" s="194">
        <f t="shared" si="59"/>
        <v>7434.6900000000005</v>
      </c>
      <c r="T47" s="194">
        <f t="shared" si="59"/>
        <v>6680.24</v>
      </c>
      <c r="U47" s="194">
        <f t="shared" si="59"/>
        <v>10531.49</v>
      </c>
      <c r="V47" s="194">
        <f t="shared" si="59"/>
        <v>3737.49</v>
      </c>
      <c r="W47" s="194">
        <f t="shared" si="59"/>
        <v>7154.24</v>
      </c>
      <c r="X47" s="194">
        <f t="shared" si="59"/>
        <v>6003.3933408212042</v>
      </c>
      <c r="Y47" s="194">
        <f t="shared" si="59"/>
        <v>6243.5290744540525</v>
      </c>
      <c r="Z47" s="194">
        <f t="shared" si="59"/>
        <v>6493.2702374322153</v>
      </c>
      <c r="AA47" s="194">
        <f t="shared" si="59"/>
        <v>6753.0010469295021</v>
      </c>
      <c r="AB47" s="194">
        <f t="shared" si="59"/>
        <v>7023.1210888066835</v>
      </c>
      <c r="AC47" s="194">
        <f t="shared" ref="AC47:AF47" si="60">SUM(AC45:AC46)</f>
        <v>7304.0459323589503</v>
      </c>
      <c r="AD47" s="194">
        <f t="shared" si="60"/>
        <v>7596.2077696533097</v>
      </c>
      <c r="AE47" s="194">
        <f t="shared" si="60"/>
        <v>7907.1917594499791</v>
      </c>
      <c r="AF47" s="194">
        <f t="shared" si="60"/>
        <v>8065.3355946389784</v>
      </c>
    </row>
    <row r="48" spans="1:32" ht="16">
      <c r="A48" s="2"/>
      <c r="B48" s="2" t="s">
        <v>88</v>
      </c>
      <c r="C48" s="4">
        <v>30902</v>
      </c>
      <c r="D48" s="4">
        <v>32738</v>
      </c>
      <c r="E48" s="4">
        <v>32164</v>
      </c>
      <c r="F48" s="4">
        <v>31765</v>
      </c>
      <c r="G48" s="4">
        <v>32824</v>
      </c>
      <c r="H48" s="4">
        <v>32641</v>
      </c>
      <c r="I48" s="4">
        <v>32779</v>
      </c>
      <c r="J48" s="4">
        <v>39401</v>
      </c>
      <c r="K48" s="4">
        <v>34829</v>
      </c>
      <c r="L48" s="4">
        <v>37686</v>
      </c>
      <c r="P48" s="174"/>
      <c r="Q48" s="193"/>
      <c r="R48" s="174"/>
      <c r="S48" s="174"/>
      <c r="T48" s="174"/>
      <c r="U48" s="174"/>
      <c r="V48" s="174"/>
      <c r="W48" s="174"/>
      <c r="X48" s="174"/>
      <c r="Y48" s="174"/>
      <c r="Z48" s="174"/>
      <c r="AA48" s="174"/>
      <c r="AB48" s="174"/>
      <c r="AC48" s="174"/>
      <c r="AD48" s="174"/>
      <c r="AE48" s="174"/>
      <c r="AF48" s="174"/>
    </row>
    <row r="49" spans="1:32" ht="16">
      <c r="A49" s="2"/>
      <c r="B49" s="5" t="s">
        <v>44</v>
      </c>
      <c r="C49" s="6">
        <v>130459</v>
      </c>
      <c r="D49" s="6">
        <v>134543</v>
      </c>
      <c r="E49" s="6">
        <v>134254</v>
      </c>
      <c r="F49" s="6">
        <v>133879</v>
      </c>
      <c r="G49" s="6">
        <v>138430</v>
      </c>
      <c r="H49" s="6">
        <v>140511</v>
      </c>
      <c r="I49" s="6">
        <v>138392</v>
      </c>
      <c r="J49" s="6">
        <v>162935</v>
      </c>
      <c r="K49" s="6">
        <v>166312</v>
      </c>
      <c r="L49" s="6">
        <v>175250</v>
      </c>
      <c r="P49" s="185" t="s">
        <v>514</v>
      </c>
      <c r="Q49" s="243">
        <f>AK20</f>
        <v>4.7499898941176469E-2</v>
      </c>
      <c r="R49" s="192"/>
      <c r="S49" s="192"/>
      <c r="T49" s="192"/>
      <c r="U49" s="192"/>
      <c r="V49" s="192"/>
      <c r="W49" s="192"/>
      <c r="X49" s="189"/>
      <c r="Y49" s="189"/>
      <c r="Z49" s="189"/>
      <c r="AA49" s="189"/>
      <c r="AB49" s="174"/>
      <c r="AC49" s="174"/>
      <c r="AD49" s="174"/>
      <c r="AE49" s="174"/>
      <c r="AF49" s="174"/>
    </row>
    <row r="50" spans="1:32" ht="16">
      <c r="A50" s="2"/>
      <c r="B50" s="2" t="s">
        <v>45</v>
      </c>
      <c r="C50" s="2"/>
      <c r="D50" s="2"/>
      <c r="E50" s="2"/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P50" s="185" t="s">
        <v>516</v>
      </c>
      <c r="Q50" s="242">
        <v>0.02</v>
      </c>
      <c r="R50" s="183"/>
      <c r="S50" s="183"/>
      <c r="T50" s="183"/>
      <c r="U50" s="183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</row>
    <row r="51" spans="1:32" ht="16">
      <c r="A51" s="2"/>
      <c r="B51" s="2" t="s">
        <v>46</v>
      </c>
      <c r="C51" s="4">
        <v>12175</v>
      </c>
      <c r="D51" s="4">
        <v>12449</v>
      </c>
      <c r="E51" s="4">
        <v>12288</v>
      </c>
      <c r="F51" s="4">
        <v>12415</v>
      </c>
      <c r="G51" s="4">
        <v>13079</v>
      </c>
      <c r="H51" s="4">
        <v>13542</v>
      </c>
      <c r="I51" s="4">
        <v>12914</v>
      </c>
      <c r="J51" s="4">
        <v>12382</v>
      </c>
      <c r="K51" s="4">
        <v>12388</v>
      </c>
      <c r="L51" s="4">
        <v>11937</v>
      </c>
      <c r="P51" s="190"/>
      <c r="Q51" s="184"/>
      <c r="R51" s="183"/>
      <c r="S51" s="183"/>
      <c r="T51" s="183"/>
      <c r="U51" s="183"/>
      <c r="V51" s="189"/>
      <c r="W51" s="189"/>
      <c r="X51" s="189"/>
      <c r="Y51" s="189"/>
      <c r="Z51" s="189"/>
      <c r="AA51" s="189"/>
      <c r="AB51" s="174"/>
      <c r="AC51" s="174"/>
      <c r="AD51" s="174"/>
      <c r="AE51" s="174"/>
      <c r="AF51" s="174"/>
    </row>
    <row r="52" spans="1:32" ht="16">
      <c r="A52" s="2"/>
      <c r="B52" s="2" t="s">
        <v>48</v>
      </c>
      <c r="C52" s="4">
        <v>4972</v>
      </c>
      <c r="D52" s="4">
        <v>7221</v>
      </c>
      <c r="E52" s="4">
        <v>7525</v>
      </c>
      <c r="F52" s="4">
        <v>8507</v>
      </c>
      <c r="G52" s="4">
        <v>9513</v>
      </c>
      <c r="H52" s="4">
        <v>9665</v>
      </c>
      <c r="I52" s="4">
        <v>10371</v>
      </c>
      <c r="J52" s="4">
        <v>8307</v>
      </c>
      <c r="K52" s="4">
        <v>12499</v>
      </c>
      <c r="L52" s="4">
        <v>13871</v>
      </c>
      <c r="P52" s="188" t="s">
        <v>517</v>
      </c>
      <c r="Q52" s="187"/>
      <c r="R52" s="186"/>
      <c r="S52" s="186"/>
      <c r="T52" s="186"/>
      <c r="U52" s="186"/>
      <c r="V52" s="180"/>
      <c r="W52" s="180"/>
      <c r="X52" s="247">
        <v>1</v>
      </c>
      <c r="Y52" s="181">
        <f>X52+1</f>
        <v>2</v>
      </c>
      <c r="Z52" s="181">
        <f t="shared" ref="Z52:AF52" si="61">Y52+1</f>
        <v>3</v>
      </c>
      <c r="AA52" s="181">
        <f t="shared" si="61"/>
        <v>4</v>
      </c>
      <c r="AB52" s="181">
        <f t="shared" si="61"/>
        <v>5</v>
      </c>
      <c r="AC52" s="181">
        <f t="shared" si="61"/>
        <v>6</v>
      </c>
      <c r="AD52" s="181">
        <f t="shared" si="61"/>
        <v>7</v>
      </c>
      <c r="AE52" s="181">
        <f t="shared" si="61"/>
        <v>8</v>
      </c>
      <c r="AF52" s="181">
        <f t="shared" si="61"/>
        <v>9</v>
      </c>
    </row>
    <row r="53" spans="1:32" ht="16">
      <c r="A53" s="2"/>
      <c r="B53" s="2" t="s">
        <v>49</v>
      </c>
      <c r="C53" s="2">
        <v>-917</v>
      </c>
      <c r="D53" s="2">
        <v>-876</v>
      </c>
      <c r="E53" s="2">
        <v>-927</v>
      </c>
      <c r="F53" s="4">
        <v>-1426</v>
      </c>
      <c r="G53" s="4">
        <v>-1919</v>
      </c>
      <c r="H53" s="4">
        <v>-2534</v>
      </c>
      <c r="I53" s="4">
        <v>-2784</v>
      </c>
      <c r="J53" s="4">
        <v>-2428</v>
      </c>
      <c r="K53" s="4">
        <v>-2597</v>
      </c>
      <c r="L53" s="4">
        <v>-2737</v>
      </c>
      <c r="P53" s="185" t="s">
        <v>518</v>
      </c>
      <c r="Q53" s="184"/>
      <c r="R53" s="183"/>
      <c r="S53" s="183"/>
      <c r="T53" s="183"/>
      <c r="U53" s="183"/>
      <c r="V53" s="174"/>
      <c r="W53" s="174"/>
      <c r="X53" s="182">
        <f>1/(1+$Q$49)^X52</f>
        <v>0.95465403004889071</v>
      </c>
      <c r="Y53" s="182">
        <f>1/(1+$Q$49)^Y52</f>
        <v>0.91136431708858845</v>
      </c>
      <c r="Z53" s="182">
        <f>1/(1+$Q$49)^Z52</f>
        <v>0.87003761815137615</v>
      </c>
      <c r="AA53" s="182">
        <f>1/(1+$Q$49)^AA52</f>
        <v>0.83058491846234916</v>
      </c>
      <c r="AB53" s="182">
        <f>1/(1+$Q$49)^AB52</f>
        <v>0.79292123970791095</v>
      </c>
      <c r="AC53" s="182">
        <f t="shared" ref="AC53:AF53" si="62">1/(1+$Q$49)^AC52</f>
        <v>0.7569654569985198</v>
      </c>
      <c r="AD53" s="182">
        <f t="shared" si="62"/>
        <v>0.7226401241314373</v>
      </c>
      <c r="AE53" s="182">
        <f t="shared" si="62"/>
        <v>0.68987130677710717</v>
      </c>
      <c r="AF53" s="182">
        <f t="shared" si="62"/>
        <v>0.65858842322986</v>
      </c>
    </row>
    <row r="54" spans="1:32" ht="16">
      <c r="A54" s="2"/>
      <c r="B54" s="2" t="s">
        <v>50</v>
      </c>
      <c r="C54" s="4">
        <v>16230</v>
      </c>
      <c r="D54" s="4">
        <v>18794</v>
      </c>
      <c r="E54" s="4">
        <v>18886</v>
      </c>
      <c r="F54" s="4">
        <v>19496</v>
      </c>
      <c r="G54" s="4">
        <v>20673</v>
      </c>
      <c r="H54" s="4">
        <v>20673</v>
      </c>
      <c r="I54" s="4">
        <v>20501</v>
      </c>
      <c r="J54" s="4">
        <v>18261</v>
      </c>
      <c r="K54" s="4">
        <v>22290</v>
      </c>
      <c r="L54" s="4">
        <v>23071</v>
      </c>
      <c r="P54" s="181" t="s">
        <v>519</v>
      </c>
      <c r="Q54" s="180"/>
      <c r="R54" s="180"/>
      <c r="S54" s="180"/>
      <c r="T54" s="180"/>
      <c r="U54" s="180"/>
      <c r="V54" s="180"/>
      <c r="W54" s="180"/>
      <c r="X54" s="179">
        <f>X47*X53</f>
        <v>5731.1636467836361</v>
      </c>
      <c r="Y54" s="179">
        <f>Y47*Y53</f>
        <v>5690.1296111625643</v>
      </c>
      <c r="Z54" s="179">
        <f>Z47*Z53</f>
        <v>5649.3893713887455</v>
      </c>
      <c r="AA54" s="179">
        <f>AA47*AA53</f>
        <v>5608.9408239400991</v>
      </c>
      <c r="AB54" s="179">
        <f>AB47*AB53</f>
        <v>5568.7818803553691</v>
      </c>
      <c r="AC54" s="179">
        <f t="shared" ref="AC54:AF54" si="63">AC47*AC53</f>
        <v>5528.9104671262721</v>
      </c>
      <c r="AD54" s="179">
        <f t="shared" si="63"/>
        <v>5489.3245255904558</v>
      </c>
      <c r="AE54" s="179">
        <f t="shared" si="63"/>
        <v>5454.9447120289306</v>
      </c>
      <c r="AF54" s="179">
        <f t="shared" si="63"/>
        <v>5311.73665209295</v>
      </c>
    </row>
    <row r="55" spans="1:32" ht="16">
      <c r="A55" s="2"/>
      <c r="B55" s="5" t="s">
        <v>51</v>
      </c>
      <c r="C55" s="6">
        <v>16230</v>
      </c>
      <c r="D55" s="6">
        <v>18794</v>
      </c>
      <c r="E55" s="6">
        <v>18886</v>
      </c>
      <c r="F55" s="6">
        <v>19496</v>
      </c>
      <c r="G55" s="6">
        <v>20673</v>
      </c>
      <c r="H55" s="6">
        <v>20673</v>
      </c>
      <c r="I55" s="6">
        <v>20501</v>
      </c>
      <c r="J55" s="6">
        <v>18261</v>
      </c>
      <c r="K55" s="6">
        <v>22290</v>
      </c>
      <c r="L55" s="6">
        <v>23071</v>
      </c>
      <c r="M55">
        <f>(L47+L46)/L55</f>
        <v>2.7860517532833429</v>
      </c>
      <c r="P55" s="175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  <c r="AC55" s="174"/>
      <c r="AD55" s="174"/>
      <c r="AE55" s="174"/>
      <c r="AF55" s="174"/>
    </row>
    <row r="56" spans="1:32" ht="16">
      <c r="A56" s="2"/>
      <c r="B56" s="5" t="s">
        <v>52</v>
      </c>
      <c r="C56" s="6">
        <v>146689</v>
      </c>
      <c r="D56" s="6">
        <v>153337</v>
      </c>
      <c r="E56" s="6">
        <v>153140</v>
      </c>
      <c r="F56" s="6">
        <v>153375</v>
      </c>
      <c r="G56" s="6">
        <v>159103</v>
      </c>
      <c r="H56" s="6">
        <v>161184</v>
      </c>
      <c r="I56" s="6">
        <v>158893</v>
      </c>
      <c r="J56" s="6">
        <v>181196</v>
      </c>
      <c r="K56" s="6">
        <v>188602</v>
      </c>
      <c r="L56" s="6">
        <v>198321</v>
      </c>
      <c r="P56" s="175" t="s">
        <v>527</v>
      </c>
      <c r="Q56" s="174"/>
      <c r="R56" s="178">
        <f>SUM(X54:AE54)</f>
        <v>44721.58503837607</v>
      </c>
      <c r="S56" s="174"/>
      <c r="T56" s="174"/>
      <c r="U56" s="174"/>
      <c r="V56" s="174"/>
      <c r="W56" s="174"/>
      <c r="X56" s="174"/>
      <c r="Y56" s="174"/>
      <c r="Z56" s="174"/>
      <c r="AA56" s="174"/>
      <c r="AB56" s="174"/>
      <c r="AC56" s="174"/>
      <c r="AD56" s="174"/>
      <c r="AE56" s="174"/>
      <c r="AF56" s="174"/>
    </row>
    <row r="57" spans="1:32" ht="1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P57" s="175" t="s">
        <v>520</v>
      </c>
      <c r="Q57" s="174"/>
      <c r="R57" s="178">
        <f>AF54/(Q49-Q50)</f>
        <v>193154.76989406382</v>
      </c>
      <c r="S57" s="174"/>
      <c r="T57" s="174"/>
      <c r="U57" s="174"/>
      <c r="V57" s="174"/>
      <c r="W57" s="174"/>
      <c r="X57" s="174"/>
      <c r="Y57" s="174"/>
      <c r="Z57" s="174"/>
      <c r="AA57" s="174"/>
      <c r="AB57" s="174"/>
      <c r="AC57" s="174"/>
      <c r="AD57" s="174"/>
      <c r="AE57" s="174"/>
      <c r="AF57" s="174"/>
    </row>
    <row r="58" spans="1:32" ht="16">
      <c r="A58" s="2" t="s">
        <v>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P58" s="175" t="s">
        <v>521</v>
      </c>
      <c r="Q58" s="174"/>
      <c r="R58" s="178">
        <f>R57*AF53</f>
        <v>127209.49534385793</v>
      </c>
      <c r="S58" s="174"/>
      <c r="T58" s="174"/>
      <c r="U58" s="174"/>
      <c r="V58" s="174"/>
      <c r="W58" s="174"/>
      <c r="X58" s="174"/>
      <c r="Y58" s="174"/>
      <c r="Z58" s="174"/>
      <c r="AA58" s="174"/>
      <c r="AB58" s="174"/>
      <c r="AC58" s="174"/>
      <c r="AD58" s="174"/>
      <c r="AE58" s="174"/>
      <c r="AF58" s="174"/>
    </row>
    <row r="59" spans="1:32" ht="16">
      <c r="A59" s="2"/>
      <c r="B59" s="2" t="s">
        <v>2</v>
      </c>
      <c r="C59" s="2" t="s">
        <v>3</v>
      </c>
      <c r="D59" s="2" t="s">
        <v>4</v>
      </c>
      <c r="E59" s="2" t="s">
        <v>5</v>
      </c>
      <c r="F59" s="2" t="s">
        <v>6</v>
      </c>
      <c r="G59" s="2" t="s">
        <v>7</v>
      </c>
      <c r="H59" s="2" t="s">
        <v>8</v>
      </c>
      <c r="I59" s="2" t="s">
        <v>9</v>
      </c>
      <c r="J59" s="2" t="s">
        <v>10</v>
      </c>
      <c r="K59" s="2" t="s">
        <v>11</v>
      </c>
      <c r="L59" s="2" t="s">
        <v>12</v>
      </c>
      <c r="P59" s="175" t="s">
        <v>522</v>
      </c>
      <c r="Q59" s="174"/>
      <c r="R59" s="178">
        <f>R58+R56</f>
        <v>171931.08038223401</v>
      </c>
      <c r="S59" s="174"/>
      <c r="T59" s="174"/>
      <c r="U59" s="174"/>
      <c r="V59" s="174"/>
      <c r="W59" s="174"/>
      <c r="X59" s="174"/>
      <c r="Y59" s="174"/>
      <c r="Z59" s="174"/>
      <c r="AA59" s="174"/>
      <c r="AB59" s="174"/>
      <c r="AC59" s="174"/>
      <c r="AD59" s="174"/>
      <c r="AE59" s="174"/>
      <c r="AF59" s="174"/>
    </row>
    <row r="60" spans="1:32" ht="16">
      <c r="A60" s="2"/>
      <c r="B60" s="2" t="s">
        <v>54</v>
      </c>
      <c r="C60" s="4">
        <v>4057</v>
      </c>
      <c r="D60" s="4">
        <v>4899</v>
      </c>
      <c r="E60" s="4">
        <v>4482</v>
      </c>
      <c r="F60" s="4">
        <v>5359</v>
      </c>
      <c r="G60" s="4">
        <v>5885</v>
      </c>
      <c r="H60" s="4">
        <v>5163</v>
      </c>
      <c r="I60" s="4">
        <v>5408</v>
      </c>
      <c r="J60" s="4">
        <v>2748</v>
      </c>
      <c r="K60" s="4">
        <v>6921</v>
      </c>
      <c r="L60" s="4">
        <v>6759</v>
      </c>
      <c r="P60" s="175" t="s">
        <v>523</v>
      </c>
      <c r="Q60" s="174"/>
      <c r="R60" s="178">
        <f>W38</f>
        <v>54433</v>
      </c>
      <c r="S60" s="174"/>
      <c r="T60" s="174"/>
      <c r="U60" s="174"/>
      <c r="V60" s="174"/>
      <c r="W60" s="174"/>
      <c r="X60" s="174"/>
      <c r="Y60" s="174"/>
      <c r="Z60" s="174"/>
      <c r="AA60" s="174"/>
      <c r="AB60" s="174"/>
      <c r="AC60" s="174"/>
      <c r="AD60" s="174"/>
      <c r="AE60" s="174"/>
      <c r="AF60" s="174"/>
    </row>
    <row r="61" spans="1:32" ht="16">
      <c r="A61" s="2"/>
      <c r="B61" s="2" t="s">
        <v>55</v>
      </c>
      <c r="C61" s="2">
        <v>917</v>
      </c>
      <c r="D61" s="2">
        <v>918</v>
      </c>
      <c r="E61" s="2">
        <v>991</v>
      </c>
      <c r="F61" s="4">
        <v>1020</v>
      </c>
      <c r="G61" s="4">
        <v>1012</v>
      </c>
      <c r="H61" s="4">
        <v>1043</v>
      </c>
      <c r="I61" s="4">
        <v>1095</v>
      </c>
      <c r="J61" s="4">
        <v>1321</v>
      </c>
      <c r="K61" s="4">
        <v>1293</v>
      </c>
      <c r="L61" s="4">
        <v>1188</v>
      </c>
      <c r="P61" s="175" t="s">
        <v>524</v>
      </c>
      <c r="Q61" s="174"/>
      <c r="R61" s="178">
        <f>R59-R60</f>
        <v>117498.08038223401</v>
      </c>
      <c r="S61" s="174"/>
      <c r="T61" s="174"/>
      <c r="U61" s="174"/>
      <c r="V61" s="174"/>
      <c r="W61" s="174"/>
      <c r="X61" s="174"/>
      <c r="Y61" s="174"/>
      <c r="Z61" s="174"/>
      <c r="AA61" s="174"/>
      <c r="AB61" s="174"/>
      <c r="AC61" s="174"/>
      <c r="AD61" s="174"/>
      <c r="AE61" s="174"/>
      <c r="AF61" s="174"/>
    </row>
    <row r="62" spans="1:32" ht="16">
      <c r="A62" s="2"/>
      <c r="B62" s="2" t="s">
        <v>73</v>
      </c>
      <c r="C62" s="4">
        <v>2207</v>
      </c>
      <c r="D62" s="4">
        <v>1112</v>
      </c>
      <c r="E62" s="4">
        <v>1712</v>
      </c>
      <c r="F62" s="4">
        <v>1832</v>
      </c>
      <c r="G62" s="4">
        <v>2044</v>
      </c>
      <c r="H62" s="4">
        <v>1988</v>
      </c>
      <c r="I62" s="4">
        <v>2026</v>
      </c>
      <c r="J62" s="4">
        <v>2760</v>
      </c>
      <c r="K62" s="4">
        <v>3352</v>
      </c>
      <c r="L62" s="4">
        <v>3573</v>
      </c>
      <c r="P62" s="175" t="s">
        <v>525</v>
      </c>
      <c r="Q62" s="174"/>
      <c r="R62" s="248">
        <v>804</v>
      </c>
      <c r="S62" s="174"/>
      <c r="T62" s="174"/>
      <c r="U62" s="174"/>
      <c r="V62" s="174"/>
      <c r="W62" s="174"/>
      <c r="X62" s="174"/>
      <c r="Y62" s="174"/>
      <c r="Z62" s="174"/>
      <c r="AA62" s="174"/>
      <c r="AB62" s="174"/>
      <c r="AC62" s="174"/>
      <c r="AD62" s="174"/>
      <c r="AE62" s="174"/>
      <c r="AF62" s="174"/>
    </row>
    <row r="63" spans="1:32" ht="16">
      <c r="A63" s="2"/>
      <c r="B63" s="2" t="s">
        <v>56</v>
      </c>
      <c r="C63" s="4">
        <v>1422</v>
      </c>
      <c r="D63" s="4">
        <v>1119</v>
      </c>
      <c r="E63" s="2">
        <v>252</v>
      </c>
      <c r="F63" s="2">
        <v>345</v>
      </c>
      <c r="G63" s="2">
        <v>-651</v>
      </c>
      <c r="H63" s="2">
        <v>741</v>
      </c>
      <c r="I63" s="2">
        <v>-878</v>
      </c>
      <c r="J63" s="4">
        <v>1064</v>
      </c>
      <c r="K63" s="2">
        <v>738</v>
      </c>
      <c r="L63" s="2">
        <v>709</v>
      </c>
      <c r="P63" s="177" t="s">
        <v>526</v>
      </c>
      <c r="Q63" s="176"/>
      <c r="R63" s="238">
        <f>R61/R62</f>
        <v>146.14189102267912</v>
      </c>
      <c r="S63" s="174"/>
      <c r="T63" s="174"/>
      <c r="U63" s="174"/>
      <c r="V63" s="174"/>
      <c r="W63" s="174"/>
      <c r="X63" s="174"/>
      <c r="Y63" s="174"/>
      <c r="Z63" s="174"/>
      <c r="AA63" s="174"/>
      <c r="AB63" s="174"/>
      <c r="AC63" s="174"/>
      <c r="AD63" s="174"/>
      <c r="AE63" s="174"/>
      <c r="AF63" s="174"/>
    </row>
    <row r="64" spans="1:32">
      <c r="A64" s="2"/>
      <c r="B64" s="2" t="s">
        <v>89</v>
      </c>
      <c r="C64" s="2">
        <v>126</v>
      </c>
      <c r="D64" s="4">
        <v>1720</v>
      </c>
      <c r="E64" s="2">
        <v>-355</v>
      </c>
      <c r="F64" s="2">
        <v>-9</v>
      </c>
      <c r="G64" s="4">
        <v>2700</v>
      </c>
      <c r="H64" s="4">
        <v>1771</v>
      </c>
      <c r="I64" s="2">
        <v>640</v>
      </c>
      <c r="J64" s="4">
        <v>5647</v>
      </c>
      <c r="K64" s="4">
        <v>-3374</v>
      </c>
      <c r="L64" s="4">
        <v>1403</v>
      </c>
    </row>
    <row r="65" spans="1:19" ht="16">
      <c r="A65" s="2"/>
      <c r="B65" s="5" t="s">
        <v>58</v>
      </c>
      <c r="C65" s="6">
        <v>8729</v>
      </c>
      <c r="D65" s="6">
        <v>9768</v>
      </c>
      <c r="E65" s="6">
        <v>7082</v>
      </c>
      <c r="F65" s="6">
        <v>8547</v>
      </c>
      <c r="G65" s="6">
        <v>10990</v>
      </c>
      <c r="H65" s="6">
        <v>10706</v>
      </c>
      <c r="I65" s="6">
        <v>8291</v>
      </c>
      <c r="J65" s="6">
        <v>13540</v>
      </c>
      <c r="K65" s="6">
        <v>8930</v>
      </c>
      <c r="L65" s="6">
        <v>13632</v>
      </c>
      <c r="P65" s="175" t="s">
        <v>527</v>
      </c>
      <c r="Q65" s="174"/>
      <c r="R65" s="178">
        <f>SUM(X54:AE54)</f>
        <v>44721.58503837607</v>
      </c>
      <c r="S65" s="174"/>
    </row>
    <row r="66" spans="1:19" ht="16">
      <c r="A66" s="2"/>
      <c r="B66" s="2" t="s">
        <v>59</v>
      </c>
      <c r="C66" s="2">
        <v>-878</v>
      </c>
      <c r="D66" s="4">
        <v>-1189</v>
      </c>
      <c r="E66" s="4">
        <v>-1053</v>
      </c>
      <c r="F66" s="4">
        <v>-1006</v>
      </c>
      <c r="G66" s="4">
        <v>-1195</v>
      </c>
      <c r="H66" s="4">
        <v>-1341</v>
      </c>
      <c r="I66" s="4">
        <v>-1375</v>
      </c>
      <c r="J66" s="4">
        <v>-1062</v>
      </c>
      <c r="K66" s="4">
        <v>-1310</v>
      </c>
      <c r="L66" s="4">
        <v>-1645</v>
      </c>
      <c r="P66" s="175" t="s">
        <v>520</v>
      </c>
      <c r="Q66" s="174"/>
      <c r="R66" s="178">
        <f>AF54*S66</f>
        <v>154040.36291069555</v>
      </c>
      <c r="S66" s="249">
        <v>29</v>
      </c>
    </row>
    <row r="67" spans="1:19" ht="16">
      <c r="A67" s="2"/>
      <c r="B67" s="2" t="s">
        <v>90</v>
      </c>
      <c r="C67" s="4">
        <v>6458</v>
      </c>
      <c r="D67" s="4">
        <v>6092</v>
      </c>
      <c r="E67" s="4">
        <v>1614</v>
      </c>
      <c r="F67" s="2">
        <v>161</v>
      </c>
      <c r="G67" s="4">
        <v>1462</v>
      </c>
      <c r="H67" s="2">
        <v>390</v>
      </c>
      <c r="I67" s="2">
        <v>365</v>
      </c>
      <c r="J67" s="2">
        <v>-116</v>
      </c>
      <c r="K67" s="4">
        <v>-1931</v>
      </c>
      <c r="L67" s="4">
        <v>-3815</v>
      </c>
      <c r="P67" s="175" t="s">
        <v>521</v>
      </c>
      <c r="Q67" s="174"/>
      <c r="R67" s="178">
        <f>R66*AF53</f>
        <v>101449.19972311039</v>
      </c>
      <c r="S67" s="174"/>
    </row>
    <row r="68" spans="1:19" ht="16">
      <c r="A68" s="2"/>
      <c r="B68" s="2" t="s">
        <v>91</v>
      </c>
      <c r="C68" s="4">
        <v>-6389</v>
      </c>
      <c r="D68" s="4">
        <v>-8358</v>
      </c>
      <c r="E68" s="4">
        <v>-6671</v>
      </c>
      <c r="F68" s="4">
        <v>-6301</v>
      </c>
      <c r="G68" s="4">
        <v>-8077</v>
      </c>
      <c r="H68" s="4">
        <v>-6967</v>
      </c>
      <c r="I68" s="4">
        <v>3220</v>
      </c>
      <c r="J68" s="4">
        <v>-16853</v>
      </c>
      <c r="K68" s="4">
        <v>-15854</v>
      </c>
      <c r="L68" s="4">
        <v>-11047</v>
      </c>
      <c r="P68" s="175" t="s">
        <v>522</v>
      </c>
      <c r="Q68" s="174"/>
      <c r="R68" s="178">
        <f>R65+R67</f>
        <v>146170.78476148646</v>
      </c>
      <c r="S68" s="174"/>
    </row>
    <row r="69" spans="1:19" ht="16">
      <c r="A69" s="2"/>
      <c r="B69" s="2" t="s">
        <v>61</v>
      </c>
      <c r="C69" s="2">
        <v>-400</v>
      </c>
      <c r="D69" s="2">
        <v>-610</v>
      </c>
      <c r="E69" s="2">
        <v>-466</v>
      </c>
      <c r="F69" s="2">
        <v>-195</v>
      </c>
      <c r="G69" s="2">
        <v>-229</v>
      </c>
      <c r="H69" s="2">
        <v>-155</v>
      </c>
      <c r="I69" s="2">
        <v>-487</v>
      </c>
      <c r="J69" s="2">
        <v>-211</v>
      </c>
      <c r="K69" s="2">
        <v>-520</v>
      </c>
      <c r="L69" s="2">
        <v>-352</v>
      </c>
      <c r="P69" s="175" t="s">
        <v>523</v>
      </c>
      <c r="Q69" s="174"/>
      <c r="R69" s="178">
        <f>W38</f>
        <v>54433</v>
      </c>
      <c r="S69" s="170"/>
    </row>
    <row r="70" spans="1:19" ht="16">
      <c r="A70" s="2"/>
      <c r="B70" s="2" t="s">
        <v>62</v>
      </c>
      <c r="C70" s="2">
        <v>-20</v>
      </c>
      <c r="D70" s="4">
        <v>3574</v>
      </c>
      <c r="E70" s="2">
        <v>31</v>
      </c>
      <c r="F70" s="2">
        <v>72</v>
      </c>
      <c r="G70" s="2">
        <v>72</v>
      </c>
      <c r="H70" s="2">
        <v>-120</v>
      </c>
      <c r="I70" s="2">
        <v>145</v>
      </c>
      <c r="J70" s="2"/>
      <c r="K70" s="2"/>
      <c r="L70" s="2">
        <v>152</v>
      </c>
      <c r="P70" s="175" t="s">
        <v>524</v>
      </c>
      <c r="Q70" s="174"/>
      <c r="R70" s="178">
        <f>R68-R69</f>
        <v>91737.784761486459</v>
      </c>
      <c r="S70" s="170"/>
    </row>
    <row r="71" spans="1:19" ht="16">
      <c r="A71" s="2"/>
      <c r="B71" s="5" t="s">
        <v>63</v>
      </c>
      <c r="C71" s="6">
        <v>-1229</v>
      </c>
      <c r="D71" s="5">
        <v>-491</v>
      </c>
      <c r="E71" s="6">
        <v>-6545</v>
      </c>
      <c r="F71" s="6">
        <v>-7269</v>
      </c>
      <c r="G71" s="6">
        <v>-7967</v>
      </c>
      <c r="H71" s="6">
        <v>-8193</v>
      </c>
      <c r="I71" s="6">
        <v>1868</v>
      </c>
      <c r="J71" s="6">
        <v>-18242</v>
      </c>
      <c r="K71" s="6">
        <v>-19615</v>
      </c>
      <c r="L71" s="6">
        <v>-16707</v>
      </c>
      <c r="P71" s="175" t="s">
        <v>525</v>
      </c>
      <c r="Q71" s="174"/>
      <c r="R71" s="250">
        <f>R62</f>
        <v>804</v>
      </c>
      <c r="S71" s="170"/>
    </row>
    <row r="72" spans="1:19" ht="16">
      <c r="A72" s="2"/>
      <c r="B72" s="2" t="s">
        <v>64</v>
      </c>
      <c r="C72" s="2">
        <v>-867</v>
      </c>
      <c r="D72" s="2">
        <v>-861</v>
      </c>
      <c r="E72" s="2">
        <v>-902</v>
      </c>
      <c r="F72" s="2">
        <v>-939</v>
      </c>
      <c r="G72" s="4">
        <v>-1041</v>
      </c>
      <c r="H72" s="4">
        <v>-1172</v>
      </c>
      <c r="I72" s="4">
        <v>-1207</v>
      </c>
      <c r="J72" s="4">
        <v>-1251</v>
      </c>
      <c r="K72" s="4">
        <v>-1324</v>
      </c>
      <c r="L72" s="4">
        <v>-1422</v>
      </c>
      <c r="P72" s="177" t="s">
        <v>526</v>
      </c>
      <c r="Q72" s="176"/>
      <c r="R72" s="238">
        <f>R70/R71</f>
        <v>114.10172234015728</v>
      </c>
      <c r="S72" s="170"/>
    </row>
    <row r="73" spans="1:19">
      <c r="A73" s="2"/>
      <c r="B73" s="2" t="s">
        <v>65</v>
      </c>
      <c r="C73" s="4">
        <v>-10490</v>
      </c>
      <c r="D73" s="4">
        <v>-6342</v>
      </c>
      <c r="E73" s="4">
        <v>-1157</v>
      </c>
      <c r="F73" s="2">
        <v>-925</v>
      </c>
      <c r="G73" s="4">
        <v>1878</v>
      </c>
      <c r="H73" s="4">
        <v>-7928</v>
      </c>
      <c r="I73" s="2">
        <v>-136</v>
      </c>
      <c r="J73" s="4">
        <v>6382</v>
      </c>
      <c r="K73" s="4">
        <v>2481</v>
      </c>
      <c r="L73" s="4">
        <v>2172</v>
      </c>
      <c r="P73" s="2"/>
    </row>
    <row r="74" spans="1:19">
      <c r="A74" s="2"/>
      <c r="B74" s="2" t="s">
        <v>66</v>
      </c>
      <c r="C74" s="2">
        <v>73</v>
      </c>
      <c r="D74" s="4">
        <v>-1706</v>
      </c>
      <c r="E74" s="4">
        <v>-3509</v>
      </c>
      <c r="F74" s="4">
        <v>-3222</v>
      </c>
      <c r="G74" s="4">
        <v>-3285</v>
      </c>
      <c r="H74" s="4">
        <v>-3541</v>
      </c>
      <c r="I74" s="4">
        <v>-4321</v>
      </c>
      <c r="J74" s="4">
        <v>-4271</v>
      </c>
      <c r="K74" s="4">
        <v>-1598</v>
      </c>
      <c r="L74" s="4">
        <v>-4599</v>
      </c>
    </row>
    <row r="75" spans="1:19">
      <c r="A75" s="2"/>
      <c r="B75" s="2" t="s">
        <v>92</v>
      </c>
      <c r="C75" s="4">
        <v>3406</v>
      </c>
      <c r="D75" s="4">
        <v>8232</v>
      </c>
      <c r="E75" s="4">
        <v>2300</v>
      </c>
      <c r="F75" s="4">
        <v>1195</v>
      </c>
      <c r="G75" s="4">
        <v>2459</v>
      </c>
      <c r="H75" s="4">
        <v>10878</v>
      </c>
      <c r="I75" s="4">
        <v>-1935</v>
      </c>
      <c r="J75" s="4">
        <v>11385</v>
      </c>
      <c r="K75" s="4">
        <v>5542</v>
      </c>
      <c r="L75" s="4">
        <v>3330</v>
      </c>
    </row>
    <row r="76" spans="1:19">
      <c r="A76" s="2"/>
      <c r="B76" s="5" t="s">
        <v>68</v>
      </c>
      <c r="C76" s="6">
        <v>-7878</v>
      </c>
      <c r="D76" s="5">
        <v>-677</v>
      </c>
      <c r="E76" s="6">
        <v>-3268</v>
      </c>
      <c r="F76" s="6">
        <v>-3891</v>
      </c>
      <c r="G76" s="5">
        <v>11</v>
      </c>
      <c r="H76" s="6">
        <v>-1763</v>
      </c>
      <c r="I76" s="6">
        <v>-7599</v>
      </c>
      <c r="J76" s="6">
        <v>12245</v>
      </c>
      <c r="K76" s="6">
        <v>5101</v>
      </c>
      <c r="L76" s="5">
        <v>-519</v>
      </c>
    </row>
    <row r="77" spans="1:19">
      <c r="A77" s="2"/>
      <c r="B77" s="2" t="s">
        <v>69</v>
      </c>
      <c r="C77" s="2">
        <v>-378</v>
      </c>
      <c r="D77" s="4">
        <v>8600</v>
      </c>
      <c r="E77" s="4">
        <v>-2731</v>
      </c>
      <c r="F77" s="4">
        <v>-2613</v>
      </c>
      <c r="G77" s="4">
        <v>3034</v>
      </c>
      <c r="H77" s="2">
        <v>750</v>
      </c>
      <c r="I77" s="4">
        <v>2560</v>
      </c>
      <c r="J77" s="4">
        <v>7543</v>
      </c>
      <c r="K77" s="4">
        <v>-5584</v>
      </c>
      <c r="L77" s="4">
        <v>-3594</v>
      </c>
    </row>
    <row r="78" spans="1:19">
      <c r="A78" s="2"/>
      <c r="B78" s="2" t="s">
        <v>70</v>
      </c>
      <c r="C78" s="2">
        <v>135</v>
      </c>
      <c r="D78" s="2">
        <v>-63</v>
      </c>
      <c r="E78" s="2">
        <v>88</v>
      </c>
      <c r="F78" s="2">
        <v>-151</v>
      </c>
      <c r="G78" s="2">
        <v>-232</v>
      </c>
      <c r="H78" s="2">
        <v>-276</v>
      </c>
      <c r="I78" s="2">
        <v>-114</v>
      </c>
      <c r="J78" s="2">
        <v>226</v>
      </c>
      <c r="K78" s="2">
        <v>129</v>
      </c>
      <c r="L78" s="2">
        <v>232</v>
      </c>
    </row>
    <row r="79" spans="1:19">
      <c r="A79" s="2"/>
      <c r="B79" s="5" t="s">
        <v>71</v>
      </c>
      <c r="C79" s="5">
        <v>-243</v>
      </c>
      <c r="D79" s="6">
        <v>8537</v>
      </c>
      <c r="E79" s="6">
        <v>-2643</v>
      </c>
      <c r="F79" s="6">
        <v>-2764</v>
      </c>
      <c r="G79" s="6">
        <v>2802</v>
      </c>
      <c r="H79" s="5">
        <v>474</v>
      </c>
      <c r="I79" s="6">
        <v>2446</v>
      </c>
      <c r="J79" s="6">
        <v>7769</v>
      </c>
      <c r="K79" s="6">
        <v>-5455</v>
      </c>
      <c r="L79" s="6">
        <v>-3362</v>
      </c>
    </row>
  </sheetData>
  <mergeCells count="1">
    <mergeCell ref="C1:L1"/>
  </mergeCells>
  <conditionalFormatting sqref="Q65:R72">
    <cfRule type="top10" dxfId="0" priority="1" percent="1" rank="10"/>
  </conditionalFormatting>
  <pageMargins left="0.7" right="0.7" top="0.75" bottom="0.75" header="0.3" footer="0.3"/>
  <ignoredErrors>
    <ignoredError sqref="D5:L7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G11"/>
  <sheetViews>
    <sheetView showGridLines="0" topLeftCell="B1" zoomScale="150" workbookViewId="0">
      <selection activeCell="G11" sqref="D7:G11"/>
    </sheetView>
  </sheetViews>
  <sheetFormatPr baseColWidth="10" defaultColWidth="10.83203125" defaultRowHeight="15"/>
  <sheetData>
    <row r="7" spans="4:7">
      <c r="D7" s="88" t="s">
        <v>277</v>
      </c>
      <c r="E7" s="89" t="s">
        <v>453</v>
      </c>
      <c r="F7" s="89" t="s">
        <v>454</v>
      </c>
      <c r="G7" s="89" t="s">
        <v>452</v>
      </c>
    </row>
    <row r="8" spans="4:7">
      <c r="D8" s="90" t="s">
        <v>269</v>
      </c>
      <c r="E8" s="91">
        <f>'VISA INC'!L55</f>
        <v>16558</v>
      </c>
      <c r="F8" s="91">
        <f>'VISA INC'!L66</f>
        <v>34855</v>
      </c>
      <c r="G8" s="92">
        <f>E8/F11</f>
        <v>0.71769754236920813</v>
      </c>
    </row>
    <row r="9" spans="4:7">
      <c r="D9" s="89" t="s">
        <v>107</v>
      </c>
      <c r="E9" s="91">
        <f>Mastercard!L53</f>
        <v>8527</v>
      </c>
      <c r="F9" s="91">
        <f>Mastercard!L63</f>
        <v>5991</v>
      </c>
      <c r="G9" s="92">
        <f t="shared" ref="G9:G11" si="0">E9/F9</f>
        <v>1.4233016190953096</v>
      </c>
    </row>
    <row r="10" spans="4:7">
      <c r="D10" s="89" t="s">
        <v>108</v>
      </c>
      <c r="E10" s="91">
        <f>PayPal!H49</f>
        <v>4965</v>
      </c>
      <c r="F10" s="91">
        <f>PayPal!H60</f>
        <v>16929</v>
      </c>
      <c r="G10" s="92">
        <f t="shared" si="0"/>
        <v>0.29328371433634592</v>
      </c>
    </row>
    <row r="11" spans="4:7">
      <c r="D11" s="89" t="s">
        <v>268</v>
      </c>
      <c r="E11" s="91">
        <f>AMEX!L47+AMEX!L46</f>
        <v>64277</v>
      </c>
      <c r="F11" s="91">
        <f>AMEX!L55</f>
        <v>23071</v>
      </c>
      <c r="G11" s="92">
        <f t="shared" si="0"/>
        <v>2.7860517532833429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G38"/>
  <sheetViews>
    <sheetView workbookViewId="0">
      <selection activeCell="E42" sqref="E42"/>
    </sheetView>
  </sheetViews>
  <sheetFormatPr baseColWidth="10" defaultColWidth="10.83203125" defaultRowHeight="15"/>
  <cols>
    <col min="3" max="3" width="20.1640625" customWidth="1"/>
    <col min="4" max="4" width="28" customWidth="1"/>
    <col min="5" max="5" width="33.5" customWidth="1"/>
    <col min="6" max="6" width="20.1640625" customWidth="1"/>
    <col min="7" max="7" width="28" customWidth="1"/>
  </cols>
  <sheetData>
    <row r="4" spans="3:7">
      <c r="C4" s="26" t="s">
        <v>278</v>
      </c>
      <c r="D4" s="26" t="s">
        <v>290</v>
      </c>
      <c r="E4" s="26" t="s">
        <v>291</v>
      </c>
      <c r="F4" s="26" t="s">
        <v>292</v>
      </c>
      <c r="G4" s="26" t="s">
        <v>293</v>
      </c>
    </row>
    <row r="5" spans="3:7">
      <c r="C5" s="26" t="s">
        <v>283</v>
      </c>
      <c r="D5" s="29">
        <v>62.624652862548828</v>
      </c>
      <c r="E5" s="29">
        <v>5438</v>
      </c>
      <c r="F5" s="29">
        <v>2.4927801971120789</v>
      </c>
      <c r="G5" s="29">
        <v>25.122412692101925</v>
      </c>
    </row>
    <row r="6" spans="3:7">
      <c r="C6" s="26" t="s">
        <v>284</v>
      </c>
      <c r="D6" s="29">
        <v>74.802024841308594</v>
      </c>
      <c r="E6" s="29">
        <v>6328</v>
      </c>
      <c r="F6" s="29">
        <v>2.9007563603025441</v>
      </c>
      <c r="G6" s="29">
        <v>25.787076041611044</v>
      </c>
    </row>
    <row r="7" spans="3:7">
      <c r="C7" s="26" t="s">
        <v>285</v>
      </c>
      <c r="D7" s="29">
        <v>76.43585205078125</v>
      </c>
      <c r="E7" s="29">
        <v>5991</v>
      </c>
      <c r="F7" s="29">
        <v>2.7462754985101996</v>
      </c>
      <c r="G7" s="29">
        <v>27.832550700847818</v>
      </c>
    </row>
    <row r="8" spans="3:7">
      <c r="C8" s="26" t="s">
        <v>286</v>
      </c>
      <c r="D8" s="29">
        <v>110.52744293212891</v>
      </c>
      <c r="E8" s="29">
        <v>6699</v>
      </c>
      <c r="F8" s="29">
        <v>3.0708228283291312</v>
      </c>
      <c r="G8" s="29">
        <v>35.992777542385312</v>
      </c>
    </row>
    <row r="9" spans="3:7">
      <c r="C9" s="26" t="s">
        <v>287</v>
      </c>
      <c r="D9" s="29">
        <v>130.23448181152344</v>
      </c>
      <c r="E9" s="29">
        <v>10301</v>
      </c>
      <c r="F9" s="29">
        <v>4.7219802887921158</v>
      </c>
      <c r="G9" s="29">
        <v>27.580479766220595</v>
      </c>
    </row>
    <row r="10" spans="3:7">
      <c r="C10" s="26" t="s">
        <v>288</v>
      </c>
      <c r="D10" s="29">
        <v>186.27021789550781</v>
      </c>
      <c r="E10" s="29">
        <v>12080</v>
      </c>
      <c r="F10" s="29">
        <v>5.5374742149896861</v>
      </c>
      <c r="G10" s="29">
        <v>33.638119233365089</v>
      </c>
    </row>
    <row r="11" spans="3:7">
      <c r="C11" s="26" t="s">
        <v>289</v>
      </c>
      <c r="D11" s="29">
        <v>169.44000244140625</v>
      </c>
      <c r="E11" s="29">
        <v>12080</v>
      </c>
      <c r="F11" s="29">
        <v>5.5374742149896861</v>
      </c>
      <c r="G11" s="29">
        <v>30.598788520358255</v>
      </c>
    </row>
    <row r="12" spans="3:7">
      <c r="D12" s="85"/>
      <c r="E12" s="85"/>
      <c r="F12" s="85"/>
      <c r="G12" s="85"/>
    </row>
    <row r="13" spans="3:7">
      <c r="C13" s="26" t="s">
        <v>278</v>
      </c>
      <c r="D13" s="36" t="s">
        <v>294</v>
      </c>
      <c r="E13" s="36" t="s">
        <v>296</v>
      </c>
      <c r="F13" s="36" t="s">
        <v>298</v>
      </c>
      <c r="G13" s="36" t="s">
        <v>300</v>
      </c>
    </row>
    <row r="14" spans="3:7">
      <c r="C14" s="26" t="s">
        <v>283</v>
      </c>
      <c r="D14" s="29">
        <v>1</v>
      </c>
      <c r="E14" s="29">
        <v>419</v>
      </c>
      <c r="F14" s="29">
        <v>0.36</v>
      </c>
      <c r="G14" s="29">
        <v>2.8</v>
      </c>
    </row>
    <row r="15" spans="3:7">
      <c r="C15" s="26" t="s">
        <v>284</v>
      </c>
      <c r="D15" s="29">
        <v>36.08</v>
      </c>
      <c r="E15" s="29">
        <v>1228</v>
      </c>
      <c r="F15" s="29">
        <v>1.05</v>
      </c>
      <c r="G15" s="29">
        <v>34.49</v>
      </c>
    </row>
    <row r="16" spans="3:7">
      <c r="C16" s="26" t="s">
        <v>285</v>
      </c>
      <c r="D16" s="29">
        <v>39.44</v>
      </c>
      <c r="E16" s="29">
        <v>1401</v>
      </c>
      <c r="F16" s="29">
        <v>1.19</v>
      </c>
      <c r="G16" s="29">
        <v>33.049999999999997</v>
      </c>
    </row>
    <row r="17" spans="3:7">
      <c r="C17" s="26" t="s">
        <v>286</v>
      </c>
      <c r="D17" s="29">
        <v>74.5</v>
      </c>
      <c r="E17" s="29">
        <v>1795</v>
      </c>
      <c r="F17" s="29">
        <v>1.53</v>
      </c>
      <c r="G17" s="29">
        <v>48.73</v>
      </c>
    </row>
    <row r="18" spans="3:7">
      <c r="C18" s="26" t="s">
        <v>287</v>
      </c>
      <c r="D18" s="29">
        <v>84.03</v>
      </c>
      <c r="E18" s="29">
        <v>2057</v>
      </c>
      <c r="F18" s="29">
        <v>1.75</v>
      </c>
      <c r="G18" s="29">
        <v>47.96</v>
      </c>
    </row>
    <row r="19" spans="3:7">
      <c r="C19" s="26" t="s">
        <v>288</v>
      </c>
      <c r="D19" s="29">
        <v>108.88</v>
      </c>
      <c r="E19" s="29">
        <v>2459</v>
      </c>
      <c r="F19" s="29">
        <v>2.09</v>
      </c>
      <c r="G19" s="29">
        <v>51.98</v>
      </c>
    </row>
    <row r="20" spans="3:7">
      <c r="C20" s="26" t="s">
        <v>289</v>
      </c>
      <c r="D20" s="29">
        <v>101.67</v>
      </c>
      <c r="E20" s="29">
        <v>2459</v>
      </c>
      <c r="F20" s="29">
        <v>2.09</v>
      </c>
      <c r="G20" s="29">
        <v>48.54</v>
      </c>
    </row>
    <row r="21" spans="3:7">
      <c r="D21" s="85"/>
      <c r="E21" s="85"/>
      <c r="F21" s="85"/>
      <c r="G21" s="85"/>
    </row>
    <row r="22" spans="3:7">
      <c r="C22" s="26" t="s">
        <v>278</v>
      </c>
      <c r="D22" s="36" t="s">
        <v>279</v>
      </c>
      <c r="E22" s="36" t="s">
        <v>280</v>
      </c>
      <c r="F22" s="36" t="s">
        <v>281</v>
      </c>
      <c r="G22" s="36" t="s">
        <v>282</v>
      </c>
    </row>
    <row r="23" spans="3:7">
      <c r="C23" s="26" t="s">
        <v>283</v>
      </c>
      <c r="D23" s="29">
        <v>83.47</v>
      </c>
      <c r="E23" s="29">
        <v>3617</v>
      </c>
      <c r="F23" s="29">
        <v>1.66</v>
      </c>
      <c r="G23" s="29">
        <v>50.35</v>
      </c>
    </row>
    <row r="24" spans="3:7">
      <c r="C24" s="26" t="s">
        <v>284</v>
      </c>
      <c r="D24" s="29">
        <v>94.38</v>
      </c>
      <c r="E24" s="29">
        <v>3808</v>
      </c>
      <c r="F24" s="29">
        <v>1.75</v>
      </c>
      <c r="G24" s="29">
        <v>54.07</v>
      </c>
    </row>
    <row r="25" spans="3:7">
      <c r="C25" s="26" t="s">
        <v>285</v>
      </c>
      <c r="D25" s="29">
        <v>101.52</v>
      </c>
      <c r="E25" s="29">
        <v>4059</v>
      </c>
      <c r="F25" s="29">
        <v>1.86</v>
      </c>
      <c r="G25" s="29">
        <v>54.56</v>
      </c>
    </row>
    <row r="26" spans="3:7">
      <c r="C26" s="26" t="s">
        <v>286</v>
      </c>
      <c r="D26" s="29">
        <v>149.83000000000001</v>
      </c>
      <c r="E26" s="29">
        <v>3915</v>
      </c>
      <c r="F26" s="29">
        <v>1.79</v>
      </c>
      <c r="G26" s="29">
        <v>83.49</v>
      </c>
    </row>
    <row r="27" spans="3:7">
      <c r="C27" s="26" t="s">
        <v>287</v>
      </c>
      <c r="D27" s="29">
        <v>185.84</v>
      </c>
      <c r="E27" s="29">
        <v>5859</v>
      </c>
      <c r="F27" s="29">
        <v>2.69</v>
      </c>
      <c r="G27" s="29">
        <v>69.19</v>
      </c>
    </row>
    <row r="28" spans="3:7">
      <c r="C28" s="26" t="s">
        <v>288</v>
      </c>
      <c r="D28" s="29">
        <v>297.13</v>
      </c>
      <c r="E28" s="29">
        <v>8118</v>
      </c>
      <c r="F28" s="29">
        <v>3.72</v>
      </c>
      <c r="G28" s="29">
        <v>79.849999999999994</v>
      </c>
    </row>
    <row r="29" spans="3:7">
      <c r="C29" s="26" t="s">
        <v>289</v>
      </c>
      <c r="D29" s="29">
        <v>265.94</v>
      </c>
      <c r="E29" s="29">
        <v>8118</v>
      </c>
      <c r="F29" s="29">
        <v>7.98</v>
      </c>
      <c r="G29" s="29">
        <v>33.32</v>
      </c>
    </row>
    <row r="30" spans="3:7">
      <c r="D30" s="85"/>
      <c r="E30" s="85"/>
      <c r="F30" s="85"/>
      <c r="G30" s="85"/>
    </row>
    <row r="31" spans="3:7">
      <c r="C31" s="26" t="s">
        <v>278</v>
      </c>
      <c r="D31" s="36" t="s">
        <v>295</v>
      </c>
      <c r="E31" s="36" t="s">
        <v>297</v>
      </c>
      <c r="F31" s="36" t="s">
        <v>299</v>
      </c>
      <c r="G31" s="86" t="s">
        <v>301</v>
      </c>
    </row>
    <row r="32" spans="3:7">
      <c r="C32" s="26" t="s">
        <v>283</v>
      </c>
      <c r="D32" s="29">
        <v>85.158363342285156</v>
      </c>
      <c r="E32" s="29">
        <v>5885</v>
      </c>
      <c r="F32" s="29">
        <v>7.1074879227053138</v>
      </c>
      <c r="G32" s="29">
        <v>11.981499549262891</v>
      </c>
    </row>
    <row r="33" spans="3:7">
      <c r="C33" s="26" t="s">
        <v>284</v>
      </c>
      <c r="D33" s="29">
        <v>63.5704345703125</v>
      </c>
      <c r="E33" s="29">
        <v>5163</v>
      </c>
      <c r="F33" s="29">
        <v>6.2355072463768115</v>
      </c>
      <c r="G33" s="29">
        <v>10.194909902037333</v>
      </c>
    </row>
    <row r="34" spans="3:7">
      <c r="C34" s="26" t="s">
        <v>285</v>
      </c>
      <c r="D34" s="29">
        <v>70.632011413574219</v>
      </c>
      <c r="E34" s="29">
        <v>5408</v>
      </c>
      <c r="F34" s="29">
        <v>6.5314009661835746</v>
      </c>
      <c r="G34" s="29">
        <v>10.814220682403745</v>
      </c>
    </row>
    <row r="35" spans="3:7">
      <c r="C35" s="26" t="s">
        <v>286</v>
      </c>
      <c r="D35" s="29">
        <v>95.451751708984375</v>
      </c>
      <c r="E35" s="29">
        <v>2748</v>
      </c>
      <c r="F35" s="29">
        <v>3.318840579710145</v>
      </c>
      <c r="G35" s="29">
        <v>28.760571475632847</v>
      </c>
    </row>
    <row r="36" spans="3:7">
      <c r="C36" s="26" t="s">
        <v>287</v>
      </c>
      <c r="D36" s="29">
        <v>96.470428466796875</v>
      </c>
      <c r="E36" s="29">
        <v>6921</v>
      </c>
      <c r="F36" s="29">
        <v>8.3586956521739122</v>
      </c>
      <c r="G36" s="29">
        <v>11.541325642321604</v>
      </c>
    </row>
    <row r="37" spans="3:7">
      <c r="C37" s="26" t="s">
        <v>288</v>
      </c>
      <c r="D37" s="29">
        <v>123.71162414550781</v>
      </c>
      <c r="E37" s="29">
        <v>6440</v>
      </c>
      <c r="F37" s="29">
        <v>7.7777777777777777</v>
      </c>
      <c r="G37" s="29">
        <v>15.905780247279576</v>
      </c>
    </row>
    <row r="38" spans="3:7">
      <c r="C38" s="26" t="s">
        <v>289</v>
      </c>
      <c r="D38" s="29">
        <v>83.870002746582031</v>
      </c>
      <c r="E38" s="29">
        <v>6440</v>
      </c>
      <c r="F38" s="29">
        <v>7.7777777777777777</v>
      </c>
      <c r="G38" s="29">
        <v>10.78328606741769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72"/>
  <sheetViews>
    <sheetView topLeftCell="A15" zoomScale="125" workbookViewId="0">
      <selection activeCell="L43" sqref="L43"/>
    </sheetView>
  </sheetViews>
  <sheetFormatPr baseColWidth="10" defaultColWidth="10.83203125" defaultRowHeight="15"/>
  <cols>
    <col min="3" max="3" width="22.5" bestFit="1" customWidth="1"/>
    <col min="4" max="4" width="25" bestFit="1" customWidth="1"/>
    <col min="8" max="8" width="42.1640625" bestFit="1" customWidth="1"/>
    <col min="9" max="9" width="19.33203125" bestFit="1" customWidth="1"/>
    <col min="10" max="10" width="8.6640625" bestFit="1" customWidth="1"/>
    <col min="11" max="13" width="8.1640625" bestFit="1" customWidth="1"/>
  </cols>
  <sheetData>
    <row r="3" spans="3:13">
      <c r="C3" s="11" t="s">
        <v>110</v>
      </c>
      <c r="D3" s="11">
        <v>168.59</v>
      </c>
      <c r="H3" s="263"/>
      <c r="I3" s="46" t="s">
        <v>337</v>
      </c>
      <c r="J3" s="264">
        <v>43830</v>
      </c>
      <c r="K3" s="264">
        <v>43738</v>
      </c>
      <c r="L3" s="264">
        <v>43646</v>
      </c>
      <c r="M3" s="264">
        <v>43555</v>
      </c>
    </row>
    <row r="4" spans="3:13">
      <c r="C4" s="11" t="s">
        <v>111</v>
      </c>
      <c r="D4" s="11">
        <v>171.01</v>
      </c>
      <c r="H4" s="263"/>
      <c r="I4" s="46" t="s">
        <v>129</v>
      </c>
      <c r="J4" s="264"/>
      <c r="K4" s="264"/>
      <c r="L4" s="264"/>
      <c r="M4" s="264"/>
    </row>
    <row r="5" spans="3:13">
      <c r="C5" s="11" t="s">
        <v>112</v>
      </c>
      <c r="D5" s="11" t="s">
        <v>333</v>
      </c>
      <c r="H5" s="11" t="s">
        <v>130</v>
      </c>
      <c r="I5" s="11" t="s">
        <v>338</v>
      </c>
      <c r="J5" s="11" t="s">
        <v>131</v>
      </c>
      <c r="K5" s="11" t="s">
        <v>132</v>
      </c>
      <c r="L5" s="11" t="s">
        <v>133</v>
      </c>
      <c r="M5" s="11" t="s">
        <v>134</v>
      </c>
    </row>
    <row r="6" spans="3:13">
      <c r="C6" s="11" t="s">
        <v>113</v>
      </c>
      <c r="D6" s="11" t="s">
        <v>334</v>
      </c>
      <c r="H6" s="11" t="s">
        <v>135</v>
      </c>
      <c r="I6" s="11" t="s">
        <v>339</v>
      </c>
      <c r="J6" s="11" t="s">
        <v>136</v>
      </c>
      <c r="K6" s="11" t="s">
        <v>137</v>
      </c>
      <c r="L6" s="11" t="s">
        <v>138</v>
      </c>
      <c r="M6" s="11" t="s">
        <v>139</v>
      </c>
    </row>
    <row r="7" spans="3:13">
      <c r="C7" s="11" t="s">
        <v>114</v>
      </c>
      <c r="D7" s="11" t="s">
        <v>335</v>
      </c>
      <c r="H7" s="11" t="s">
        <v>140</v>
      </c>
      <c r="I7" s="11">
        <v>30.76</v>
      </c>
      <c r="J7" s="11">
        <v>35.32</v>
      </c>
      <c r="K7" s="11">
        <v>33.08</v>
      </c>
      <c r="L7" s="11">
        <v>35.86</v>
      </c>
      <c r="M7" s="11">
        <v>33.590000000000003</v>
      </c>
    </row>
    <row r="8" spans="3:13">
      <c r="C8" s="11" t="s">
        <v>115</v>
      </c>
      <c r="D8" s="11" t="s">
        <v>116</v>
      </c>
      <c r="H8" s="11" t="s">
        <v>141</v>
      </c>
      <c r="I8" s="11">
        <v>30.67</v>
      </c>
      <c r="J8" s="11">
        <v>30.12</v>
      </c>
      <c r="K8" s="11">
        <v>27.47</v>
      </c>
      <c r="L8" s="11">
        <v>28.01</v>
      </c>
      <c r="M8" s="11">
        <v>29.41</v>
      </c>
    </row>
    <row r="9" spans="3:13">
      <c r="C9" s="11" t="s">
        <v>117</v>
      </c>
      <c r="D9" s="12">
        <v>10533389</v>
      </c>
      <c r="H9" s="11" t="s">
        <v>142</v>
      </c>
      <c r="I9" s="11">
        <v>2.15</v>
      </c>
      <c r="J9" s="11">
        <v>2.06</v>
      </c>
      <c r="K9" s="11">
        <v>1.9</v>
      </c>
      <c r="L9" s="11">
        <v>1.93</v>
      </c>
      <c r="M9" s="11">
        <v>2.0299999999999998</v>
      </c>
    </row>
    <row r="10" spans="3:13">
      <c r="C10" s="11" t="s">
        <v>118</v>
      </c>
      <c r="D10" s="12">
        <v>13488353</v>
      </c>
      <c r="H10" s="11" t="s">
        <v>143</v>
      </c>
      <c r="I10" s="11">
        <v>16.190000000000001</v>
      </c>
      <c r="J10" s="11">
        <v>18.579999999999998</v>
      </c>
      <c r="K10" s="11">
        <v>17.64</v>
      </c>
      <c r="L10" s="11">
        <v>18.41</v>
      </c>
      <c r="M10" s="11">
        <v>17</v>
      </c>
    </row>
    <row r="11" spans="3:13">
      <c r="H11" s="11" t="s">
        <v>144</v>
      </c>
      <c r="I11" s="11">
        <v>12.53</v>
      </c>
      <c r="J11" s="11">
        <v>14.26</v>
      </c>
      <c r="K11" s="11">
        <v>12.97</v>
      </c>
      <c r="L11" s="11">
        <v>13.51</v>
      </c>
      <c r="M11" s="11">
        <v>12.34</v>
      </c>
    </row>
    <row r="12" spans="3:13">
      <c r="C12" s="11" t="s">
        <v>119</v>
      </c>
      <c r="D12" s="11" t="s">
        <v>336</v>
      </c>
      <c r="H12" s="11" t="s">
        <v>145</v>
      </c>
      <c r="I12" s="11">
        <v>16.28</v>
      </c>
      <c r="J12" s="11">
        <v>70.52</v>
      </c>
      <c r="K12" s="11">
        <v>64.209999999999994</v>
      </c>
      <c r="L12" s="11">
        <v>68.760000000000005</v>
      </c>
      <c r="M12" s="11">
        <v>66.27</v>
      </c>
    </row>
    <row r="13" spans="3:13">
      <c r="C13" s="11" t="s">
        <v>120</v>
      </c>
      <c r="D13" s="11">
        <v>0.94</v>
      </c>
      <c r="H13" s="11" t="s">
        <v>146</v>
      </c>
      <c r="I13" s="11">
        <v>23.4</v>
      </c>
      <c r="J13" s="11">
        <v>101.69</v>
      </c>
      <c r="K13" s="11">
        <v>98.84</v>
      </c>
      <c r="L13" s="11">
        <v>96.55</v>
      </c>
      <c r="M13" s="11">
        <v>95.23</v>
      </c>
    </row>
    <row r="14" spans="3:13">
      <c r="C14" s="11" t="s">
        <v>121</v>
      </c>
      <c r="D14" s="11">
        <v>31.94</v>
      </c>
    </row>
    <row r="15" spans="3:13">
      <c r="C15" s="11" t="s">
        <v>122</v>
      </c>
      <c r="D15" s="11">
        <v>5.48</v>
      </c>
      <c r="H15" s="11" t="s">
        <v>147</v>
      </c>
      <c r="I15" s="11">
        <v>0.94</v>
      </c>
    </row>
    <row r="16" spans="3:13">
      <c r="C16" s="11" t="s">
        <v>123</v>
      </c>
      <c r="D16" s="11" t="s">
        <v>124</v>
      </c>
      <c r="H16" s="11" t="s">
        <v>148</v>
      </c>
      <c r="I16" s="14">
        <v>0.1082</v>
      </c>
    </row>
    <row r="17" spans="3:9">
      <c r="C17" s="11" t="s">
        <v>125</v>
      </c>
      <c r="D17" s="11" t="s">
        <v>126</v>
      </c>
      <c r="H17" s="11" t="s">
        <v>149</v>
      </c>
      <c r="I17" s="14">
        <v>-4.7899999999999998E-2</v>
      </c>
    </row>
    <row r="18" spans="3:9">
      <c r="C18" s="11" t="s">
        <v>127</v>
      </c>
      <c r="D18" s="13">
        <v>43873</v>
      </c>
      <c r="H18" s="11" t="s">
        <v>150</v>
      </c>
      <c r="I18" s="11">
        <v>214.17</v>
      </c>
    </row>
    <row r="19" spans="3:9">
      <c r="C19" s="11" t="s">
        <v>128</v>
      </c>
      <c r="D19" s="11">
        <v>199.82</v>
      </c>
      <c r="H19" s="11" t="s">
        <v>151</v>
      </c>
      <c r="I19" s="11">
        <v>133.93</v>
      </c>
    </row>
    <row r="20" spans="3:9">
      <c r="H20" s="11" t="s">
        <v>152</v>
      </c>
      <c r="I20" s="11">
        <v>172.72</v>
      </c>
    </row>
    <row r="21" spans="3:9">
      <c r="H21" s="11" t="s">
        <v>153</v>
      </c>
      <c r="I21" s="11">
        <v>182.84</v>
      </c>
    </row>
    <row r="23" spans="3:9">
      <c r="H23" s="11" t="s">
        <v>154</v>
      </c>
      <c r="I23" s="11" t="s">
        <v>340</v>
      </c>
    </row>
    <row r="24" spans="3:9">
      <c r="H24" s="11" t="s">
        <v>155</v>
      </c>
      <c r="I24" s="11" t="s">
        <v>341</v>
      </c>
    </row>
    <row r="25" spans="3:9">
      <c r="H25" s="11" t="s">
        <v>156</v>
      </c>
      <c r="I25" s="11" t="s">
        <v>157</v>
      </c>
    </row>
    <row r="26" spans="3:9">
      <c r="H26" s="11" t="s">
        <v>158</v>
      </c>
      <c r="I26" s="11" t="s">
        <v>159</v>
      </c>
    </row>
    <row r="27" spans="3:9">
      <c r="H27" s="11" t="s">
        <v>160</v>
      </c>
      <c r="I27" s="14">
        <v>2E-3</v>
      </c>
    </row>
    <row r="28" spans="3:9">
      <c r="H28" s="11" t="s">
        <v>161</v>
      </c>
      <c r="I28" s="14">
        <v>0.97089999999999999</v>
      </c>
    </row>
    <row r="29" spans="3:9">
      <c r="H29" s="11" t="s">
        <v>162</v>
      </c>
      <c r="I29" s="11" t="s">
        <v>163</v>
      </c>
    </row>
    <row r="30" spans="3:9">
      <c r="H30" s="11" t="s">
        <v>164</v>
      </c>
      <c r="I30" s="11">
        <v>2.09</v>
      </c>
    </row>
    <row r="31" spans="3:9">
      <c r="H31" s="11" t="s">
        <v>165</v>
      </c>
      <c r="I31" s="14">
        <v>1.7600000000000001E-2</v>
      </c>
    </row>
    <row r="32" spans="3:9">
      <c r="H32" s="11" t="s">
        <v>166</v>
      </c>
      <c r="I32" s="14">
        <v>1.3599999999999999E-2</v>
      </c>
    </row>
    <row r="33" spans="8:9">
      <c r="H33" s="11" t="s">
        <v>167</v>
      </c>
      <c r="I33" s="11" t="s">
        <v>168</v>
      </c>
    </row>
    <row r="35" spans="8:9">
      <c r="H35" s="11" t="s">
        <v>169</v>
      </c>
      <c r="I35" s="11">
        <v>1.2</v>
      </c>
    </row>
    <row r="36" spans="8:9">
      <c r="H36" s="11" t="s">
        <v>170</v>
      </c>
      <c r="I36" s="14">
        <v>7.1000000000000004E-3</v>
      </c>
    </row>
    <row r="37" spans="8:9">
      <c r="H37" s="11" t="s">
        <v>171</v>
      </c>
      <c r="I37" s="11">
        <v>1.1000000000000001</v>
      </c>
    </row>
    <row r="38" spans="8:9">
      <c r="H38" s="11" t="s">
        <v>172</v>
      </c>
      <c r="I38" s="14">
        <v>6.4999999999999997E-3</v>
      </c>
    </row>
    <row r="39" spans="8:9">
      <c r="H39" s="11" t="s">
        <v>173</v>
      </c>
      <c r="I39" s="11">
        <v>0.63</v>
      </c>
    </row>
    <row r="40" spans="8:9">
      <c r="H40" s="11" t="s">
        <v>174</v>
      </c>
      <c r="I40" s="14">
        <v>0.19159999999999999</v>
      </c>
    </row>
    <row r="41" spans="8:9">
      <c r="H41" s="11" t="s">
        <v>175</v>
      </c>
      <c r="I41" s="13">
        <v>43892</v>
      </c>
    </row>
    <row r="42" spans="8:9">
      <c r="H42" s="11" t="s">
        <v>176</v>
      </c>
      <c r="I42" s="13">
        <v>43873</v>
      </c>
    </row>
    <row r="43" spans="8:9">
      <c r="H43" s="11" t="s">
        <v>177</v>
      </c>
      <c r="I43" s="15">
        <v>0.1673611111111111</v>
      </c>
    </row>
    <row r="44" spans="8:9">
      <c r="H44" s="11" t="s">
        <v>178</v>
      </c>
      <c r="I44" s="13">
        <v>42081</v>
      </c>
    </row>
    <row r="46" spans="8:9">
      <c r="H46" s="11" t="s">
        <v>179</v>
      </c>
      <c r="I46" s="13">
        <v>43737</v>
      </c>
    </row>
    <row r="47" spans="8:9">
      <c r="H47" s="11" t="s">
        <v>180</v>
      </c>
      <c r="I47" s="13">
        <v>43829</v>
      </c>
    </row>
    <row r="49" spans="8:9">
      <c r="H49" s="11" t="s">
        <v>181</v>
      </c>
      <c r="I49" s="14">
        <v>0.52600000000000002</v>
      </c>
    </row>
    <row r="50" spans="8:9">
      <c r="H50" s="11" t="s">
        <v>182</v>
      </c>
      <c r="I50" s="14">
        <v>0.66859999999999997</v>
      </c>
    </row>
    <row r="52" spans="8:9">
      <c r="H52" s="11" t="s">
        <v>183</v>
      </c>
      <c r="I52" s="14">
        <v>0.1343</v>
      </c>
    </row>
    <row r="53" spans="8:9">
      <c r="H53" s="11" t="s">
        <v>184</v>
      </c>
      <c r="I53" s="14">
        <v>0.35680000000000001</v>
      </c>
    </row>
    <row r="55" spans="8:9">
      <c r="H55" s="11" t="s">
        <v>185</v>
      </c>
      <c r="I55" s="11" t="s">
        <v>186</v>
      </c>
    </row>
    <row r="56" spans="8:9">
      <c r="H56" s="11" t="s">
        <v>187</v>
      </c>
      <c r="I56" s="11">
        <v>10.82</v>
      </c>
    </row>
    <row r="57" spans="8:9">
      <c r="H57" s="11" t="s">
        <v>188</v>
      </c>
      <c r="I57" s="14">
        <v>0.1</v>
      </c>
    </row>
    <row r="58" spans="8:9">
      <c r="H58" s="11" t="s">
        <v>189</v>
      </c>
      <c r="I58" s="11" t="s">
        <v>190</v>
      </c>
    </row>
    <row r="59" spans="8:9">
      <c r="H59" s="11" t="s">
        <v>191</v>
      </c>
      <c r="I59" s="11" t="s">
        <v>192</v>
      </c>
    </row>
    <row r="60" spans="8:9">
      <c r="H60" s="11" t="s">
        <v>193</v>
      </c>
      <c r="I60" s="11" t="s">
        <v>194</v>
      </c>
    </row>
    <row r="61" spans="8:9">
      <c r="H61" s="11" t="s">
        <v>195</v>
      </c>
      <c r="I61" s="11">
        <v>5.48</v>
      </c>
    </row>
    <row r="62" spans="8:9">
      <c r="H62" s="11" t="s">
        <v>196</v>
      </c>
      <c r="I62" s="14">
        <v>9.9000000000000005E-2</v>
      </c>
    </row>
    <row r="64" spans="8:9">
      <c r="H64" s="11" t="s">
        <v>197</v>
      </c>
      <c r="I64" s="11" t="s">
        <v>198</v>
      </c>
    </row>
    <row r="65" spans="8:9">
      <c r="H65" s="11" t="s">
        <v>199</v>
      </c>
      <c r="I65" s="11">
        <v>5.9</v>
      </c>
    </row>
    <row r="66" spans="8:9">
      <c r="H66" s="11" t="s">
        <v>200</v>
      </c>
      <c r="I66" s="11" t="s">
        <v>201</v>
      </c>
    </row>
    <row r="67" spans="8:9">
      <c r="H67" s="11" t="s">
        <v>202</v>
      </c>
      <c r="I67" s="11">
        <v>48.94</v>
      </c>
    </row>
    <row r="68" spans="8:9">
      <c r="H68" s="11" t="s">
        <v>203</v>
      </c>
      <c r="I68" s="11">
        <v>1.27</v>
      </c>
    </row>
    <row r="69" spans="8:9">
      <c r="H69" s="11" t="s">
        <v>204</v>
      </c>
      <c r="I69" s="11">
        <v>13.86</v>
      </c>
    </row>
    <row r="71" spans="8:9">
      <c r="H71" s="11" t="s">
        <v>205</v>
      </c>
      <c r="I71" s="11" t="s">
        <v>206</v>
      </c>
    </row>
    <row r="72" spans="8:9">
      <c r="H72" s="11" t="s">
        <v>207</v>
      </c>
      <c r="I72" s="11" t="s">
        <v>208</v>
      </c>
    </row>
  </sheetData>
  <mergeCells count="5">
    <mergeCell ref="H3:H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M72"/>
  <sheetViews>
    <sheetView topLeftCell="A21" workbookViewId="0">
      <selection activeCell="I6" sqref="I6"/>
    </sheetView>
  </sheetViews>
  <sheetFormatPr baseColWidth="10" defaultColWidth="10.83203125" defaultRowHeight="15"/>
  <cols>
    <col min="3" max="3" width="22.33203125" bestFit="1" customWidth="1"/>
    <col min="4" max="4" width="24.83203125" bestFit="1" customWidth="1"/>
    <col min="8" max="8" width="40.6640625" bestFit="1" customWidth="1"/>
    <col min="9" max="9" width="18.83203125" bestFit="1" customWidth="1"/>
    <col min="10" max="10" width="8.5" bestFit="1" customWidth="1"/>
    <col min="11" max="13" width="8" bestFit="1" customWidth="1"/>
  </cols>
  <sheetData>
    <row r="3" spans="3:13">
      <c r="C3" s="11" t="s">
        <v>110</v>
      </c>
      <c r="D3" s="11">
        <v>258.68</v>
      </c>
      <c r="H3" s="263"/>
      <c r="I3" s="46" t="s">
        <v>337</v>
      </c>
      <c r="J3" s="264">
        <v>43830</v>
      </c>
      <c r="K3" s="264">
        <v>43738</v>
      </c>
      <c r="L3" s="264">
        <v>43646</v>
      </c>
      <c r="M3" s="264">
        <v>43555</v>
      </c>
    </row>
    <row r="4" spans="3:13">
      <c r="C4" s="11" t="s">
        <v>111</v>
      </c>
      <c r="D4" s="11">
        <v>262.51</v>
      </c>
      <c r="H4" s="263"/>
      <c r="I4" s="46" t="s">
        <v>129</v>
      </c>
      <c r="J4" s="264"/>
      <c r="K4" s="264"/>
      <c r="L4" s="264"/>
      <c r="M4" s="264"/>
    </row>
    <row r="5" spans="3:13">
      <c r="C5" s="11" t="s">
        <v>112</v>
      </c>
      <c r="D5" s="11" t="s">
        <v>342</v>
      </c>
      <c r="H5" s="11" t="s">
        <v>130</v>
      </c>
      <c r="I5" s="11" t="s">
        <v>346</v>
      </c>
      <c r="J5" s="11" t="s">
        <v>211</v>
      </c>
      <c r="K5" s="11" t="s">
        <v>212</v>
      </c>
      <c r="L5" s="11" t="s">
        <v>213</v>
      </c>
      <c r="M5" s="11" t="s">
        <v>214</v>
      </c>
    </row>
    <row r="6" spans="3:13">
      <c r="C6" s="11" t="s">
        <v>113</v>
      </c>
      <c r="D6" s="11" t="s">
        <v>343</v>
      </c>
      <c r="H6" s="11" t="s">
        <v>135</v>
      </c>
      <c r="I6" s="11" t="s">
        <v>347</v>
      </c>
      <c r="J6" s="11" t="s">
        <v>215</v>
      </c>
      <c r="K6" s="11" t="s">
        <v>216</v>
      </c>
      <c r="L6" s="11" t="s">
        <v>217</v>
      </c>
      <c r="M6" s="11" t="s">
        <v>218</v>
      </c>
    </row>
    <row r="7" spans="3:13">
      <c r="C7" s="11" t="s">
        <v>114</v>
      </c>
      <c r="D7" s="11" t="s">
        <v>344</v>
      </c>
      <c r="H7" s="11" t="s">
        <v>140</v>
      </c>
      <c r="I7" s="11">
        <v>32.630000000000003</v>
      </c>
      <c r="J7" s="11">
        <v>44.3</v>
      </c>
      <c r="K7" s="11">
        <v>41.84</v>
      </c>
      <c r="L7" s="11">
        <v>44.16</v>
      </c>
      <c r="M7" s="11">
        <v>42.04</v>
      </c>
    </row>
    <row r="8" spans="3:13">
      <c r="C8" s="11" t="s">
        <v>115</v>
      </c>
      <c r="D8" s="11" t="s">
        <v>209</v>
      </c>
      <c r="H8" s="11" t="s">
        <v>141</v>
      </c>
      <c r="I8" s="11">
        <v>33.44</v>
      </c>
      <c r="J8" s="11">
        <v>32.89</v>
      </c>
      <c r="K8" s="11">
        <v>30.21</v>
      </c>
      <c r="L8" s="11">
        <v>34.840000000000003</v>
      </c>
      <c r="M8" s="11">
        <v>30.96</v>
      </c>
    </row>
    <row r="9" spans="3:13">
      <c r="C9" s="11" t="s">
        <v>117</v>
      </c>
      <c r="D9" s="12">
        <v>5685576</v>
      </c>
      <c r="H9" s="11" t="s">
        <v>142</v>
      </c>
      <c r="I9" s="11">
        <v>2.2400000000000002</v>
      </c>
      <c r="J9" s="11">
        <v>2.0299999999999998</v>
      </c>
      <c r="K9" s="11">
        <v>1.83</v>
      </c>
      <c r="L9" s="11">
        <v>2.11</v>
      </c>
      <c r="M9" s="11">
        <v>1.42</v>
      </c>
    </row>
    <row r="10" spans="3:13">
      <c r="C10" s="11" t="s">
        <v>118</v>
      </c>
      <c r="D10" s="12">
        <v>6759507</v>
      </c>
      <c r="H10" s="11" t="s">
        <v>143</v>
      </c>
      <c r="I10" s="11">
        <v>15.68</v>
      </c>
      <c r="J10" s="11">
        <v>18.86</v>
      </c>
      <c r="K10" s="11">
        <v>17.89</v>
      </c>
      <c r="L10" s="11">
        <v>18.04</v>
      </c>
      <c r="M10" s="11">
        <v>16.489999999999998</v>
      </c>
    </row>
    <row r="11" spans="3:13">
      <c r="H11" s="11" t="s">
        <v>144</v>
      </c>
      <c r="I11" s="11">
        <v>44.19</v>
      </c>
      <c r="J11" s="11">
        <v>60.78</v>
      </c>
      <c r="K11" s="11">
        <v>54.77</v>
      </c>
      <c r="L11" s="11">
        <v>52.01</v>
      </c>
      <c r="M11" s="11">
        <v>44.69</v>
      </c>
    </row>
    <row r="12" spans="3:13">
      <c r="C12" s="11" t="s">
        <v>119</v>
      </c>
      <c r="D12" s="11" t="s">
        <v>345</v>
      </c>
      <c r="H12" s="11" t="s">
        <v>145</v>
      </c>
      <c r="I12" s="11">
        <v>15.47</v>
      </c>
      <c r="J12" s="11">
        <v>68.55</v>
      </c>
      <c r="K12" s="11">
        <v>61.7</v>
      </c>
      <c r="L12" s="11">
        <v>65.48</v>
      </c>
      <c r="M12" s="11">
        <v>61.59</v>
      </c>
    </row>
    <row r="13" spans="3:13">
      <c r="C13" s="11" t="s">
        <v>120</v>
      </c>
      <c r="D13" s="11">
        <v>1.07</v>
      </c>
      <c r="H13" s="11" t="s">
        <v>146</v>
      </c>
      <c r="I13" s="11">
        <v>24.94</v>
      </c>
      <c r="J13" s="11">
        <v>112.69</v>
      </c>
      <c r="K13" s="11">
        <v>100.8</v>
      </c>
      <c r="L13" s="11">
        <v>100.05</v>
      </c>
      <c r="M13" s="11">
        <v>101.23</v>
      </c>
    </row>
    <row r="14" spans="3:13">
      <c r="C14" s="11" t="s">
        <v>121</v>
      </c>
      <c r="D14" s="11">
        <v>34.119999999999997</v>
      </c>
    </row>
    <row r="15" spans="3:13">
      <c r="C15" s="11" t="s">
        <v>122</v>
      </c>
      <c r="D15" s="11">
        <v>7.94</v>
      </c>
      <c r="H15" s="11" t="s">
        <v>147</v>
      </c>
      <c r="I15" s="11">
        <v>1.07</v>
      </c>
    </row>
    <row r="16" spans="3:13">
      <c r="C16" s="11" t="s">
        <v>123</v>
      </c>
      <c r="D16" s="11" t="s">
        <v>210</v>
      </c>
      <c r="H16" s="11" t="s">
        <v>148</v>
      </c>
      <c r="I16" s="14">
        <v>0.1479</v>
      </c>
    </row>
    <row r="17" spans="3:9">
      <c r="C17" s="11" t="s">
        <v>125</v>
      </c>
      <c r="D17" s="11" t="s">
        <v>329</v>
      </c>
      <c r="H17" s="11" t="s">
        <v>149</v>
      </c>
      <c r="I17" s="14">
        <v>-4.7899999999999998E-2</v>
      </c>
    </row>
    <row r="18" spans="3:9">
      <c r="C18" s="11" t="s">
        <v>127</v>
      </c>
      <c r="D18" s="13">
        <v>43928</v>
      </c>
      <c r="H18" s="11" t="s">
        <v>150</v>
      </c>
      <c r="I18" s="11">
        <v>347.25</v>
      </c>
    </row>
    <row r="19" spans="3:9">
      <c r="C19" s="11" t="s">
        <v>128</v>
      </c>
      <c r="D19" s="11">
        <v>308</v>
      </c>
      <c r="H19" s="11" t="s">
        <v>151</v>
      </c>
      <c r="I19" s="11">
        <v>199.99</v>
      </c>
    </row>
    <row r="20" spans="3:9">
      <c r="H20" s="11" t="s">
        <v>152</v>
      </c>
      <c r="I20" s="11">
        <v>268.77999999999997</v>
      </c>
    </row>
    <row r="21" spans="3:9">
      <c r="H21" s="11" t="s">
        <v>153</v>
      </c>
      <c r="I21" s="11">
        <v>287.02999999999997</v>
      </c>
    </row>
    <row r="23" spans="3:9">
      <c r="H23" s="11" t="s">
        <v>154</v>
      </c>
      <c r="I23" s="11" t="s">
        <v>348</v>
      </c>
    </row>
    <row r="24" spans="3:9">
      <c r="H24" s="11" t="s">
        <v>155</v>
      </c>
      <c r="I24" s="11" t="s">
        <v>349</v>
      </c>
    </row>
    <row r="25" spans="3:9">
      <c r="H25" s="11" t="s">
        <v>156</v>
      </c>
      <c r="I25" s="11" t="s">
        <v>328</v>
      </c>
    </row>
    <row r="26" spans="3:9">
      <c r="H26" s="11" t="s">
        <v>158</v>
      </c>
      <c r="I26" s="11" t="s">
        <v>219</v>
      </c>
    </row>
    <row r="27" spans="3:9">
      <c r="H27" s="11" t="s">
        <v>160</v>
      </c>
      <c r="I27" s="14">
        <v>0.1129</v>
      </c>
    </row>
    <row r="28" spans="3:9">
      <c r="H28" s="11" t="s">
        <v>161</v>
      </c>
      <c r="I28" s="14">
        <v>0.77949999999999997</v>
      </c>
    </row>
    <row r="29" spans="3:9">
      <c r="H29" s="11" t="s">
        <v>162</v>
      </c>
      <c r="I29" s="11" t="s">
        <v>220</v>
      </c>
    </row>
    <row r="30" spans="3:9">
      <c r="H30" s="11" t="s">
        <v>164</v>
      </c>
      <c r="I30" s="11">
        <v>1.04</v>
      </c>
    </row>
    <row r="31" spans="3:9">
      <c r="H31" s="11" t="s">
        <v>165</v>
      </c>
      <c r="I31" s="14">
        <v>9.1999999999999998E-3</v>
      </c>
    </row>
    <row r="32" spans="3:9">
      <c r="H32" s="11" t="s">
        <v>166</v>
      </c>
      <c r="I32" s="14">
        <v>8.2000000000000007E-3</v>
      </c>
    </row>
    <row r="33" spans="8:9">
      <c r="H33" s="11" t="s">
        <v>167</v>
      </c>
      <c r="I33" s="11" t="s">
        <v>221</v>
      </c>
    </row>
    <row r="35" spans="8:9">
      <c r="H35" s="11" t="s">
        <v>169</v>
      </c>
      <c r="I35" s="11">
        <v>1.6</v>
      </c>
    </row>
    <row r="36" spans="8:9">
      <c r="H36" s="11" t="s">
        <v>170</v>
      </c>
      <c r="I36" s="14">
        <v>6.1999999999999998E-3</v>
      </c>
    </row>
    <row r="37" spans="8:9">
      <c r="H37" s="11" t="s">
        <v>171</v>
      </c>
      <c r="I37" s="11">
        <v>1.39</v>
      </c>
    </row>
    <row r="38" spans="8:9">
      <c r="H38" s="11" t="s">
        <v>172</v>
      </c>
      <c r="I38" s="14">
        <v>5.4000000000000003E-3</v>
      </c>
    </row>
    <row r="39" spans="8:9">
      <c r="H39" s="11" t="s">
        <v>173</v>
      </c>
      <c r="I39" s="11">
        <v>0.59</v>
      </c>
    </row>
    <row r="40" spans="8:9">
      <c r="H40" s="11" t="s">
        <v>174</v>
      </c>
      <c r="I40" s="14">
        <v>0.16619999999999999</v>
      </c>
    </row>
    <row r="41" spans="8:9">
      <c r="H41" s="11" t="s">
        <v>175</v>
      </c>
      <c r="I41" s="13">
        <v>43958</v>
      </c>
    </row>
    <row r="42" spans="8:9">
      <c r="H42" s="11" t="s">
        <v>176</v>
      </c>
      <c r="I42" s="13">
        <v>43928</v>
      </c>
    </row>
    <row r="43" spans="8:9">
      <c r="H43" s="11" t="s">
        <v>177</v>
      </c>
      <c r="I43" s="15">
        <v>0.41736111111111113</v>
      </c>
    </row>
    <row r="44" spans="8:9">
      <c r="H44" s="11" t="s">
        <v>178</v>
      </c>
      <c r="I44" s="13">
        <v>41660</v>
      </c>
    </row>
    <row r="46" spans="8:9">
      <c r="H46" s="11" t="s">
        <v>179</v>
      </c>
      <c r="I46" s="13">
        <v>43829</v>
      </c>
    </row>
    <row r="47" spans="8:9">
      <c r="H47" s="11" t="s">
        <v>180</v>
      </c>
      <c r="I47" s="13">
        <v>43829</v>
      </c>
    </row>
    <row r="49" spans="8:9">
      <c r="H49" s="11" t="s">
        <v>181</v>
      </c>
      <c r="I49" s="14">
        <v>0.48080000000000001</v>
      </c>
    </row>
    <row r="50" spans="8:9">
      <c r="H50" s="11" t="s">
        <v>182</v>
      </c>
      <c r="I50" s="14">
        <v>0.5726</v>
      </c>
    </row>
    <row r="52" spans="8:9">
      <c r="H52" s="11" t="s">
        <v>183</v>
      </c>
      <c r="I52" s="14">
        <v>0.22339999999999999</v>
      </c>
    </row>
    <row r="53" spans="8:9">
      <c r="H53" s="11" t="s">
        <v>184</v>
      </c>
      <c r="I53" s="14">
        <v>1.4142999999999999</v>
      </c>
    </row>
    <row r="55" spans="8:9">
      <c r="H55" s="11" t="s">
        <v>185</v>
      </c>
      <c r="I55" s="11" t="s">
        <v>222</v>
      </c>
    </row>
    <row r="56" spans="8:9">
      <c r="H56" s="11" t="s">
        <v>187</v>
      </c>
      <c r="I56" s="11">
        <v>16.600000000000001</v>
      </c>
    </row>
    <row r="57" spans="8:9">
      <c r="H57" s="11" t="s">
        <v>188</v>
      </c>
      <c r="I57" s="14">
        <v>0.159</v>
      </c>
    </row>
    <row r="58" spans="8:9">
      <c r="H58" s="11" t="s">
        <v>189</v>
      </c>
      <c r="I58" s="11" t="s">
        <v>222</v>
      </c>
    </row>
    <row r="59" spans="8:9">
      <c r="H59" s="11" t="s">
        <v>191</v>
      </c>
      <c r="I59" s="11" t="s">
        <v>223</v>
      </c>
    </row>
    <row r="60" spans="8:9">
      <c r="H60" s="11" t="s">
        <v>193</v>
      </c>
      <c r="I60" s="11" t="s">
        <v>224</v>
      </c>
    </row>
    <row r="61" spans="8:9">
      <c r="H61" s="11" t="s">
        <v>195</v>
      </c>
      <c r="I61" s="11">
        <v>7.94</v>
      </c>
    </row>
    <row r="62" spans="8:9">
      <c r="H62" s="11" t="s">
        <v>196</v>
      </c>
      <c r="I62" s="14">
        <v>1.3360000000000001</v>
      </c>
    </row>
    <row r="64" spans="8:9">
      <c r="H64" s="11" t="s">
        <v>197</v>
      </c>
      <c r="I64" s="11" t="s">
        <v>225</v>
      </c>
    </row>
    <row r="65" spans="8:9">
      <c r="H65" s="11" t="s">
        <v>199</v>
      </c>
      <c r="I65" s="11">
        <v>7.64</v>
      </c>
    </row>
    <row r="66" spans="8:9">
      <c r="H66" s="11" t="s">
        <v>200</v>
      </c>
      <c r="I66" s="11" t="s">
        <v>226</v>
      </c>
    </row>
    <row r="67" spans="8:9">
      <c r="H67" s="11" t="s">
        <v>202</v>
      </c>
      <c r="I67" s="11">
        <v>155.05000000000001</v>
      </c>
    </row>
    <row r="68" spans="8:9">
      <c r="H68" s="11" t="s">
        <v>203</v>
      </c>
      <c r="I68" s="11">
        <v>1.42</v>
      </c>
    </row>
    <row r="69" spans="8:9">
      <c r="H69" s="11" t="s">
        <v>204</v>
      </c>
      <c r="I69" s="11">
        <v>5.85</v>
      </c>
    </row>
    <row r="71" spans="8:9">
      <c r="H71" s="11" t="s">
        <v>205</v>
      </c>
      <c r="I71" s="11" t="s">
        <v>227</v>
      </c>
    </row>
    <row r="72" spans="8:9">
      <c r="H72" s="11" t="s">
        <v>207</v>
      </c>
      <c r="I72" s="11" t="s">
        <v>228</v>
      </c>
    </row>
  </sheetData>
  <mergeCells count="5">
    <mergeCell ref="H3:H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M72"/>
  <sheetViews>
    <sheetView topLeftCell="A25" zoomScale="163" workbookViewId="0">
      <selection activeCell="I6" sqref="I6"/>
    </sheetView>
  </sheetViews>
  <sheetFormatPr baseColWidth="10" defaultColWidth="10.83203125" defaultRowHeight="15"/>
  <cols>
    <col min="3" max="3" width="22.33203125" bestFit="1" customWidth="1"/>
    <col min="4" max="4" width="24.33203125" bestFit="1" customWidth="1"/>
    <col min="8" max="8" width="41" bestFit="1" customWidth="1"/>
    <col min="9" max="9" width="18.83203125" bestFit="1" customWidth="1"/>
    <col min="10" max="10" width="8.5" bestFit="1" customWidth="1"/>
    <col min="11" max="13" width="8" bestFit="1" customWidth="1"/>
  </cols>
  <sheetData>
    <row r="3" spans="3:13">
      <c r="C3" s="11" t="s">
        <v>110</v>
      </c>
      <c r="D3" s="11">
        <v>100.28</v>
      </c>
      <c r="H3" s="263"/>
      <c r="I3" s="46" t="s">
        <v>337</v>
      </c>
      <c r="J3" s="264">
        <v>43830</v>
      </c>
      <c r="K3" s="264">
        <v>43738</v>
      </c>
      <c r="L3" s="264">
        <v>43646</v>
      </c>
      <c r="M3" s="264">
        <v>43555</v>
      </c>
    </row>
    <row r="4" spans="3:13">
      <c r="C4" s="11" t="s">
        <v>111</v>
      </c>
      <c r="D4" s="11">
        <v>101.61</v>
      </c>
      <c r="H4" s="263"/>
      <c r="I4" s="46" t="s">
        <v>129</v>
      </c>
      <c r="J4" s="264"/>
      <c r="K4" s="264"/>
      <c r="L4" s="264"/>
      <c r="M4" s="264"/>
    </row>
    <row r="5" spans="3:13">
      <c r="C5" s="11" t="s">
        <v>112</v>
      </c>
      <c r="D5" s="11" t="s">
        <v>354</v>
      </c>
      <c r="H5" s="11" t="s">
        <v>130</v>
      </c>
      <c r="I5" s="11" t="s">
        <v>350</v>
      </c>
      <c r="J5" s="11" t="s">
        <v>229</v>
      </c>
      <c r="K5" s="11" t="s">
        <v>230</v>
      </c>
      <c r="L5" s="11" t="s">
        <v>231</v>
      </c>
      <c r="M5" s="11" t="s">
        <v>232</v>
      </c>
    </row>
    <row r="6" spans="3:13">
      <c r="C6" s="11" t="s">
        <v>113</v>
      </c>
      <c r="D6" s="11" t="s">
        <v>355</v>
      </c>
      <c r="H6" s="11" t="s">
        <v>135</v>
      </c>
      <c r="I6" s="11" t="s">
        <v>351</v>
      </c>
      <c r="J6" s="11" t="s">
        <v>233</v>
      </c>
      <c r="K6" s="11" t="s">
        <v>234</v>
      </c>
      <c r="L6" s="11" t="s">
        <v>235</v>
      </c>
      <c r="M6" s="11" t="s">
        <v>236</v>
      </c>
    </row>
    <row r="7" spans="3:13">
      <c r="C7" s="11" t="s">
        <v>114</v>
      </c>
      <c r="D7" s="11" t="s">
        <v>356</v>
      </c>
      <c r="H7" s="11" t="s">
        <v>140</v>
      </c>
      <c r="I7" s="11">
        <v>48.44</v>
      </c>
      <c r="J7" s="11">
        <v>50.78</v>
      </c>
      <c r="K7" s="11">
        <v>49.33</v>
      </c>
      <c r="L7" s="11">
        <v>61.87</v>
      </c>
      <c r="M7" s="11">
        <v>60.73</v>
      </c>
    </row>
    <row r="8" spans="3:13">
      <c r="C8" s="11" t="s">
        <v>115</v>
      </c>
      <c r="D8" s="11" t="s">
        <v>265</v>
      </c>
      <c r="H8" s="11" t="s">
        <v>141</v>
      </c>
      <c r="I8" s="11">
        <v>29.24</v>
      </c>
      <c r="J8" s="11">
        <v>30.96</v>
      </c>
      <c r="K8" s="11">
        <v>29.5</v>
      </c>
      <c r="L8" s="11">
        <v>38.31</v>
      </c>
      <c r="M8" s="11">
        <v>35.97</v>
      </c>
    </row>
    <row r="9" spans="3:13">
      <c r="C9" s="11" t="s">
        <v>117</v>
      </c>
      <c r="D9" s="12">
        <v>9385890</v>
      </c>
      <c r="H9" s="11" t="s">
        <v>142</v>
      </c>
      <c r="I9" s="11">
        <v>1.93</v>
      </c>
      <c r="J9" s="11">
        <v>2</v>
      </c>
      <c r="K9" s="11">
        <v>1.91</v>
      </c>
      <c r="L9" s="11">
        <v>2.48</v>
      </c>
      <c r="M9" s="11">
        <v>1.54</v>
      </c>
    </row>
    <row r="10" spans="3:13">
      <c r="C10" s="11" t="s">
        <v>118</v>
      </c>
      <c r="D10" s="12">
        <v>9690061</v>
      </c>
      <c r="H10" s="11" t="s">
        <v>143</v>
      </c>
      <c r="I10" s="11">
        <v>6.7</v>
      </c>
      <c r="J10" s="11">
        <v>7.55</v>
      </c>
      <c r="K10" s="11">
        <v>7.56</v>
      </c>
      <c r="L10" s="11">
        <v>8.61</v>
      </c>
      <c r="M10" s="11">
        <v>8.08</v>
      </c>
    </row>
    <row r="11" spans="3:13">
      <c r="H11" s="11" t="s">
        <v>144</v>
      </c>
      <c r="I11" s="11">
        <v>6.97</v>
      </c>
      <c r="J11" s="11">
        <v>7.7</v>
      </c>
      <c r="K11" s="11">
        <v>7.54</v>
      </c>
      <c r="L11" s="11">
        <v>8.89</v>
      </c>
      <c r="M11" s="11">
        <v>7.91</v>
      </c>
    </row>
    <row r="12" spans="3:13">
      <c r="C12" s="11" t="s">
        <v>119</v>
      </c>
      <c r="D12" s="11" t="s">
        <v>357</v>
      </c>
      <c r="H12" s="11" t="s">
        <v>145</v>
      </c>
      <c r="I12" s="11">
        <v>6.29</v>
      </c>
      <c r="J12" s="11">
        <v>24.47</v>
      </c>
      <c r="K12" s="11">
        <v>26.43</v>
      </c>
      <c r="L12" s="11">
        <v>29.88</v>
      </c>
      <c r="M12" s="11">
        <v>27.76</v>
      </c>
    </row>
    <row r="13" spans="3:13">
      <c r="C13" s="11" t="s">
        <v>120</v>
      </c>
      <c r="D13" s="11">
        <v>0.94</v>
      </c>
      <c r="H13" s="11" t="s">
        <v>146</v>
      </c>
      <c r="I13" s="11">
        <v>27.78</v>
      </c>
      <c r="J13" s="11">
        <v>108.57</v>
      </c>
      <c r="K13" s="11">
        <v>156.35</v>
      </c>
      <c r="L13" s="11">
        <v>107.37</v>
      </c>
      <c r="M13" s="11">
        <v>118.28</v>
      </c>
    </row>
    <row r="14" spans="3:13">
      <c r="C14" s="11" t="s">
        <v>121</v>
      </c>
      <c r="D14" s="11">
        <v>50.75</v>
      </c>
    </row>
    <row r="15" spans="3:13">
      <c r="C15" s="11" t="s">
        <v>122</v>
      </c>
      <c r="D15" s="11">
        <v>2.0699999999999998</v>
      </c>
      <c r="H15" s="11" t="s">
        <v>147</v>
      </c>
      <c r="I15" s="11">
        <v>0.94</v>
      </c>
    </row>
    <row r="16" spans="3:13">
      <c r="C16" s="11" t="s">
        <v>123</v>
      </c>
      <c r="D16" s="11" t="s">
        <v>124</v>
      </c>
      <c r="H16" s="11" t="s">
        <v>148</v>
      </c>
      <c r="I16" s="14">
        <v>-1.32E-2</v>
      </c>
    </row>
    <row r="17" spans="3:9">
      <c r="C17" s="11" t="s">
        <v>125</v>
      </c>
      <c r="D17" s="11" t="s">
        <v>266</v>
      </c>
      <c r="H17" s="11" t="s">
        <v>149</v>
      </c>
      <c r="I17" s="14">
        <v>-4.7899999999999998E-2</v>
      </c>
    </row>
    <row r="18" spans="3:9">
      <c r="C18" s="11" t="s">
        <v>127</v>
      </c>
      <c r="D18" s="11" t="s">
        <v>240</v>
      </c>
      <c r="H18" s="11" t="s">
        <v>150</v>
      </c>
      <c r="I18" s="11">
        <v>124.45</v>
      </c>
    </row>
    <row r="19" spans="3:9">
      <c r="C19" s="11" t="s">
        <v>128</v>
      </c>
      <c r="D19" s="11">
        <v>126.3</v>
      </c>
      <c r="H19" s="11" t="s">
        <v>151</v>
      </c>
      <c r="I19" s="11">
        <v>82.07</v>
      </c>
    </row>
    <row r="20" spans="3:9">
      <c r="H20" s="11" t="s">
        <v>152</v>
      </c>
      <c r="I20" s="11">
        <v>103.11</v>
      </c>
    </row>
    <row r="21" spans="3:9">
      <c r="H21" s="11" t="s">
        <v>153</v>
      </c>
      <c r="I21" s="11">
        <v>106.68</v>
      </c>
    </row>
    <row r="23" spans="3:9">
      <c r="H23" s="11" t="s">
        <v>154</v>
      </c>
      <c r="I23" s="11" t="s">
        <v>352</v>
      </c>
    </row>
    <row r="24" spans="3:9">
      <c r="H24" s="11" t="s">
        <v>155</v>
      </c>
      <c r="I24" s="11" t="s">
        <v>353</v>
      </c>
    </row>
    <row r="25" spans="3:9">
      <c r="H25" s="11" t="s">
        <v>156</v>
      </c>
      <c r="I25" s="11" t="s">
        <v>237</v>
      </c>
    </row>
    <row r="26" spans="3:9">
      <c r="H26" s="11" t="s">
        <v>158</v>
      </c>
      <c r="I26" s="11" t="s">
        <v>237</v>
      </c>
    </row>
    <row r="27" spans="3:9">
      <c r="H27" s="11" t="s">
        <v>160</v>
      </c>
      <c r="I27" s="14">
        <v>1.2999999999999999E-3</v>
      </c>
    </row>
    <row r="28" spans="3:9">
      <c r="H28" s="11" t="s">
        <v>161</v>
      </c>
      <c r="I28" s="14">
        <v>0.86050000000000004</v>
      </c>
    </row>
    <row r="29" spans="3:9">
      <c r="H29" s="11" t="s">
        <v>162</v>
      </c>
      <c r="I29" s="11" t="s">
        <v>238</v>
      </c>
    </row>
    <row r="30" spans="3:9">
      <c r="H30" s="11" t="s">
        <v>164</v>
      </c>
      <c r="I30" s="11">
        <v>1.5</v>
      </c>
    </row>
    <row r="31" spans="3:9">
      <c r="H31" s="11" t="s">
        <v>165</v>
      </c>
      <c r="I31" s="14">
        <v>1.38E-2</v>
      </c>
    </row>
    <row r="32" spans="3:9">
      <c r="H32" s="11" t="s">
        <v>166</v>
      </c>
      <c r="I32" s="14">
        <v>1.37E-2</v>
      </c>
    </row>
    <row r="33" spans="8:9">
      <c r="H33" s="11" t="s">
        <v>167</v>
      </c>
      <c r="I33" s="11" t="s">
        <v>239</v>
      </c>
    </row>
    <row r="35" spans="8:9">
      <c r="H35" s="11" t="s">
        <v>169</v>
      </c>
      <c r="I35" s="11" t="s">
        <v>240</v>
      </c>
    </row>
    <row r="36" spans="8:9">
      <c r="H36" s="11" t="s">
        <v>170</v>
      </c>
      <c r="I36" s="11" t="s">
        <v>240</v>
      </c>
    </row>
    <row r="37" spans="8:9">
      <c r="H37" s="11" t="s">
        <v>171</v>
      </c>
      <c r="I37" s="11" t="s">
        <v>240</v>
      </c>
    </row>
    <row r="38" spans="8:9">
      <c r="H38" s="11" t="s">
        <v>172</v>
      </c>
      <c r="I38" s="11" t="s">
        <v>240</v>
      </c>
    </row>
    <row r="39" spans="8:9">
      <c r="H39" s="11" t="s">
        <v>173</v>
      </c>
      <c r="I39" s="11" t="s">
        <v>240</v>
      </c>
    </row>
    <row r="40" spans="8:9">
      <c r="H40" s="11" t="s">
        <v>174</v>
      </c>
      <c r="I40" s="14">
        <v>0</v>
      </c>
    </row>
    <row r="41" spans="8:9">
      <c r="H41" s="11" t="s">
        <v>175</v>
      </c>
      <c r="I41" s="11" t="s">
        <v>240</v>
      </c>
    </row>
    <row r="42" spans="8:9">
      <c r="H42" s="11" t="s">
        <v>176</v>
      </c>
      <c r="I42" s="11" t="s">
        <v>240</v>
      </c>
    </row>
    <row r="43" spans="8:9">
      <c r="H43" s="11" t="s">
        <v>177</v>
      </c>
      <c r="I43" s="11" t="s">
        <v>240</v>
      </c>
    </row>
    <row r="44" spans="8:9">
      <c r="H44" s="11" t="s">
        <v>178</v>
      </c>
      <c r="I44" s="11" t="s">
        <v>240</v>
      </c>
    </row>
    <row r="46" spans="8:9">
      <c r="H46" s="11" t="s">
        <v>179</v>
      </c>
      <c r="I46" s="13">
        <v>43829</v>
      </c>
    </row>
    <row r="47" spans="8:9">
      <c r="H47" s="11" t="s">
        <v>180</v>
      </c>
      <c r="I47" s="13">
        <v>43829</v>
      </c>
    </row>
    <row r="49" spans="8:9">
      <c r="H49" s="11" t="s">
        <v>181</v>
      </c>
      <c r="I49" s="14">
        <v>0.1384</v>
      </c>
    </row>
    <row r="50" spans="8:9">
      <c r="H50" s="11" t="s">
        <v>182</v>
      </c>
      <c r="I50" s="14">
        <v>0.157</v>
      </c>
    </row>
    <row r="52" spans="8:9">
      <c r="H52" s="11" t="s">
        <v>183</v>
      </c>
      <c r="I52" s="14">
        <v>3.6799999999999999E-2</v>
      </c>
    </row>
    <row r="53" spans="8:9">
      <c r="H53" s="11" t="s">
        <v>184</v>
      </c>
      <c r="I53" s="14">
        <v>0.1522</v>
      </c>
    </row>
    <row r="55" spans="8:9">
      <c r="H55" s="11" t="s">
        <v>185</v>
      </c>
      <c r="I55" s="11" t="s">
        <v>241</v>
      </c>
    </row>
    <row r="56" spans="8:9">
      <c r="H56" s="11" t="s">
        <v>187</v>
      </c>
      <c r="I56" s="11">
        <v>15.14</v>
      </c>
    </row>
    <row r="57" spans="8:9">
      <c r="H57" s="11" t="s">
        <v>188</v>
      </c>
      <c r="I57" s="14">
        <v>0.17399999999999999</v>
      </c>
    </row>
    <row r="58" spans="8:9">
      <c r="H58" s="11" t="s">
        <v>189</v>
      </c>
      <c r="I58" s="11" t="s">
        <v>242</v>
      </c>
    </row>
    <row r="59" spans="8:9">
      <c r="H59" s="11" t="s">
        <v>191</v>
      </c>
      <c r="I59" s="11" t="s">
        <v>243</v>
      </c>
    </row>
    <row r="60" spans="8:9">
      <c r="H60" s="11" t="s">
        <v>193</v>
      </c>
      <c r="I60" s="11" t="s">
        <v>244</v>
      </c>
    </row>
    <row r="61" spans="8:9">
      <c r="H61" s="11" t="s">
        <v>195</v>
      </c>
      <c r="I61" s="11">
        <v>2.0699999999999998</v>
      </c>
    </row>
    <row r="62" spans="8:9">
      <c r="H62" s="11" t="s">
        <v>196</v>
      </c>
      <c r="I62" s="14">
        <v>-0.13200000000000001</v>
      </c>
    </row>
    <row r="64" spans="8:9">
      <c r="H64" s="11" t="s">
        <v>197</v>
      </c>
      <c r="I64" s="11" t="s">
        <v>245</v>
      </c>
    </row>
    <row r="65" spans="8:9">
      <c r="H65" s="11" t="s">
        <v>199</v>
      </c>
      <c r="I65" s="11">
        <v>9.17</v>
      </c>
    </row>
    <row r="66" spans="8:9">
      <c r="H66" s="11" t="s">
        <v>200</v>
      </c>
      <c r="I66" s="11" t="s">
        <v>246</v>
      </c>
    </row>
    <row r="67" spans="8:9">
      <c r="H67" s="11" t="s">
        <v>202</v>
      </c>
      <c r="I67" s="11">
        <v>32.32</v>
      </c>
    </row>
    <row r="68" spans="8:9">
      <c r="H68" s="11" t="s">
        <v>203</v>
      </c>
      <c r="I68" s="11">
        <v>1.43</v>
      </c>
    </row>
    <row r="69" spans="8:9">
      <c r="H69" s="11" t="s">
        <v>204</v>
      </c>
      <c r="I69" s="11">
        <v>14.4</v>
      </c>
    </row>
    <row r="71" spans="8:9">
      <c r="H71" s="11" t="s">
        <v>205</v>
      </c>
      <c r="I71" s="11" t="s">
        <v>247</v>
      </c>
    </row>
    <row r="72" spans="8:9">
      <c r="H72" s="11" t="s">
        <v>207</v>
      </c>
      <c r="I72" s="11" t="s">
        <v>248</v>
      </c>
    </row>
  </sheetData>
  <mergeCells count="5">
    <mergeCell ref="H3:H4"/>
    <mergeCell ref="J3:J4"/>
    <mergeCell ref="K3:K4"/>
    <mergeCell ref="L3:L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8</vt:i4>
      </vt:variant>
    </vt:vector>
  </HeadingPairs>
  <TitlesOfParts>
    <vt:vector size="26" baseType="lpstr">
      <vt:lpstr>VISA INC</vt:lpstr>
      <vt:lpstr>Mastercard</vt:lpstr>
      <vt:lpstr>PayPal</vt:lpstr>
      <vt:lpstr>AMEX</vt:lpstr>
      <vt:lpstr>Debt-Equity</vt:lpstr>
      <vt:lpstr>Stock Price &amp; Others over time</vt:lpstr>
      <vt:lpstr>VS</vt:lpstr>
      <vt:lpstr>MC</vt:lpstr>
      <vt:lpstr>PYPL</vt:lpstr>
      <vt:lpstr>AXP</vt:lpstr>
      <vt:lpstr>PE-EPS Over Time</vt:lpstr>
      <vt:lpstr>Cash Conversion</vt:lpstr>
      <vt:lpstr>EV-EBITDA</vt:lpstr>
      <vt:lpstr>CAGR</vt:lpstr>
      <vt:lpstr>CORRELATION (2)</vt:lpstr>
      <vt:lpstr>CORRELATION</vt:lpstr>
      <vt:lpstr>RETURNS</vt:lpstr>
      <vt:lpstr>Neat</vt:lpstr>
      <vt:lpstr>AXP!a_mex</vt:lpstr>
      <vt:lpstr>AXP!amex</vt:lpstr>
      <vt:lpstr>MC!m_ast</vt:lpstr>
      <vt:lpstr>MC!mastercard</vt:lpstr>
      <vt:lpstr>PYPL!paypal</vt:lpstr>
      <vt:lpstr>PYPL!payppal</vt:lpstr>
      <vt:lpstr>VS!v_isa</vt:lpstr>
      <vt:lpstr>VS!visa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carlo masera</cp:lastModifiedBy>
  <dcterms:created xsi:type="dcterms:W3CDTF">2016-07-27T10:12:29Z</dcterms:created>
  <dcterms:modified xsi:type="dcterms:W3CDTF">2020-09-22T07:53:27Z</dcterms:modified>
  <cp:category/>
</cp:coreProperties>
</file>