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xr:revisionPtr revIDLastSave="0" documentId="13_ncr:1_{E714C5C4-38D2-4ACC-AFCA-EE04F4EE74D2}" xr6:coauthVersionLast="47" xr6:coauthVersionMax="47" xr10:uidLastSave="{00000000-0000-0000-0000-000000000000}"/>
  <bookViews>
    <workbookView xWindow="-108" yWindow="-108" windowWidth="23256" windowHeight="12456" tabRatio="428" xr2:uid="{710725B9-49C3-4F1C-B67E-876654C1F215}"/>
  </bookViews>
  <sheets>
    <sheet name="Análise Investimentos" sheetId="1" r:id="rId1"/>
    <sheet name="Planilha3" sheetId="3" state="hidden" r:id="rId2"/>
    <sheet name="Planilha1 (2)" sheetId="2" state="hidden" r:id="rId3"/>
  </sheets>
  <definedNames>
    <definedName name="aporte_mensal" localSheetId="2">'Planilha1 (2)'!$C$16</definedName>
    <definedName name="aporte_mensal">'Análise Investimentos'!$D$19</definedName>
    <definedName name="montante_Final" localSheetId="2">'Planilha1 (2)'!$C$19</definedName>
    <definedName name="montante_Final">'Análise Investimentos'!$D$22</definedName>
    <definedName name="prazo_invest_anos" localSheetId="2">'Planilha1 (2)'!$C$17</definedName>
    <definedName name="prazo_invest_anos">'Análise Investimentos'!$D$20</definedName>
    <definedName name="rendimento_carteira" localSheetId="2">'Planilha1 (2)'!$F$17</definedName>
    <definedName name="rendimento_carteira">'Análise Investimentos'!$D$14</definedName>
    <definedName name="rentabilidade_mensal" localSheetId="2">'Planilha1 (2)'!$C$18</definedName>
    <definedName name="rentabilidade_mensal">'Análise Investimentos'!$D$21</definedName>
    <definedName name="salario" localSheetId="2">'Planilha1 (2)'!$F$16</definedName>
    <definedName name="salario">'Análise Investimentos'!$D$13</definedName>
    <definedName name="suestao_invest" localSheetId="2">'Planilha1 (2)'!$F$18</definedName>
    <definedName name="suestao_invest">'Análise Investimentos'!$D$15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D35" i="1" s="1"/>
  <c r="C37" i="1"/>
  <c r="D37" i="1" s="1"/>
  <c r="D54" i="1"/>
  <c r="C58" i="1"/>
  <c r="C59" i="1"/>
  <c r="C60" i="1"/>
  <c r="C61" i="1"/>
  <c r="C62" i="1"/>
  <c r="C57" i="1"/>
  <c r="I7" i="3"/>
  <c r="I6" i="3"/>
  <c r="I5" i="3"/>
  <c r="A19" i="3"/>
  <c r="A20" i="3"/>
  <c r="A18" i="3"/>
  <c r="A17" i="3"/>
  <c r="A16" i="3"/>
  <c r="A15" i="3"/>
  <c r="A14" i="3"/>
  <c r="A13" i="3"/>
  <c r="A12" i="3"/>
  <c r="A11" i="3"/>
  <c r="A10" i="3"/>
  <c r="A9" i="3"/>
  <c r="A4" i="3"/>
  <c r="A5" i="3"/>
  <c r="A6" i="3"/>
  <c r="A7" i="3"/>
  <c r="A8" i="3"/>
  <c r="A3" i="3"/>
  <c r="D22" i="1"/>
  <c r="D23" i="1" s="1"/>
  <c r="D15" i="1"/>
  <c r="D25" i="1"/>
  <c r="D26" i="1"/>
  <c r="C33" i="2"/>
  <c r="F33" i="2" s="1"/>
  <c r="C32" i="2"/>
  <c r="F32" i="2" s="1"/>
  <c r="C31" i="2"/>
  <c r="F31" i="2" s="1"/>
  <c r="F30" i="2"/>
  <c r="C30" i="2"/>
  <c r="C29" i="2"/>
  <c r="F29" i="2" s="1"/>
  <c r="C23" i="2"/>
  <c r="C22" i="2"/>
  <c r="C19" i="2"/>
  <c r="C24" i="2" s="1"/>
  <c r="F18" i="2"/>
  <c r="C33" i="1"/>
  <c r="D33" i="1" s="1"/>
  <c r="C34" i="1"/>
  <c r="D34" i="1" s="1"/>
  <c r="C36" i="1"/>
  <c r="D36" i="1" s="1"/>
  <c r="C38" i="1"/>
  <c r="D38" i="1" s="1"/>
  <c r="C32" i="1"/>
  <c r="D32" i="1" s="1"/>
  <c r="D58" i="1" l="1"/>
  <c r="D57" i="1"/>
  <c r="D62" i="1"/>
  <c r="D61" i="1"/>
  <c r="D60" i="1"/>
  <c r="D59" i="1"/>
  <c r="D27" i="1"/>
  <c r="C20" i="2"/>
  <c r="D63" i="1" l="1"/>
</calcChain>
</file>

<file path=xl/sharedStrings.xml><?xml version="1.0" encoding="utf-8"?>
<sst xmlns="http://schemas.openxmlformats.org/spreadsheetml/2006/main" count="101" uniqueCount="53">
  <si>
    <t>INVESTIMENTO MENSAL</t>
  </si>
  <si>
    <t>Aporte Mensal</t>
  </si>
  <si>
    <t>Prazo do Investimento (anos)</t>
  </si>
  <si>
    <t>Rentabilidade Mensal (% a.m.)</t>
  </si>
  <si>
    <t>Capital Total Investido</t>
  </si>
  <si>
    <t>Montante Final (com Juros)</t>
  </si>
  <si>
    <t>Projeção de Renda Mensal</t>
  </si>
  <si>
    <t>Rendimentos Acumulados</t>
  </si>
  <si>
    <t>Aportes Totais (meses)</t>
  </si>
  <si>
    <t>PROJEÇÃO DE RENDA MENSAL</t>
  </si>
  <si>
    <t>Rendimento Carteira</t>
  </si>
  <si>
    <t>Salário</t>
  </si>
  <si>
    <t>Sugestão de Investimento</t>
  </si>
  <si>
    <t>CONFIGURAÇÕES</t>
  </si>
  <si>
    <t>Montante Projetado - 10 anos</t>
  </si>
  <si>
    <t>Montante Projetado - 20 anos</t>
  </si>
  <si>
    <t>Montante Projetado - 30 anos</t>
  </si>
  <si>
    <t>Montante Projetado - 02 anos</t>
  </si>
  <si>
    <t>Montante Projetado - 05 anos</t>
  </si>
  <si>
    <t>HORIZONTE DE INVESTIMENTOS</t>
  </si>
  <si>
    <t>Montante Final</t>
  </si>
  <si>
    <t>02 anos</t>
  </si>
  <si>
    <t>05 anos</t>
  </si>
  <si>
    <t>10 anos</t>
  </si>
  <si>
    <t xml:space="preserve"> 20 anos</t>
  </si>
  <si>
    <t>30 anos</t>
  </si>
  <si>
    <t>Período</t>
  </si>
  <si>
    <t>Perfil</t>
  </si>
  <si>
    <t>Agressivo</t>
  </si>
  <si>
    <t>Moderado</t>
  </si>
  <si>
    <t>Conservador</t>
  </si>
  <si>
    <t>Valor a ser investidos por mês</t>
  </si>
  <si>
    <t>Tipo de FII</t>
  </si>
  <si>
    <t>Percentual Sugerido</t>
  </si>
  <si>
    <t>Valores</t>
  </si>
  <si>
    <t>Papel</t>
  </si>
  <si>
    <t>Tijolo</t>
  </si>
  <si>
    <t>Hibrídos</t>
  </si>
  <si>
    <t>FOFs</t>
  </si>
  <si>
    <t>Desenvolvimento</t>
  </si>
  <si>
    <t>Hospitalidade</t>
  </si>
  <si>
    <t>PERFIL DE INVESTIDOR</t>
  </si>
  <si>
    <t xml:space="preserve">Perfil </t>
  </si>
  <si>
    <t>Percentual</t>
  </si>
  <si>
    <t>Chave</t>
  </si>
  <si>
    <t>Moderado-Tijolo</t>
  </si>
  <si>
    <t>%</t>
  </si>
  <si>
    <t>Agressivo-Tijolo</t>
  </si>
  <si>
    <t>Conservador-Tijolo</t>
  </si>
  <si>
    <t>Sugestão de Investimento (30%)</t>
  </si>
  <si>
    <t>25 anos</t>
  </si>
  <si>
    <t>15 anos</t>
  </si>
  <si>
    <t>Rendimento da Carteira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</si>
</sst>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#,##0.00;[Red]\-&quot;R$&quot;#,##0.00"/>
    <numFmt numFmtId="164" formatCode="&quot;R$&quot;#,##0.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1" fontId="3" fillId="0" borderId="2" xfId="0" applyNumberFormat="1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8" fontId="3" fillId="3" borderId="2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8" fontId="3" fillId="0" borderId="2" xfId="0" applyNumberFormat="1" applyFont="1" applyBorder="1" applyAlignment="1">
      <alignment horizontal="center"/>
    </xf>
    <xf numFmtId="0" fontId="2" fillId="0" borderId="0" xfId="0" applyFont="1"/>
    <xf numFmtId="0" fontId="4" fillId="2" borderId="0" xfId="0" applyFont="1" applyFill="1" applyAlignment="1">
      <alignment horizontal="centerContinuous" vertical="center"/>
    </xf>
    <xf numFmtId="1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0" fillId="0" borderId="0" xfId="0" applyAlignment="1">
      <alignment horizontal="centerContinuous"/>
    </xf>
    <xf numFmtId="0" fontId="6" fillId="2" borderId="0" xfId="0" applyFont="1" applyFill="1" applyAlignment="1">
      <alignment horizontal="centerContinuous" vertical="center" wrapText="1"/>
    </xf>
    <xf numFmtId="0" fontId="5" fillId="2" borderId="0" xfId="0" applyFont="1" applyFill="1" applyAlignment="1">
      <alignment horizontal="centerContinuous" vertical="center" wrapText="1"/>
    </xf>
    <xf numFmtId="0" fontId="5" fillId="2" borderId="0" xfId="0" applyFont="1" applyFill="1" applyAlignment="1">
      <alignment horizontal="centerContinuous" vertical="center"/>
    </xf>
    <xf numFmtId="8" fontId="3" fillId="0" borderId="1" xfId="0" applyNumberFormat="1" applyFont="1" applyBorder="1" applyAlignment="1">
      <alignment horizontal="right"/>
    </xf>
    <xf numFmtId="8" fontId="3" fillId="0" borderId="1" xfId="0" applyNumberFormat="1" applyFont="1" applyBorder="1"/>
    <xf numFmtId="8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right"/>
    </xf>
    <xf numFmtId="10" fontId="3" fillId="0" borderId="2" xfId="0" applyNumberFormat="1" applyFont="1" applyBorder="1" applyAlignment="1">
      <alignment horizontal="right"/>
    </xf>
    <xf numFmtId="164" fontId="3" fillId="0" borderId="2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3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6" fillId="4" borderId="0" xfId="0" applyFont="1" applyFill="1" applyAlignment="1">
      <alignment horizontal="center"/>
    </xf>
    <xf numFmtId="9" fontId="3" fillId="0" borderId="0" xfId="0" applyNumberFormat="1" applyFont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0" fontId="7" fillId="0" borderId="0" xfId="0" applyFont="1"/>
    <xf numFmtId="0" fontId="3" fillId="0" borderId="3" xfId="0" applyFont="1" applyBorder="1"/>
    <xf numFmtId="10" fontId="0" fillId="0" borderId="0" xfId="0" applyNumberFormat="1"/>
    <xf numFmtId="0" fontId="3" fillId="5" borderId="2" xfId="0" applyFont="1" applyFill="1" applyBorder="1" applyAlignment="1">
      <alignment horizontal="centerContinuous"/>
    </xf>
    <xf numFmtId="0" fontId="3" fillId="5" borderId="1" xfId="0" applyFont="1" applyFill="1" applyBorder="1" applyAlignment="1">
      <alignment horizontal="centerContinuous"/>
    </xf>
    <xf numFmtId="8" fontId="7" fillId="5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Continuous"/>
    </xf>
    <xf numFmtId="0" fontId="3" fillId="6" borderId="1" xfId="0" applyFont="1" applyFill="1" applyBorder="1" applyAlignment="1">
      <alignment horizontal="centerContinuous"/>
    </xf>
    <xf numFmtId="0" fontId="7" fillId="6" borderId="2" xfId="0" applyFont="1" applyFill="1" applyBorder="1" applyAlignment="1">
      <alignment horizontal="center"/>
    </xf>
    <xf numFmtId="164" fontId="7" fillId="6" borderId="2" xfId="0" applyNumberFormat="1" applyFont="1" applyFill="1" applyBorder="1" applyAlignment="1">
      <alignment horizontal="center"/>
    </xf>
    <xf numFmtId="8" fontId="7" fillId="6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'Análise Investimentos'!$C$56</c:f>
              <c:strCache>
                <c:ptCount val="1"/>
                <c:pt idx="0">
                  <c:v>Percentual Sugerido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86-4C0F-9823-FC2B51B4EF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86-4C0F-9823-FC2B51B4EF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86-4C0F-9823-FC2B51B4EF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86-4C0F-9823-FC2B51B4EF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86-4C0F-9823-FC2B51B4EF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586-4C0F-9823-FC2B51B4EF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Investimentos'!$B$57:$B$62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Hibrídos</c:v>
                </c:pt>
                <c:pt idx="3">
                  <c:v>FOFs</c:v>
                </c:pt>
                <c:pt idx="4">
                  <c:v>Desenvolvimento</c:v>
                </c:pt>
                <c:pt idx="5">
                  <c:v>Hospitalidade</c:v>
                </c:pt>
              </c:strCache>
            </c:strRef>
          </c:cat>
          <c:val>
            <c:numRef>
              <c:f>'Análise Investimentos'!$C$57:$C$62</c:f>
              <c:numCache>
                <c:formatCode>0%</c:formatCode>
                <c:ptCount val="6"/>
                <c:pt idx="0">
                  <c:v>0.32</c:v>
                </c:pt>
                <c:pt idx="1">
                  <c:v>0.4</c:v>
                </c:pt>
                <c:pt idx="2">
                  <c:v>0.08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4-4FE1-8BD7-4B6583EC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'Análise Investimentos'!$C$31</c:f>
              <c:strCache>
                <c:ptCount val="1"/>
                <c:pt idx="0">
                  <c:v>Montante Final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Investimentos'!$B$32:$B$38</c:f>
              <c:strCache>
                <c:ptCount val="7"/>
                <c:pt idx="0">
                  <c:v>02 anos</c:v>
                </c:pt>
                <c:pt idx="1">
                  <c:v>05 anos</c:v>
                </c:pt>
                <c:pt idx="2">
                  <c:v>10 anos</c:v>
                </c:pt>
                <c:pt idx="3">
                  <c:v>15 anos</c:v>
                </c:pt>
                <c:pt idx="4">
                  <c:v> 20 anos</c:v>
                </c:pt>
                <c:pt idx="5">
                  <c:v>25 anos</c:v>
                </c:pt>
                <c:pt idx="6">
                  <c:v>30 anos</c:v>
                </c:pt>
              </c:strCache>
            </c:strRef>
          </c:cat>
          <c:val>
            <c:numRef>
              <c:f>'Análise Investimentos'!$C$32:$C$38</c:f>
              <c:numCache>
                <c:formatCode>"R$"#,##0.00_);[Red]\("R$"#,##0.00\)</c:formatCode>
                <c:ptCount val="7"/>
                <c:pt idx="0">
                  <c:v>64295.734033557324</c:v>
                </c:pt>
                <c:pt idx="1">
                  <c:v>207094.5905018702</c:v>
                </c:pt>
                <c:pt idx="2">
                  <c:v>656600.5733501683</c:v>
                </c:pt>
                <c:pt idx="3">
                  <c:v>1632268.8808938649</c:v>
                </c:pt>
                <c:pt idx="4">
                  <c:v>3749990.7414868614</c:v>
                </c:pt>
                <c:pt idx="5">
                  <c:v>8346579.4019549638</c:v>
                </c:pt>
                <c:pt idx="6">
                  <c:v>18323634.324374091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6-42FC-BE18-B4E1957D4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735295"/>
        <c:axId val="1973756415"/>
      </c:lineChart>
      <c:catAx>
        <c:axId val="197373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756415"/>
        <c:crosses val="autoZero"/>
        <c:auto val="1"/>
        <c:lblAlgn val="ctr"/>
        <c:lblOffset val="100"/>
        <c:noMultiLvlLbl val="0"/>
      </c:catAx>
      <c:valAx>
        <c:axId val="1973756415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97373529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64</xdr:row>
      <xdr:rowOff>60960</xdr:rowOff>
    </xdr:from>
    <xdr:to>
      <xdr:col>4</xdr:col>
      <xdr:colOff>15240</xdr:colOff>
      <xdr:row>81</xdr:row>
      <xdr:rowOff>26670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720122-B2C2-7E24-D75D-6C470E43D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38</xdr:row>
      <xdr:rowOff>137160</xdr:rowOff>
    </xdr:from>
    <xdr:to>
      <xdr:col>4</xdr:col>
      <xdr:colOff>15240</xdr:colOff>
      <xdr:row>49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8AEA8E-111B-FC65-4772-B8EA8D587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913281</xdr:colOff>
      <xdr:row>0</xdr:row>
      <xdr:rowOff>89647</xdr:rowOff>
    </xdr:from>
    <xdr:to>
      <xdr:col>3</xdr:col>
      <xdr:colOff>855329</xdr:colOff>
      <xdr:row>9</xdr:row>
      <xdr:rowOff>100738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DF079AC-8D18-9145-6A3A-A2DCBB9E9B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368" b="32169"/>
        <a:stretch/>
      </xdr:blipFill>
      <xdr:spPr>
        <a:xfrm>
          <a:off x="1128434" y="89647"/>
          <a:ext cx="3832730" cy="1624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1274717</xdr:colOff>
      <xdr:row>1</xdr:row>
      <xdr:rowOff>54430</xdr:rowOff>
    </xdr:from>
    <xdr:to>
      <xdr:col>5</xdr:col>
      <xdr:colOff>614659</xdr:colOff>
      <xdr:row>10</xdr:row>
      <xdr:rowOff>135142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5C93F69-C27B-44DB-801C-FC6741833A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117" b="23371"/>
        <a:stretch/>
      </xdr:blipFill>
      <xdr:spPr>
        <a:xfrm>
          <a:off x="1861457" y="237310"/>
          <a:ext cx="6053162" cy="1726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2E5A0-D987-40CC-894C-B579E6D7C3C3}">
  <dimension ref="A1:H82"/>
  <sheetViews>
    <sheetView showGridLines="0" showRowColHeaders="0" tabSelected="1" zoomScaleNormal="100" workbookViewId="0">
      <selection activeCell="E8" sqref="E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zeroHeight="1" x14ac:dyDescent="0.3"/>
  <cols>
    <col min="1" max="1" width="3.109375" customWidth="1"/>
    <col min="2" max="2" width="27.77734375" bestFit="1" customWidth="1"/>
    <col min="3" max="3" width="28.88671875" bestFit="1" customWidth="1"/>
    <col min="4" max="4" width="25.77734375" bestFit="1" customWidth="1"/>
    <col min="5" max="5" width="3.109375" customWidth="1"/>
    <col min="6" max="8" width="11.21875" hidden="1" customWidth="1"/>
    <col min="9" max="16384" width="8.88671875" hidden="1"/>
  </cols>
  <sheetData>
    <row r="1" spans="2:4" x14ac:dyDescent="0.3"/>
    <row r="2" spans="2:4" x14ac:dyDescent="0.3"/>
    <row r="3" spans="2:4" x14ac:dyDescent="0.3"/>
    <row r="4" spans="2:4" x14ac:dyDescent="0.3"/>
    <row r="5" spans="2:4" x14ac:dyDescent="0.3"/>
    <row r="6" spans="2:4" x14ac:dyDescent="0.3"/>
    <row r="7" spans="2:4" x14ac:dyDescent="0.3"/>
    <row r="8" spans="2:4" x14ac:dyDescent="0.3"/>
    <row r="9" spans="2:4" x14ac:dyDescent="0.3"/>
    <row r="10" spans="2:4" x14ac:dyDescent="0.3"/>
    <row r="11" spans="2:4" ht="21" x14ac:dyDescent="0.3">
      <c r="B11" s="27" t="s">
        <v>13</v>
      </c>
      <c r="C11" s="27"/>
      <c r="D11" s="27"/>
    </row>
    <row r="12" spans="2:4" x14ac:dyDescent="0.3"/>
    <row r="13" spans="2:4" ht="15.6" x14ac:dyDescent="0.3">
      <c r="B13" s="34" t="s">
        <v>11</v>
      </c>
      <c r="C13" s="34"/>
      <c r="D13" s="38">
        <v>8300</v>
      </c>
    </row>
    <row r="14" spans="2:4" ht="15.6" x14ac:dyDescent="0.3">
      <c r="B14" s="35" t="s">
        <v>52</v>
      </c>
      <c r="C14" s="34"/>
      <c r="D14" s="40">
        <v>1.2999999999999999E-2</v>
      </c>
    </row>
    <row r="15" spans="2:4" ht="15.6" x14ac:dyDescent="0.3">
      <c r="B15" s="35" t="s">
        <v>49</v>
      </c>
      <c r="C15" s="34"/>
      <c r="D15" s="41">
        <f>D13*30%</f>
        <v>2490</v>
      </c>
    </row>
    <row r="16" spans="2:4" x14ac:dyDescent="0.3"/>
    <row r="17" spans="1:6" ht="21" x14ac:dyDescent="0.3">
      <c r="B17" s="27" t="s">
        <v>0</v>
      </c>
      <c r="C17" s="27"/>
      <c r="D17" s="27"/>
    </row>
    <row r="18" spans="1:6" x14ac:dyDescent="0.3"/>
    <row r="19" spans="1:6" ht="15.6" x14ac:dyDescent="0.3">
      <c r="B19" s="34" t="s">
        <v>1</v>
      </c>
      <c r="C19" s="34"/>
      <c r="D19" s="38">
        <v>2300</v>
      </c>
      <c r="F19" s="4"/>
    </row>
    <row r="20" spans="1:6" ht="15.6" x14ac:dyDescent="0.3">
      <c r="B20" s="35" t="s">
        <v>2</v>
      </c>
      <c r="C20" s="34"/>
      <c r="D20" s="39">
        <v>5</v>
      </c>
    </row>
    <row r="21" spans="1:6" ht="15.6" x14ac:dyDescent="0.3">
      <c r="B21" s="35" t="s">
        <v>3</v>
      </c>
      <c r="C21" s="34"/>
      <c r="D21" s="40">
        <v>1.2999999999999999E-2</v>
      </c>
    </row>
    <row r="22" spans="1:6" ht="15.6" x14ac:dyDescent="0.3">
      <c r="B22" s="54" t="s">
        <v>5</v>
      </c>
      <c r="C22" s="55"/>
      <c r="D22" s="56">
        <f>FV(rentabilidade_mensal,prazo_invest_anos*12,aporte_mensal*-1)</f>
        <v>207094.5905018702</v>
      </c>
    </row>
    <row r="23" spans="1:6" ht="15.6" x14ac:dyDescent="0.3">
      <c r="B23" s="54" t="s">
        <v>6</v>
      </c>
      <c r="C23" s="55"/>
      <c r="D23" s="56">
        <f>montante_Final*rendimento_carteira</f>
        <v>2692.2296765243127</v>
      </c>
    </row>
    <row r="24" spans="1:6" ht="15.6" x14ac:dyDescent="0.3">
      <c r="B24" s="24"/>
      <c r="C24" s="34"/>
      <c r="D24" s="36"/>
    </row>
    <row r="25" spans="1:6" ht="15.6" x14ac:dyDescent="0.3">
      <c r="B25" s="57" t="s">
        <v>8</v>
      </c>
      <c r="C25" s="58"/>
      <c r="D25" s="59">
        <f>D20*12</f>
        <v>60</v>
      </c>
    </row>
    <row r="26" spans="1:6" ht="15.6" x14ac:dyDescent="0.3">
      <c r="B26" s="57" t="s">
        <v>4</v>
      </c>
      <c r="C26" s="58"/>
      <c r="D26" s="60">
        <f>D19*12*D20</f>
        <v>138000</v>
      </c>
    </row>
    <row r="27" spans="1:6" ht="15.6" x14ac:dyDescent="0.3">
      <c r="B27" s="57" t="s">
        <v>7</v>
      </c>
      <c r="C27" s="58"/>
      <c r="D27" s="61">
        <f>D22-D26</f>
        <v>69094.590501870203</v>
      </c>
    </row>
    <row r="28" spans="1:6" x14ac:dyDescent="0.3"/>
    <row r="29" spans="1:6" ht="23.4" x14ac:dyDescent="0.3">
      <c r="B29" s="27" t="s">
        <v>19</v>
      </c>
      <c r="C29" s="20"/>
      <c r="D29" s="20"/>
    </row>
    <row r="30" spans="1:6" x14ac:dyDescent="0.3"/>
    <row r="31" spans="1:6" ht="15.6" x14ac:dyDescent="0.3">
      <c r="B31" s="42" t="s">
        <v>26</v>
      </c>
      <c r="C31" s="42" t="s">
        <v>20</v>
      </c>
      <c r="D31" s="43" t="s">
        <v>6</v>
      </c>
    </row>
    <row r="32" spans="1:6" ht="15.6" x14ac:dyDescent="0.3">
      <c r="A32" s="19">
        <v>2</v>
      </c>
      <c r="B32" s="14" t="s">
        <v>21</v>
      </c>
      <c r="C32" s="30">
        <f t="shared" ref="C32:C38" si="0">FV($D$21,$A32*12,$D$19*-1)</f>
        <v>64295.734033557324</v>
      </c>
      <c r="D32" s="30">
        <f t="shared" ref="D32:D38" si="1">C32*rendimento_carteira</f>
        <v>835.84454243624521</v>
      </c>
    </row>
    <row r="33" spans="1:4" ht="15.6" x14ac:dyDescent="0.3">
      <c r="A33" s="19">
        <v>5</v>
      </c>
      <c r="B33" s="14" t="s">
        <v>22</v>
      </c>
      <c r="C33" s="18">
        <f t="shared" si="0"/>
        <v>207094.5905018702</v>
      </c>
      <c r="D33" s="30">
        <f t="shared" si="1"/>
        <v>2692.2296765243127</v>
      </c>
    </row>
    <row r="34" spans="1:4" ht="15.6" x14ac:dyDescent="0.3">
      <c r="A34" s="19">
        <v>10</v>
      </c>
      <c r="B34" s="14" t="s">
        <v>23</v>
      </c>
      <c r="C34" s="18">
        <f t="shared" si="0"/>
        <v>656600.5733501683</v>
      </c>
      <c r="D34" s="30">
        <f t="shared" si="1"/>
        <v>8535.8074535521882</v>
      </c>
    </row>
    <row r="35" spans="1:4" ht="15.6" x14ac:dyDescent="0.3">
      <c r="A35" s="19">
        <v>15</v>
      </c>
      <c r="B35" s="14" t="s">
        <v>51</v>
      </c>
      <c r="C35" s="18">
        <f t="shared" si="0"/>
        <v>1632268.8808938649</v>
      </c>
      <c r="D35" s="30">
        <f t="shared" si="1"/>
        <v>21219.495451620242</v>
      </c>
    </row>
    <row r="36" spans="1:4" ht="15.6" x14ac:dyDescent="0.3">
      <c r="A36" s="19">
        <v>20</v>
      </c>
      <c r="B36" s="14" t="s">
        <v>24</v>
      </c>
      <c r="C36" s="18">
        <f t="shared" si="0"/>
        <v>3749990.7414868614</v>
      </c>
      <c r="D36" s="30">
        <f t="shared" si="1"/>
        <v>48749.879639329192</v>
      </c>
    </row>
    <row r="37" spans="1:4" ht="15.6" x14ac:dyDescent="0.3">
      <c r="A37" s="19">
        <v>25</v>
      </c>
      <c r="B37" s="14" t="s">
        <v>50</v>
      </c>
      <c r="C37" s="18">
        <f t="shared" si="0"/>
        <v>8346579.4019549638</v>
      </c>
      <c r="D37" s="30">
        <f t="shared" si="1"/>
        <v>108505.53222541453</v>
      </c>
    </row>
    <row r="38" spans="1:4" ht="15.6" x14ac:dyDescent="0.3">
      <c r="A38" s="19">
        <v>30</v>
      </c>
      <c r="B38" s="14" t="s">
        <v>25</v>
      </c>
      <c r="C38" s="18">
        <f t="shared" si="0"/>
        <v>18323634.324374091</v>
      </c>
      <c r="D38" s="30">
        <f t="shared" si="1"/>
        <v>238207.24621686316</v>
      </c>
    </row>
    <row r="39" spans="1:4" x14ac:dyDescent="0.3"/>
    <row r="40" spans="1:4" x14ac:dyDescent="0.3"/>
    <row r="41" spans="1:4" x14ac:dyDescent="0.3"/>
    <row r="42" spans="1:4" x14ac:dyDescent="0.3"/>
    <row r="43" spans="1:4" x14ac:dyDescent="0.3"/>
    <row r="44" spans="1:4" x14ac:dyDescent="0.3"/>
    <row r="45" spans="1:4" x14ac:dyDescent="0.3"/>
    <row r="46" spans="1:4" x14ac:dyDescent="0.3"/>
    <row r="47" spans="1:4" x14ac:dyDescent="0.3"/>
    <row r="48" spans="1:4" x14ac:dyDescent="0.3"/>
    <row r="49" spans="2:4" x14ac:dyDescent="0.3"/>
    <row r="50" spans="2:4" x14ac:dyDescent="0.3"/>
    <row r="51" spans="2:4" ht="23.4" x14ac:dyDescent="0.3">
      <c r="B51" s="27" t="s">
        <v>41</v>
      </c>
      <c r="C51" s="20"/>
      <c r="D51" s="20"/>
    </row>
    <row r="52" spans="2:4" x14ac:dyDescent="0.3"/>
    <row r="53" spans="2:4" ht="15.6" x14ac:dyDescent="0.3">
      <c r="B53" s="45" t="s">
        <v>42</v>
      </c>
      <c r="C53" s="44"/>
      <c r="D53" s="37" t="s">
        <v>29</v>
      </c>
    </row>
    <row r="54" spans="2:4" ht="15.6" x14ac:dyDescent="0.3">
      <c r="B54" s="44" t="s">
        <v>31</v>
      </c>
      <c r="C54" s="44"/>
      <c r="D54" s="2">
        <f>aporte_mensal</f>
        <v>2300</v>
      </c>
    </row>
    <row r="55" spans="2:4" ht="15.6" x14ac:dyDescent="0.3">
      <c r="B55" s="1"/>
      <c r="C55" s="1"/>
      <c r="D55" s="1"/>
    </row>
    <row r="56" spans="2:4" ht="15.6" x14ac:dyDescent="0.3">
      <c r="B56" s="46" t="s">
        <v>32</v>
      </c>
      <c r="C56" s="46" t="s">
        <v>33</v>
      </c>
      <c r="D56" s="46" t="s">
        <v>34</v>
      </c>
    </row>
    <row r="57" spans="2:4" ht="15.6" x14ac:dyDescent="0.3">
      <c r="B57" s="3" t="s">
        <v>35</v>
      </c>
      <c r="C57" s="47">
        <f>VLOOKUP($D$53&amp;"-"&amp;B57,Planilha3!$A$2:$D$20,4,FALSE)</f>
        <v>0.32</v>
      </c>
      <c r="D57" s="2">
        <f>C57*$D$54</f>
        <v>736</v>
      </c>
    </row>
    <row r="58" spans="2:4" ht="15.6" x14ac:dyDescent="0.3">
      <c r="B58" s="3" t="s">
        <v>36</v>
      </c>
      <c r="C58" s="47">
        <f>VLOOKUP($D$53&amp;"-"&amp;B58,Planilha3!$A$2:$D$20,4,FALSE)</f>
        <v>0.4</v>
      </c>
      <c r="D58" s="2">
        <f t="shared" ref="D58:D62" si="2">C58*$D$54</f>
        <v>920</v>
      </c>
    </row>
    <row r="59" spans="2:4" ht="15.6" x14ac:dyDescent="0.3">
      <c r="B59" s="3" t="s">
        <v>37</v>
      </c>
      <c r="C59" s="47">
        <f>VLOOKUP($D$53&amp;"-"&amp;B59,Planilha3!$A$2:$D$20,4,FALSE)</f>
        <v>0.08</v>
      </c>
      <c r="D59" s="2">
        <f t="shared" si="2"/>
        <v>184</v>
      </c>
    </row>
    <row r="60" spans="2:4" ht="15.6" x14ac:dyDescent="0.3">
      <c r="B60" s="3" t="s">
        <v>38</v>
      </c>
      <c r="C60" s="47">
        <f>VLOOKUP($D$53&amp;"-"&amp;B60,Planilha3!$A$2:$D$20,4,FALSE)</f>
        <v>0.1</v>
      </c>
      <c r="D60" s="2">
        <f t="shared" si="2"/>
        <v>230</v>
      </c>
    </row>
    <row r="61" spans="2:4" ht="15.6" x14ac:dyDescent="0.3">
      <c r="B61" s="3" t="s">
        <v>39</v>
      </c>
      <c r="C61" s="47">
        <f>VLOOKUP($D$53&amp;"-"&amp;B61,Planilha3!$A$2:$D$20,4,FALSE)</f>
        <v>0.05</v>
      </c>
      <c r="D61" s="2">
        <f t="shared" si="2"/>
        <v>115</v>
      </c>
    </row>
    <row r="62" spans="2:4" ht="15.6" x14ac:dyDescent="0.3">
      <c r="B62" s="3" t="s">
        <v>40</v>
      </c>
      <c r="C62" s="47">
        <f>VLOOKUP($D$53&amp;"-"&amp;B62,Planilha3!$A$2:$D$20,4,FALSE)</f>
        <v>0.05</v>
      </c>
      <c r="D62" s="2">
        <f t="shared" si="2"/>
        <v>115</v>
      </c>
    </row>
    <row r="63" spans="2:4" ht="15.6" x14ac:dyDescent="0.3">
      <c r="B63" s="46"/>
      <c r="C63" s="46"/>
      <c r="D63" s="48">
        <f>SUM(D57:D62)</f>
        <v>2300</v>
      </c>
    </row>
    <row r="64" spans="2: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</sheetData>
  <dataValidations count="5">
    <dataValidation type="list" allowBlank="1" showInputMessage="1" showErrorMessage="1" promptTitle="Escolha o Perfil" prompt="Selecione o perfil de investidor: Conservador, Moderado ou Agressivo" sqref="D53" xr:uid="{AADD63B2-84A2-4B68-838B-BE1015B29B7F}">
      <formula1>"Agressivo,Moderado,Conservador"</formula1>
    </dataValidation>
    <dataValidation allowBlank="1" showInputMessage="1" showErrorMessage="1" promptTitle="Salário" prompt="Digite o valor do seu salário liquido mensal" sqref="D13" xr:uid="{BDCD710A-5A03-4A41-9DE6-509EBF22C2A9}"/>
    <dataValidation allowBlank="1" showInputMessage="1" showErrorMessage="1" promptTitle="Rendimento da Carteira" prompt="Digite do valor do rendimento da sua carteira" sqref="D14" xr:uid="{631F805A-9865-4315-B325-6219B6E96EF3}"/>
    <dataValidation allowBlank="1" showInputMessage="1" showErrorMessage="1" promptTitle="Aporte Mensal" prompt="Digite quanto você quer investir por mês" sqref="D19" xr:uid="{8F982498-0841-4A5E-97F5-7015EFDD8930}"/>
    <dataValidation allowBlank="1" showInputMessage="1" showErrorMessage="1" promptTitle="Prazo de Investimentos" prompt="Digite o prazo em anos" sqref="D20" xr:uid="{DDE0E6B5-D57F-4EC0-85F7-14AA1A4396D1}"/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4E8D-BC95-4AB7-9024-4A85F3D2D88E}">
  <dimension ref="A2:I20"/>
  <sheetViews>
    <sheetView workbookViewId="0">
      <selection activeCell="I19" sqref="I19"/>
    </sheetView>
  </sheetViews>
  <sheetFormatPr defaultRowHeight="14.4" x14ac:dyDescent="0.3"/>
  <cols>
    <col min="1" max="1" width="28.88671875" bestFit="1" customWidth="1"/>
    <col min="2" max="2" width="12.33203125" bestFit="1" customWidth="1"/>
    <col min="3" max="3" width="16.5546875" bestFit="1" customWidth="1"/>
    <col min="4" max="4" width="11.109375" bestFit="1" customWidth="1"/>
    <col min="8" max="8" width="16.21875" bestFit="1" customWidth="1"/>
  </cols>
  <sheetData>
    <row r="2" spans="1:9" ht="15.6" x14ac:dyDescent="0.3">
      <c r="A2" s="51" t="s">
        <v>44</v>
      </c>
      <c r="B2" s="37" t="s">
        <v>27</v>
      </c>
      <c r="C2" s="37" t="s">
        <v>32</v>
      </c>
      <c r="D2" s="37" t="s">
        <v>43</v>
      </c>
    </row>
    <row r="3" spans="1:9" ht="15.6" x14ac:dyDescent="0.3">
      <c r="A3" s="1" t="str">
        <f>B3&amp;"-"&amp;C3</f>
        <v>Conservador-Papel</v>
      </c>
      <c r="B3" s="3" t="s">
        <v>30</v>
      </c>
      <c r="C3" s="3" t="s">
        <v>35</v>
      </c>
      <c r="D3" s="47">
        <v>0.3</v>
      </c>
    </row>
    <row r="4" spans="1:9" ht="15.6" x14ac:dyDescent="0.3">
      <c r="A4" s="1" t="str">
        <f t="shared" ref="A4:A20" si="0">B4&amp;"-"&amp;C4</f>
        <v>Conservador-Tijolo</v>
      </c>
      <c r="B4" s="3" t="s">
        <v>30</v>
      </c>
      <c r="C4" s="3" t="s">
        <v>36</v>
      </c>
      <c r="D4" s="47">
        <v>0.5</v>
      </c>
      <c r="I4" t="s">
        <v>46</v>
      </c>
    </row>
    <row r="5" spans="1:9" ht="15.6" x14ac:dyDescent="0.3">
      <c r="A5" s="1" t="str">
        <f t="shared" si="0"/>
        <v>Conservador-Hibrídos</v>
      </c>
      <c r="B5" s="3" t="s">
        <v>30</v>
      </c>
      <c r="C5" s="3" t="s">
        <v>37</v>
      </c>
      <c r="D5" s="47">
        <v>0.1</v>
      </c>
      <c r="H5" t="s">
        <v>45</v>
      </c>
      <c r="I5" s="53">
        <f>VLOOKUP(H5,A2:D20,4,FALSE)</f>
        <v>0.4</v>
      </c>
    </row>
    <row r="6" spans="1:9" ht="15.6" x14ac:dyDescent="0.3">
      <c r="A6" s="1" t="str">
        <f t="shared" si="0"/>
        <v>Conservador-FOFs</v>
      </c>
      <c r="B6" s="3" t="s">
        <v>30</v>
      </c>
      <c r="C6" s="3" t="s">
        <v>38</v>
      </c>
      <c r="D6" s="47">
        <v>0.1</v>
      </c>
      <c r="H6" t="s">
        <v>47</v>
      </c>
      <c r="I6" s="53">
        <f>VLOOKUP(H6,A3:D21,4,FALSE)</f>
        <v>0.1</v>
      </c>
    </row>
    <row r="7" spans="1:9" ht="15.6" x14ac:dyDescent="0.3">
      <c r="A7" s="1" t="str">
        <f t="shared" si="0"/>
        <v>Conservador-Desenvolvimento</v>
      </c>
      <c r="B7" s="3" t="s">
        <v>30</v>
      </c>
      <c r="C7" s="3" t="s">
        <v>39</v>
      </c>
      <c r="D7" s="47">
        <v>0</v>
      </c>
      <c r="H7" t="s">
        <v>48</v>
      </c>
      <c r="I7" s="53">
        <f>VLOOKUP(H7,A4:D22,4,FALSE)</f>
        <v>0.5</v>
      </c>
    </row>
    <row r="8" spans="1:9" ht="16.2" thickBot="1" x14ac:dyDescent="0.35">
      <c r="A8" s="52" t="str">
        <f t="shared" si="0"/>
        <v>Conservador-Hospitalidade</v>
      </c>
      <c r="B8" s="49" t="s">
        <v>30</v>
      </c>
      <c r="C8" s="49" t="s">
        <v>40</v>
      </c>
      <c r="D8" s="50">
        <v>0</v>
      </c>
    </row>
    <row r="9" spans="1:9" ht="15.6" x14ac:dyDescent="0.3">
      <c r="A9" s="1" t="str">
        <f t="shared" si="0"/>
        <v>Moderado-Papel</v>
      </c>
      <c r="B9" s="3" t="s">
        <v>29</v>
      </c>
      <c r="C9" s="3" t="s">
        <v>35</v>
      </c>
      <c r="D9" s="47">
        <v>0.32</v>
      </c>
    </row>
    <row r="10" spans="1:9" ht="15.6" x14ac:dyDescent="0.3">
      <c r="A10" s="1" t="str">
        <f t="shared" si="0"/>
        <v>Moderado-Tijolo</v>
      </c>
      <c r="B10" s="3" t="s">
        <v>29</v>
      </c>
      <c r="C10" s="3" t="s">
        <v>36</v>
      </c>
      <c r="D10" s="47">
        <v>0.4</v>
      </c>
    </row>
    <row r="11" spans="1:9" ht="15.6" x14ac:dyDescent="0.3">
      <c r="A11" s="1" t="str">
        <f t="shared" si="0"/>
        <v>Moderado-Hibrídos</v>
      </c>
      <c r="B11" s="3" t="s">
        <v>29</v>
      </c>
      <c r="C11" s="3" t="s">
        <v>37</v>
      </c>
      <c r="D11" s="47">
        <v>0.08</v>
      </c>
    </row>
    <row r="12" spans="1:9" ht="15.6" x14ac:dyDescent="0.3">
      <c r="A12" s="1" t="str">
        <f t="shared" si="0"/>
        <v>Moderado-FOFs</v>
      </c>
      <c r="B12" s="3" t="s">
        <v>29</v>
      </c>
      <c r="C12" s="3" t="s">
        <v>38</v>
      </c>
      <c r="D12" s="47">
        <v>0.1</v>
      </c>
    </row>
    <row r="13" spans="1:9" ht="15.6" x14ac:dyDescent="0.3">
      <c r="A13" s="1" t="str">
        <f t="shared" si="0"/>
        <v>Moderado-Desenvolvimento</v>
      </c>
      <c r="B13" s="3" t="s">
        <v>29</v>
      </c>
      <c r="C13" s="3" t="s">
        <v>39</v>
      </c>
      <c r="D13" s="47">
        <v>0.05</v>
      </c>
    </row>
    <row r="14" spans="1:9" ht="16.2" thickBot="1" x14ac:dyDescent="0.35">
      <c r="A14" s="52" t="str">
        <f t="shared" si="0"/>
        <v>Moderado-Hospitalidade</v>
      </c>
      <c r="B14" s="49" t="s">
        <v>29</v>
      </c>
      <c r="C14" s="49" t="s">
        <v>40</v>
      </c>
      <c r="D14" s="50">
        <v>0.05</v>
      </c>
    </row>
    <row r="15" spans="1:9" ht="15.6" x14ac:dyDescent="0.3">
      <c r="A15" s="1" t="str">
        <f t="shared" si="0"/>
        <v>Agressivo-Papel</v>
      </c>
      <c r="B15" s="3" t="s">
        <v>28</v>
      </c>
      <c r="C15" s="3" t="s">
        <v>35</v>
      </c>
      <c r="D15" s="47">
        <v>0.5</v>
      </c>
    </row>
    <row r="16" spans="1:9" ht="15.6" x14ac:dyDescent="0.3">
      <c r="A16" s="1" t="str">
        <f t="shared" si="0"/>
        <v>Agressivo-Tijolo</v>
      </c>
      <c r="B16" s="3" t="s">
        <v>28</v>
      </c>
      <c r="C16" s="3" t="s">
        <v>36</v>
      </c>
      <c r="D16" s="47">
        <v>0.1</v>
      </c>
    </row>
    <row r="17" spans="1:4" ht="15.6" x14ac:dyDescent="0.3">
      <c r="A17" s="1" t="str">
        <f t="shared" si="0"/>
        <v>Agressivo-Hibrídos</v>
      </c>
      <c r="B17" s="3" t="s">
        <v>28</v>
      </c>
      <c r="C17" s="3" t="s">
        <v>37</v>
      </c>
      <c r="D17" s="47">
        <v>0.05</v>
      </c>
    </row>
    <row r="18" spans="1:4" ht="15.6" x14ac:dyDescent="0.3">
      <c r="A18" s="1" t="str">
        <f t="shared" si="0"/>
        <v>Agressivo-FOFs</v>
      </c>
      <c r="B18" s="3" t="s">
        <v>28</v>
      </c>
      <c r="C18" s="3" t="s">
        <v>38</v>
      </c>
      <c r="D18" s="47">
        <v>0.05</v>
      </c>
    </row>
    <row r="19" spans="1:4" ht="15.6" x14ac:dyDescent="0.3">
      <c r="A19" s="1" t="str">
        <f t="shared" si="0"/>
        <v>Agressivo-Desenvolvimento</v>
      </c>
      <c r="B19" s="3" t="s">
        <v>28</v>
      </c>
      <c r="C19" s="3" t="s">
        <v>39</v>
      </c>
      <c r="D19" s="47">
        <v>0.2</v>
      </c>
    </row>
    <row r="20" spans="1:4" ht="15.6" x14ac:dyDescent="0.3">
      <c r="A20" s="1" t="str">
        <f t="shared" si="0"/>
        <v>Agressivo-Hospitalidade</v>
      </c>
      <c r="B20" s="3" t="s">
        <v>28</v>
      </c>
      <c r="C20" s="3" t="s">
        <v>40</v>
      </c>
      <c r="D20" s="47">
        <v>0.1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9D1C3-6867-4178-8106-9BD776C7E473}">
  <dimension ref="A14:H33"/>
  <sheetViews>
    <sheetView showGridLines="0" topLeftCell="A7" zoomScale="85" zoomScaleNormal="85" workbookViewId="0">
      <selection activeCell="G18" sqref="G18"/>
    </sheetView>
  </sheetViews>
  <sheetFormatPr defaultColWidth="0" defaultRowHeight="14.4" x14ac:dyDescent="0.3"/>
  <cols>
    <col min="1" max="1" width="8.5546875" customWidth="1"/>
    <col min="2" max="2" width="30.77734375" customWidth="1"/>
    <col min="3" max="3" width="34.6640625" customWidth="1"/>
    <col min="4" max="4" width="8.21875" customWidth="1"/>
    <col min="5" max="5" width="24.21875" customWidth="1"/>
    <col min="6" max="6" width="23.5546875" customWidth="1"/>
    <col min="7" max="7" width="11.5546875" customWidth="1"/>
    <col min="8" max="8" width="11.21875" hidden="1" customWidth="1"/>
    <col min="9" max="16384" width="8.88671875" hidden="1"/>
  </cols>
  <sheetData>
    <row r="14" spans="2:8" ht="37.200000000000003" customHeight="1" x14ac:dyDescent="0.3">
      <c r="B14" s="27" t="s">
        <v>0</v>
      </c>
      <c r="C14" s="20"/>
      <c r="E14" s="27" t="s">
        <v>13</v>
      </c>
      <c r="F14" s="20"/>
    </row>
    <row r="16" spans="2:8" ht="15.6" x14ac:dyDescent="0.3">
      <c r="B16" s="6" t="s">
        <v>1</v>
      </c>
      <c r="C16" s="7">
        <v>500</v>
      </c>
      <c r="D16" s="2"/>
      <c r="E16" s="13" t="s">
        <v>11</v>
      </c>
      <c r="F16" s="31">
        <v>5000</v>
      </c>
      <c r="H16" s="4"/>
    </row>
    <row r="17" spans="1:6" ht="15.6" x14ac:dyDescent="0.3">
      <c r="B17" s="8" t="s">
        <v>2</v>
      </c>
      <c r="C17" s="9">
        <v>3</v>
      </c>
      <c r="D17" s="21"/>
      <c r="E17" s="16" t="s">
        <v>10</v>
      </c>
      <c r="F17" s="32">
        <v>0.01</v>
      </c>
    </row>
    <row r="18" spans="1:6" ht="15.6" x14ac:dyDescent="0.3">
      <c r="B18" s="8" t="s">
        <v>3</v>
      </c>
      <c r="C18" s="10">
        <v>1.0789999999999999E-2</v>
      </c>
      <c r="D18" s="22"/>
      <c r="E18" s="16" t="s">
        <v>12</v>
      </c>
      <c r="F18" s="33">
        <f>F16*30%</f>
        <v>1500</v>
      </c>
    </row>
    <row r="19" spans="1:6" ht="15.6" x14ac:dyDescent="0.3">
      <c r="B19" s="11" t="s">
        <v>5</v>
      </c>
      <c r="C19" s="12">
        <f>FV(rentabilidade_mensal,prazo_invest_anos*12,aporte_mensal*-1)</f>
        <v>21854.187011511054</v>
      </c>
    </row>
    <row r="20" spans="1:6" ht="15.6" x14ac:dyDescent="0.3">
      <c r="B20" s="11" t="s">
        <v>6</v>
      </c>
      <c r="C20" s="12">
        <f>montante_Final*rendimento_carteira</f>
        <v>218.54187011511056</v>
      </c>
    </row>
    <row r="21" spans="1:6" x14ac:dyDescent="0.3">
      <c r="B21" s="5"/>
    </row>
    <row r="22" spans="1:6" ht="15.6" x14ac:dyDescent="0.3">
      <c r="B22" s="8" t="s">
        <v>8</v>
      </c>
      <c r="C22" s="17">
        <f>C17*12</f>
        <v>36</v>
      </c>
      <c r="D22" s="3"/>
    </row>
    <row r="23" spans="1:6" ht="15.6" x14ac:dyDescent="0.3">
      <c r="B23" s="8" t="s">
        <v>4</v>
      </c>
      <c r="C23" s="15">
        <f>C16*12*C17</f>
        <v>18000</v>
      </c>
      <c r="D23" s="2"/>
    </row>
    <row r="24" spans="1:6" ht="15.6" x14ac:dyDescent="0.3">
      <c r="B24" s="8" t="s">
        <v>7</v>
      </c>
      <c r="C24" s="18">
        <f>C19-C23</f>
        <v>3854.1870115110542</v>
      </c>
      <c r="D24" s="23"/>
    </row>
    <row r="27" spans="1:6" ht="23.4" x14ac:dyDescent="0.3">
      <c r="B27" s="27" t="s">
        <v>19</v>
      </c>
      <c r="C27" s="20"/>
      <c r="D27" s="20"/>
      <c r="E27" s="26" t="s">
        <v>9</v>
      </c>
      <c r="F27" s="25"/>
    </row>
    <row r="29" spans="1:6" ht="15.6" x14ac:dyDescent="0.3">
      <c r="A29" s="19">
        <v>2</v>
      </c>
      <c r="B29" s="6" t="s">
        <v>17</v>
      </c>
      <c r="C29" s="30">
        <f>FV($C$18,$A29*12,$C$16*-1)</f>
        <v>13613.813648822608</v>
      </c>
      <c r="D29" s="29"/>
      <c r="E29" s="30"/>
      <c r="F29" s="28">
        <f>C29*rendimento_carteira</f>
        <v>136.13813648822608</v>
      </c>
    </row>
    <row r="30" spans="1:6" ht="15.6" x14ac:dyDescent="0.3">
      <c r="A30" s="19">
        <v>5</v>
      </c>
      <c r="B30" s="6" t="s">
        <v>18</v>
      </c>
      <c r="C30" s="18">
        <f>FV($C$18,$A30*12,$C$16*-1)</f>
        <v>41888.456999243819</v>
      </c>
      <c r="D30" s="29"/>
      <c r="E30" s="30"/>
      <c r="F30" s="28">
        <f>C30*rendimento_carteira</f>
        <v>418.88456999243817</v>
      </c>
    </row>
    <row r="31" spans="1:6" ht="15.6" x14ac:dyDescent="0.3">
      <c r="A31" s="19">
        <v>10</v>
      </c>
      <c r="B31" s="6" t="s">
        <v>14</v>
      </c>
      <c r="C31" s="18">
        <f>FV($C$18,$A31*12,$C$16*-1)</f>
        <v>121642.1062650861</v>
      </c>
      <c r="D31" s="29"/>
      <c r="E31" s="30"/>
      <c r="F31" s="28">
        <f>C31*rendimento_carteira</f>
        <v>1216.4210626508609</v>
      </c>
    </row>
    <row r="32" spans="1:6" ht="15.6" x14ac:dyDescent="0.3">
      <c r="A32" s="19">
        <v>20</v>
      </c>
      <c r="B32" s="6" t="s">
        <v>15</v>
      </c>
      <c r="C32" s="18">
        <f>FV($C$18,$A32*12,$C$16*-1)</f>
        <v>562599.20004854025</v>
      </c>
      <c r="D32" s="29"/>
      <c r="E32" s="30"/>
      <c r="F32" s="28">
        <f>C32*rendimento_carteira</f>
        <v>5625.992000485403</v>
      </c>
    </row>
    <row r="33" spans="1:6" ht="15.6" x14ac:dyDescent="0.3">
      <c r="A33" s="19">
        <v>30</v>
      </c>
      <c r="B33" s="6" t="s">
        <v>16</v>
      </c>
      <c r="C33" s="18">
        <f>FV($C$18,$A33*12,$C$16*-1)</f>
        <v>2161084.8275023573</v>
      </c>
      <c r="D33" s="29"/>
      <c r="E33" s="30"/>
      <c r="F33" s="28">
        <f>C33*rendimento_carteira</f>
        <v>21610.848275023574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14</vt:i4>
      </vt:variant>
    </vt:vector>
  </HeadingPairs>
  <TitlesOfParts>
    <vt:vector size="17" baseType="lpstr">
      <vt:lpstr>Análise Investimentos</vt:lpstr>
      <vt:lpstr>Planilha3</vt:lpstr>
      <vt:lpstr>Planilha1 (2)</vt:lpstr>
      <vt:lpstr>'Planilha1 (2)'!aporte_mensal</vt:lpstr>
      <vt:lpstr>aporte_mensal</vt:lpstr>
      <vt:lpstr>'Planilha1 (2)'!montante_Final</vt:lpstr>
      <vt:lpstr>montante_Final</vt:lpstr>
      <vt:lpstr>'Planilha1 (2)'!prazo_invest_anos</vt:lpstr>
      <vt:lpstr>prazo_invest_anos</vt:lpstr>
      <vt:lpstr>'Planilha1 (2)'!rendimento_carteira</vt:lpstr>
      <vt:lpstr>rendimento_carteira</vt:lpstr>
      <vt:lpstr>'Planilha1 (2)'!rentabilidade_mensal</vt:lpstr>
      <vt:lpstr>rentabilidade_mensal</vt:lpstr>
      <vt:lpstr>'Planilha1 (2)'!salario</vt:lpstr>
      <vt:lpstr>salario</vt:lpstr>
      <vt:lpstr>'Planilha1 (2)'!suestao_invest</vt:lpstr>
      <vt:lpstr>suestao_invest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Brunetti</dc:creator>
  <cp:lastModifiedBy>Carlos Brunetti</cp:lastModifiedBy>
  <dcterms:created xsi:type="dcterms:W3CDTF">2025-05-17T23:10:14Z</dcterms:created>
  <dcterms:modified xsi:type="dcterms:W3CDTF">2025-05-18T15:55:35Z</dcterms:modified>
</cp:coreProperties>
</file>