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os/"/>
    </mc:Choice>
  </mc:AlternateContent>
  <xr:revisionPtr revIDLastSave="0" documentId="13_ncr:1_{788B5446-C5E4-2640-BBA0-79694923B6EE}" xr6:coauthVersionLast="47" xr6:coauthVersionMax="47" xr10:uidLastSave="{00000000-0000-0000-0000-000000000000}"/>
  <bookViews>
    <workbookView xWindow="1660" yWindow="500" windowWidth="27140" windowHeight="17500" xr2:uid="{00000000-000D-0000-FFFF-FFFF00000000}"/>
  </bookViews>
  <sheets>
    <sheet name="Sheet 1" sheetId="1" r:id="rId1"/>
    <sheet name="exchange_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9" i="1" l="1"/>
  <c r="L79" i="1"/>
  <c r="J79" i="1"/>
  <c r="I79" i="1"/>
  <c r="H79" i="1"/>
  <c r="F79" i="1"/>
  <c r="E79" i="1"/>
  <c r="D79" i="1"/>
  <c r="C79" i="1"/>
  <c r="E37" i="1"/>
  <c r="E36" i="1"/>
  <c r="J37" i="1"/>
  <c r="I37" i="1"/>
  <c r="J36" i="1"/>
  <c r="I36" i="1"/>
  <c r="M166" i="1"/>
  <c r="M168" i="1"/>
  <c r="M167" i="1"/>
  <c r="M170" i="1"/>
  <c r="M169" i="1"/>
  <c r="M174" i="1"/>
  <c r="M173" i="1"/>
  <c r="M172" i="1"/>
  <c r="M171" i="1"/>
  <c r="L174" i="1"/>
  <c r="L173" i="1"/>
  <c r="H174" i="1"/>
  <c r="J174" i="1"/>
  <c r="I174" i="1"/>
  <c r="F174" i="1"/>
  <c r="E174" i="1"/>
  <c r="D174" i="1"/>
  <c r="C174" i="1"/>
  <c r="H173" i="1"/>
  <c r="J173" i="1"/>
  <c r="I173" i="1"/>
  <c r="K173" i="1" s="1"/>
  <c r="F173" i="1"/>
  <c r="E173" i="1"/>
  <c r="D173" i="1"/>
  <c r="C173" i="1"/>
  <c r="L166" i="1"/>
  <c r="H166" i="1"/>
  <c r="J166" i="1"/>
  <c r="I166" i="1"/>
  <c r="F166" i="1"/>
  <c r="E166" i="1"/>
  <c r="D166" i="1"/>
  <c r="C166" i="1"/>
  <c r="L172" i="1"/>
  <c r="L171" i="1"/>
  <c r="H172" i="1"/>
  <c r="H171" i="1"/>
  <c r="J172" i="1"/>
  <c r="F172" i="1"/>
  <c r="J171" i="1"/>
  <c r="I172" i="1"/>
  <c r="I171" i="1"/>
  <c r="F171" i="1"/>
  <c r="E172" i="1"/>
  <c r="E171" i="1"/>
  <c r="D172" i="1"/>
  <c r="C172" i="1"/>
  <c r="D171" i="1"/>
  <c r="C171" i="1"/>
  <c r="L168" i="1"/>
  <c r="L167" i="1"/>
  <c r="F168" i="1"/>
  <c r="J168" i="1"/>
  <c r="J167" i="1"/>
  <c r="I168" i="1"/>
  <c r="I167" i="1"/>
  <c r="H168" i="1"/>
  <c r="H167" i="1"/>
  <c r="F167" i="1"/>
  <c r="E168" i="1"/>
  <c r="E167" i="1"/>
  <c r="D168" i="1"/>
  <c r="D167" i="1"/>
  <c r="C168" i="1"/>
  <c r="C167" i="1"/>
  <c r="J170" i="1"/>
  <c r="I170" i="1"/>
  <c r="H170" i="1"/>
  <c r="F170" i="1"/>
  <c r="E170" i="1"/>
  <c r="D170" i="1"/>
  <c r="C170" i="1"/>
  <c r="L170" i="1"/>
  <c r="L169" i="1"/>
  <c r="J169" i="1"/>
  <c r="I169" i="1"/>
  <c r="H169" i="1"/>
  <c r="K169" i="1" s="1"/>
  <c r="F169" i="1"/>
  <c r="E169" i="1"/>
  <c r="D169" i="1"/>
  <c r="C169" i="1"/>
  <c r="M30" i="1"/>
  <c r="M29" i="1"/>
  <c r="L30" i="1"/>
  <c r="L29" i="1"/>
  <c r="I30" i="1"/>
  <c r="J30" i="1"/>
  <c r="H30" i="1"/>
  <c r="F30" i="1"/>
  <c r="E30" i="1"/>
  <c r="M32" i="1"/>
  <c r="L32" i="1"/>
  <c r="J32" i="1"/>
  <c r="I32" i="1"/>
  <c r="H32" i="1"/>
  <c r="F32" i="1"/>
  <c r="E32" i="1"/>
  <c r="E31" i="1"/>
  <c r="D32" i="1"/>
  <c r="C32" i="1"/>
  <c r="D30" i="1"/>
  <c r="C30" i="1"/>
  <c r="J29" i="1"/>
  <c r="I29" i="1"/>
  <c r="H29" i="1"/>
  <c r="F29" i="1"/>
  <c r="E29" i="1"/>
  <c r="D29" i="1"/>
  <c r="C29" i="1"/>
  <c r="M31" i="1"/>
  <c r="L31" i="1"/>
  <c r="I31" i="1"/>
  <c r="I28" i="1"/>
  <c r="J31" i="1"/>
  <c r="H31" i="1"/>
  <c r="F31" i="1"/>
  <c r="G31" i="1" s="1"/>
  <c r="D31" i="1"/>
  <c r="C31" i="1"/>
  <c r="M34" i="1"/>
  <c r="M33" i="1"/>
  <c r="L34" i="1"/>
  <c r="L33" i="1"/>
  <c r="J34" i="1"/>
  <c r="J33" i="1"/>
  <c r="I34" i="1"/>
  <c r="I33" i="1"/>
  <c r="H34" i="1"/>
  <c r="K34" i="1" s="1"/>
  <c r="H33" i="1"/>
  <c r="F34" i="1"/>
  <c r="F33" i="1"/>
  <c r="E34" i="1"/>
  <c r="E33" i="1"/>
  <c r="G33" i="1" s="1"/>
  <c r="D34" i="1"/>
  <c r="D33" i="1"/>
  <c r="C34" i="1"/>
  <c r="C33" i="1"/>
  <c r="M28" i="1"/>
  <c r="L28" i="1"/>
  <c r="J28" i="1"/>
  <c r="H28" i="1"/>
  <c r="F28" i="1"/>
  <c r="E28" i="1"/>
  <c r="D28" i="1"/>
  <c r="C28" i="1"/>
  <c r="M15" i="1"/>
  <c r="L15" i="1"/>
  <c r="J15" i="1"/>
  <c r="I15" i="1"/>
  <c r="H15" i="1"/>
  <c r="F15" i="1"/>
  <c r="E15" i="1"/>
  <c r="D15" i="1"/>
  <c r="C15" i="1"/>
  <c r="I13" i="1"/>
  <c r="H13" i="1"/>
  <c r="J14" i="1"/>
  <c r="I14" i="1"/>
  <c r="H14" i="1"/>
  <c r="E14" i="1"/>
  <c r="F14" i="1"/>
  <c r="D14" i="1"/>
  <c r="C14" i="1"/>
  <c r="M14" i="1"/>
  <c r="L14" i="1"/>
  <c r="M13" i="1"/>
  <c r="L13" i="1"/>
  <c r="J13" i="1"/>
  <c r="F13" i="1"/>
  <c r="E13" i="1"/>
  <c r="G13" i="1" s="1"/>
  <c r="D13" i="1"/>
  <c r="C13" i="1"/>
  <c r="G34" i="1" l="1"/>
  <c r="G15" i="1"/>
  <c r="G166" i="1"/>
  <c r="K13" i="1"/>
  <c r="K36" i="1"/>
  <c r="G79" i="1"/>
  <c r="G170" i="1"/>
  <c r="G172" i="1"/>
  <c r="K37" i="1"/>
  <c r="G171" i="1"/>
  <c r="G30" i="1"/>
  <c r="K31" i="1"/>
  <c r="G173" i="1"/>
  <c r="K174" i="1"/>
  <c r="K172" i="1"/>
  <c r="K14" i="1"/>
  <c r="K170" i="1"/>
  <c r="K166" i="1"/>
  <c r="K30" i="1"/>
  <c r="K32" i="1"/>
  <c r="G169" i="1"/>
  <c r="G14" i="1"/>
  <c r="K171" i="1"/>
  <c r="K79" i="1"/>
  <c r="G28" i="1"/>
  <c r="K29" i="1"/>
  <c r="K167" i="1"/>
  <c r="K33" i="1"/>
  <c r="G29" i="1"/>
  <c r="G167" i="1"/>
  <c r="K168" i="1"/>
  <c r="G174" i="1"/>
  <c r="K15" i="1"/>
  <c r="G168" i="1"/>
  <c r="K28" i="1"/>
  <c r="G32" i="1"/>
</calcChain>
</file>

<file path=xl/sharedStrings.xml><?xml version="1.0" encoding="utf-8"?>
<sst xmlns="http://schemas.openxmlformats.org/spreadsheetml/2006/main" count="760" uniqueCount="181">
  <si>
    <t>ID Equipo</t>
  </si>
  <si>
    <t>Año</t>
  </si>
  <si>
    <t>inmaterial</t>
  </si>
  <si>
    <t>material</t>
  </si>
  <si>
    <t>activos_fijos</t>
  </si>
  <si>
    <t>activo_circulante</t>
  </si>
  <si>
    <t>activos_totales</t>
  </si>
  <si>
    <t>deuda_lp</t>
  </si>
  <si>
    <t>deuda_cp</t>
  </si>
  <si>
    <t>pasivo_y_patrimonio</t>
  </si>
  <si>
    <t>ingresos_explotacion</t>
  </si>
  <si>
    <t>ebit</t>
  </si>
  <si>
    <t>Equipo</t>
  </si>
  <si>
    <t>País</t>
  </si>
  <si>
    <t>activos_netos</t>
  </si>
  <si>
    <t>ESG28034718</t>
  </si>
  <si>
    <t>Real Madrid</t>
  </si>
  <si>
    <t>España</t>
  </si>
  <si>
    <t>ESG08266298</t>
  </si>
  <si>
    <t>Barcelona</t>
  </si>
  <si>
    <t>GB00035668</t>
  </si>
  <si>
    <t>Liverpool</t>
  </si>
  <si>
    <t>Inglaterra</t>
  </si>
  <si>
    <t>FR382357721</t>
  </si>
  <si>
    <t>PSG</t>
  </si>
  <si>
    <t>Francia</t>
  </si>
  <si>
    <t>IT80066310154</t>
  </si>
  <si>
    <t>Inter Milan</t>
  </si>
  <si>
    <t>Italia</t>
  </si>
  <si>
    <t>ESA80373764</t>
  </si>
  <si>
    <t>Atlético Madrid</t>
  </si>
  <si>
    <t>GB06233875</t>
  </si>
  <si>
    <t>Leeds</t>
  </si>
  <si>
    <t>GB04593477</t>
  </si>
  <si>
    <t>Leicester City</t>
  </si>
  <si>
    <t>DE5230174455</t>
  </si>
  <si>
    <t>Borussia Mönchengladbach</t>
  </si>
  <si>
    <t>Alemania</t>
  </si>
  <si>
    <t>ESA41035346</t>
  </si>
  <si>
    <t>Sevilla</t>
  </si>
  <si>
    <t>DE5190600114</t>
  </si>
  <si>
    <t>Colonia</t>
  </si>
  <si>
    <t>FR401887401</t>
  </si>
  <si>
    <t>Marsella</t>
  </si>
  <si>
    <t>DE6190071299</t>
  </si>
  <si>
    <t>Mainz 05</t>
  </si>
  <si>
    <t>ESA41034851</t>
  </si>
  <si>
    <t>Real Betis Balompié</t>
  </si>
  <si>
    <t>DE7050237208</t>
  </si>
  <si>
    <t>Hoffenheim</t>
  </si>
  <si>
    <t>IT02260700378</t>
  </si>
  <si>
    <t>Bologna</t>
  </si>
  <si>
    <t>IT09012680014</t>
  </si>
  <si>
    <t>Torino</t>
  </si>
  <si>
    <t>FR319633749</t>
  </si>
  <si>
    <t>LOSC Lille</t>
  </si>
  <si>
    <t>ESA46050217</t>
  </si>
  <si>
    <t>Valencia CF</t>
  </si>
  <si>
    <t>DE2050599347</t>
  </si>
  <si>
    <t>Werder Bremen</t>
  </si>
  <si>
    <t>ESG48074264</t>
  </si>
  <si>
    <t>Athletic Bilbao</t>
  </si>
  <si>
    <t>DE8030263379</t>
  </si>
  <si>
    <t>FC Augsburgo</t>
  </si>
  <si>
    <t>ESA20424511</t>
  </si>
  <si>
    <t>Real Sociedad</t>
  </si>
  <si>
    <t>IT80033270101</t>
  </si>
  <si>
    <t>Genoa</t>
  </si>
  <si>
    <t>IT80036450106</t>
  </si>
  <si>
    <t>Sampdoria</t>
  </si>
  <si>
    <t>ESA36609105</t>
  </si>
  <si>
    <t>Celta de Vigo</t>
  </si>
  <si>
    <t>IT09141370966</t>
  </si>
  <si>
    <t>Monza</t>
  </si>
  <si>
    <t>ESA18013003</t>
  </si>
  <si>
    <t>Granada</t>
  </si>
  <si>
    <t>GB07230595</t>
  </si>
  <si>
    <t>Albion</t>
  </si>
  <si>
    <t>DE4050596973</t>
  </si>
  <si>
    <t>VfL Bochum</t>
  </si>
  <si>
    <t>ESA78388667</t>
  </si>
  <si>
    <t>Getafe</t>
  </si>
  <si>
    <t>ESA46064242</t>
  </si>
  <si>
    <t>Levante UD</t>
  </si>
  <si>
    <t>ESA01219617</t>
  </si>
  <si>
    <t>Alavés</t>
  </si>
  <si>
    <t>ESA03039104</t>
  </si>
  <si>
    <t>Elche CF</t>
  </si>
  <si>
    <t>IT80010360750</t>
  </si>
  <si>
    <t>Lecce</t>
  </si>
  <si>
    <t>ESA11013703</t>
  </si>
  <si>
    <t>Cádiz</t>
  </si>
  <si>
    <t>FR403699721</t>
  </si>
  <si>
    <t>FC Metz</t>
  </si>
  <si>
    <t>FR438958993</t>
  </si>
  <si>
    <t>Toulouse</t>
  </si>
  <si>
    <t>DE2190378954</t>
  </si>
  <si>
    <t>Hannover 96</t>
  </si>
  <si>
    <t>ESA28874501</t>
  </si>
  <si>
    <t>Rayo Vallecano</t>
  </si>
  <si>
    <t>DE6050023526</t>
  </si>
  <si>
    <t>Darmstadt 98</t>
  </si>
  <si>
    <t>IT04313630271</t>
  </si>
  <si>
    <t>Venezia Football</t>
  </si>
  <si>
    <t>ESA47298443</t>
  </si>
  <si>
    <t>Valladolid</t>
  </si>
  <si>
    <t>IT02947820342</t>
  </si>
  <si>
    <t>Parma</t>
  </si>
  <si>
    <t>IT80005910171</t>
  </si>
  <si>
    <t>Brescia</t>
  </si>
  <si>
    <t>ESA20039533</t>
  </si>
  <si>
    <t>Eibar</t>
  </si>
  <si>
    <t>FR442371514</t>
  </si>
  <si>
    <t>Clermont Foot</t>
  </si>
  <si>
    <t>IT08199810725</t>
  </si>
  <si>
    <t>Bari</t>
  </si>
  <si>
    <t>GB06133975</t>
  </si>
  <si>
    <t>Luton</t>
  </si>
  <si>
    <t>ESA35314350</t>
  </si>
  <si>
    <t>UD Las Palmas</t>
  </si>
  <si>
    <t>DE4090113844</t>
  </si>
  <si>
    <t>FC Schalke 04</t>
  </si>
  <si>
    <t>GB07796376</t>
  </si>
  <si>
    <t>Plymouth Argyle</t>
  </si>
  <si>
    <t>ESA50034107</t>
  </si>
  <si>
    <t>Real Zaragoza</t>
  </si>
  <si>
    <t>ESA04169827</t>
  </si>
  <si>
    <t>Almería</t>
  </si>
  <si>
    <t>ESA38007555</t>
  </si>
  <si>
    <t>Tenerife</t>
  </si>
  <si>
    <t>IT06804260823</t>
  </si>
  <si>
    <t>Palermo</t>
  </si>
  <si>
    <t>ESA33014952</t>
  </si>
  <si>
    <t>Real Oviedo</t>
  </si>
  <si>
    <t>ESA33608233</t>
  </si>
  <si>
    <t>Sporting de Gijón</t>
  </si>
  <si>
    <t>ESA28526010</t>
  </si>
  <si>
    <t>Leganés</t>
  </si>
  <si>
    <t>IT03148850781</t>
  </si>
  <si>
    <t>Cosenza Calcio</t>
  </si>
  <si>
    <t>IT01317970240</t>
  </si>
  <si>
    <t>Cittadella</t>
  </si>
  <si>
    <t>ESA02008613</t>
  </si>
  <si>
    <t>Albacete</t>
  </si>
  <si>
    <t>IT03723750133</t>
  </si>
  <si>
    <t>Como</t>
  </si>
  <si>
    <t>GBML5689062</t>
  </si>
  <si>
    <t>Huddersfield Town</t>
  </si>
  <si>
    <t>ESA09012428</t>
  </si>
  <si>
    <t>Burgos</t>
  </si>
  <si>
    <t>ESA09018086</t>
  </si>
  <si>
    <t>Mirandés</t>
  </si>
  <si>
    <t>ESA86276367</t>
  </si>
  <si>
    <t>Alcorcón</t>
  </si>
  <si>
    <t>ESA30850770</t>
  </si>
  <si>
    <t>Cartagena</t>
  </si>
  <si>
    <t>IT03181790795</t>
  </si>
  <si>
    <t>Unione Sportiva Catanzaro</t>
  </si>
  <si>
    <t>ESA39316864</t>
  </si>
  <si>
    <t>Racing de Santander</t>
  </si>
  <si>
    <t>ESA15780109</t>
  </si>
  <si>
    <t>Racing Ferrol</t>
  </si>
  <si>
    <t>IT09945900968</t>
  </si>
  <si>
    <t>Calcio Lecco</t>
  </si>
  <si>
    <t>ESB22264501</t>
  </si>
  <si>
    <t>SD Huesca</t>
  </si>
  <si>
    <t>DE2010451728</t>
  </si>
  <si>
    <t>Unión Berlín</t>
  </si>
  <si>
    <t>DE7010091678</t>
  </si>
  <si>
    <t>SC Friburgo</t>
  </si>
  <si>
    <t>DE2070057995</t>
  </si>
  <si>
    <t>VfL Wolfsburgo</t>
  </si>
  <si>
    <t>DE8290213997</t>
  </si>
  <si>
    <t>Düsseldorf</t>
  </si>
  <si>
    <t>ESG31080179</t>
  </si>
  <si>
    <t>Osasuna</t>
  </si>
  <si>
    <t>ESA06970289</t>
  </si>
  <si>
    <t>CD Eldense</t>
  </si>
  <si>
    <t>exchange_rate</t>
  </si>
  <si>
    <t>rate</t>
  </si>
  <si>
    <t>patrimonio_neto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</si>
</sst>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topLeftCell="G1" zoomScale="107" workbookViewId="0">
      <selection activeCell="S16" sqref="S16"/>
    </sheetView>
  </sheetViews>
  <sheetFormatPr baseColWidth="10" defaultRowHeight="15" x14ac:dyDescent="0.2"/>
  <cols>
    <col min="5" max="5" width="14.6640625" bestFit="1" customWidth="1"/>
    <col min="6" max="6" width="16.83203125" customWidth="1"/>
    <col min="7" max="7" width="12.6640625" bestFit="1" customWidth="1"/>
    <col min="11" max="11" width="12.6640625" bestFit="1" customWidth="1"/>
    <col min="12" max="12" width="14.33203125" customWidth="1"/>
    <col min="13" max="13" width="14.6640625" customWidth="1"/>
    <col min="14" max="14" width="18.1640625" customWidth="1"/>
    <col min="15" max="15" width="16.6640625" customWidth="1"/>
    <col min="17" max="17" width="12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178</v>
      </c>
    </row>
    <row r="2" spans="1:17" x14ac:dyDescent="0.2">
      <c r="A2" t="s">
        <v>15</v>
      </c>
      <c r="B2">
        <v>2021</v>
      </c>
      <c r="C2">
        <v>429.18400000000003</v>
      </c>
      <c r="D2">
        <v>575.40499999999997</v>
      </c>
      <c r="E2">
        <v>1128.191</v>
      </c>
      <c r="F2">
        <v>456.68200000000002</v>
      </c>
      <c r="G2">
        <v>1584.873</v>
      </c>
      <c r="H2">
        <v>533.65499999999997</v>
      </c>
      <c r="I2">
        <v>671.68700000000001</v>
      </c>
      <c r="J2">
        <v>379.53100000000001</v>
      </c>
      <c r="K2">
        <v>1584873</v>
      </c>
      <c r="L2">
        <v>648.35500000000002</v>
      </c>
      <c r="M2">
        <v>5.1660000000000004</v>
      </c>
      <c r="N2" t="s">
        <v>16</v>
      </c>
      <c r="O2" t="s">
        <v>17</v>
      </c>
      <c r="P2">
        <v>533.65499999999997</v>
      </c>
      <c r="Q2">
        <v>1</v>
      </c>
    </row>
    <row r="3" spans="1:17" x14ac:dyDescent="0.2">
      <c r="A3" t="s">
        <v>15</v>
      </c>
      <c r="B3">
        <v>2020</v>
      </c>
      <c r="C3">
        <v>534.80600000000004</v>
      </c>
      <c r="D3">
        <v>424.17700000000002</v>
      </c>
      <c r="E3">
        <v>1066.8900000000001</v>
      </c>
      <c r="F3">
        <v>367.09100000000001</v>
      </c>
      <c r="G3">
        <v>1433.981</v>
      </c>
      <c r="H3">
        <v>532.92499999999995</v>
      </c>
      <c r="I3">
        <v>422.00599999999997</v>
      </c>
      <c r="J3">
        <v>479.05</v>
      </c>
      <c r="K3">
        <v>1433981</v>
      </c>
      <c r="L3">
        <v>692.54600000000005</v>
      </c>
      <c r="M3">
        <v>398</v>
      </c>
      <c r="N3" t="s">
        <v>16</v>
      </c>
      <c r="O3" t="s">
        <v>17</v>
      </c>
      <c r="P3">
        <v>532.92499999999995</v>
      </c>
      <c r="Q3">
        <v>1</v>
      </c>
    </row>
    <row r="4" spans="1:17" x14ac:dyDescent="0.2">
      <c r="A4" t="s">
        <v>15</v>
      </c>
      <c r="B4">
        <v>2019</v>
      </c>
      <c r="C4">
        <v>310.90300000000002</v>
      </c>
      <c r="D4">
        <v>350.34300000000002</v>
      </c>
      <c r="E4">
        <v>725.77599999999995</v>
      </c>
      <c r="F4">
        <v>412.60700000000003</v>
      </c>
      <c r="G4">
        <v>1138.383</v>
      </c>
      <c r="H4">
        <v>532.75599999999997</v>
      </c>
      <c r="I4">
        <v>132.86799999999999</v>
      </c>
      <c r="J4">
        <v>472.75900000000001</v>
      </c>
      <c r="K4">
        <v>1138.383</v>
      </c>
      <c r="L4">
        <v>755.12800000000004</v>
      </c>
      <c r="M4">
        <v>54.209000000000003</v>
      </c>
      <c r="N4" t="s">
        <v>16</v>
      </c>
      <c r="O4" t="s">
        <v>17</v>
      </c>
      <c r="P4">
        <v>532.75599999999997</v>
      </c>
      <c r="Q4">
        <v>1</v>
      </c>
    </row>
    <row r="5" spans="1:17" x14ac:dyDescent="0.2">
      <c r="A5" t="s">
        <v>15</v>
      </c>
      <c r="B5">
        <v>2018</v>
      </c>
      <c r="C5">
        <v>316.78699999999998</v>
      </c>
      <c r="D5">
        <v>341.21499999999997</v>
      </c>
      <c r="E5">
        <v>734.55700000000002</v>
      </c>
      <c r="F5">
        <v>354.46800000000002</v>
      </c>
      <c r="G5">
        <v>1089.0250000000001</v>
      </c>
      <c r="H5">
        <v>494.50599999999997</v>
      </c>
      <c r="I5">
        <v>133.73099999999999</v>
      </c>
      <c r="J5">
        <v>460.78800000000001</v>
      </c>
      <c r="K5">
        <v>1089.0250000000001</v>
      </c>
      <c r="L5">
        <v>748.04200000000003</v>
      </c>
      <c r="M5">
        <v>44.798000000000002</v>
      </c>
      <c r="N5" t="s">
        <v>16</v>
      </c>
      <c r="O5" t="s">
        <v>17</v>
      </c>
      <c r="P5">
        <v>494.50599999999997</v>
      </c>
      <c r="Q5">
        <v>1</v>
      </c>
    </row>
    <row r="6" spans="1:17" x14ac:dyDescent="0.2">
      <c r="A6" t="s">
        <v>15</v>
      </c>
      <c r="B6">
        <v>2017</v>
      </c>
      <c r="C6">
        <v>366.5</v>
      </c>
      <c r="D6">
        <v>332.7</v>
      </c>
      <c r="E6">
        <v>757.47199999999998</v>
      </c>
      <c r="F6">
        <v>317.19</v>
      </c>
      <c r="G6">
        <v>1074.662</v>
      </c>
      <c r="H6">
        <v>463.476</v>
      </c>
      <c r="I6">
        <v>162.12700000000001</v>
      </c>
      <c r="J6">
        <v>449.05900000000003</v>
      </c>
      <c r="K6">
        <v>1075.662</v>
      </c>
      <c r="L6">
        <v>671.86400000000003</v>
      </c>
      <c r="M6">
        <v>27.619</v>
      </c>
      <c r="N6" t="s">
        <v>16</v>
      </c>
      <c r="O6" t="s">
        <v>17</v>
      </c>
      <c r="P6">
        <v>463.476</v>
      </c>
      <c r="Q6">
        <v>1</v>
      </c>
    </row>
    <row r="7" spans="1:17" x14ac:dyDescent="0.2">
      <c r="A7" t="s">
        <v>15</v>
      </c>
      <c r="B7">
        <v>2016</v>
      </c>
      <c r="C7">
        <v>333.5</v>
      </c>
      <c r="D7">
        <v>323.60199999999998</v>
      </c>
      <c r="E7">
        <v>705.26300000000003</v>
      </c>
      <c r="F7">
        <v>339.85599999999999</v>
      </c>
      <c r="G7">
        <v>1045.1189999999999</v>
      </c>
      <c r="H7">
        <v>442.24799999999999</v>
      </c>
      <c r="I7">
        <v>177.386</v>
      </c>
      <c r="J7">
        <v>425.48500000000001</v>
      </c>
      <c r="K7">
        <v>1045.1189999999999</v>
      </c>
      <c r="L7">
        <v>619.71</v>
      </c>
      <c r="M7">
        <v>39.808</v>
      </c>
      <c r="N7" t="s">
        <v>16</v>
      </c>
      <c r="O7" t="s">
        <v>17</v>
      </c>
      <c r="P7">
        <v>442.24799999999999</v>
      </c>
      <c r="Q7">
        <v>1</v>
      </c>
    </row>
    <row r="8" spans="1:17" x14ac:dyDescent="0.2">
      <c r="A8" t="s">
        <v>15</v>
      </c>
      <c r="B8">
        <v>2015</v>
      </c>
      <c r="C8">
        <v>365.26299999999998</v>
      </c>
      <c r="D8">
        <v>319.24799999999999</v>
      </c>
      <c r="E8">
        <v>794.274</v>
      </c>
      <c r="F8">
        <v>237.416</v>
      </c>
      <c r="G8">
        <v>1031.69</v>
      </c>
      <c r="H8">
        <v>412.113</v>
      </c>
      <c r="I8">
        <v>247.40600000000001</v>
      </c>
      <c r="J8">
        <v>372.17099999999999</v>
      </c>
      <c r="K8">
        <v>1031.69</v>
      </c>
      <c r="L8">
        <v>574.41099999999994</v>
      </c>
      <c r="M8">
        <v>63.765000000000001</v>
      </c>
      <c r="N8" t="s">
        <v>16</v>
      </c>
      <c r="O8" t="s">
        <v>17</v>
      </c>
      <c r="P8">
        <v>412.113</v>
      </c>
      <c r="Q8">
        <v>1</v>
      </c>
    </row>
    <row r="9" spans="1:17" x14ac:dyDescent="0.2">
      <c r="A9" t="s">
        <v>18</v>
      </c>
      <c r="B9">
        <v>2018</v>
      </c>
      <c r="C9">
        <v>461.68599999999998</v>
      </c>
      <c r="D9">
        <v>156.572</v>
      </c>
      <c r="E9">
        <v>780.32799999999997</v>
      </c>
      <c r="F9">
        <v>235.89699999999999</v>
      </c>
      <c r="G9">
        <v>1016.225</v>
      </c>
      <c r="H9">
        <v>128.197</v>
      </c>
      <c r="I9">
        <v>205.346</v>
      </c>
      <c r="J9">
        <v>682.68200000000002</v>
      </c>
      <c r="K9">
        <v>1016.225</v>
      </c>
      <c r="L9">
        <v>686.471</v>
      </c>
      <c r="M9">
        <v>32.023000000000003</v>
      </c>
      <c r="N9" t="s">
        <v>19</v>
      </c>
      <c r="O9" t="s">
        <v>17</v>
      </c>
      <c r="P9">
        <v>128.197</v>
      </c>
      <c r="Q9">
        <v>1</v>
      </c>
    </row>
    <row r="10" spans="1:17" x14ac:dyDescent="0.2">
      <c r="A10" t="s">
        <v>18</v>
      </c>
      <c r="B10">
        <v>2017</v>
      </c>
      <c r="C10">
        <v>245.06899999999999</v>
      </c>
      <c r="D10">
        <v>146.07499999999999</v>
      </c>
      <c r="E10">
        <v>550.20799999999997</v>
      </c>
      <c r="F10">
        <v>209.99100000000001</v>
      </c>
      <c r="G10">
        <v>760.19899999999996</v>
      </c>
      <c r="H10">
        <v>115.34699999999999</v>
      </c>
      <c r="I10">
        <v>56.982999999999997</v>
      </c>
      <c r="J10">
        <v>587.86900000000003</v>
      </c>
      <c r="K10">
        <v>760.19899999999996</v>
      </c>
      <c r="L10">
        <v>638.18899999999996</v>
      </c>
      <c r="M10">
        <v>30.992999999999999</v>
      </c>
      <c r="N10" t="s">
        <v>19</v>
      </c>
      <c r="O10" t="s">
        <v>17</v>
      </c>
      <c r="P10">
        <v>115.34699999999999</v>
      </c>
      <c r="Q10">
        <v>1</v>
      </c>
    </row>
    <row r="11" spans="1:17" x14ac:dyDescent="0.2">
      <c r="A11" t="s">
        <v>18</v>
      </c>
      <c r="B11">
        <v>2016</v>
      </c>
      <c r="C11">
        <v>208.77199999999999</v>
      </c>
      <c r="D11">
        <v>142.84700000000001</v>
      </c>
      <c r="E11">
        <v>412.56799999999998</v>
      </c>
      <c r="F11">
        <v>133.916</v>
      </c>
      <c r="G11">
        <v>546.48400000000004</v>
      </c>
      <c r="H11">
        <v>97.295000000000002</v>
      </c>
      <c r="I11">
        <v>41.603000000000002</v>
      </c>
      <c r="J11">
        <v>407.58600000000001</v>
      </c>
      <c r="K11">
        <v>546.48400000000004</v>
      </c>
      <c r="L11">
        <v>556.78</v>
      </c>
      <c r="M11">
        <v>48.545999999999999</v>
      </c>
      <c r="N11" t="s">
        <v>19</v>
      </c>
      <c r="O11" t="s">
        <v>17</v>
      </c>
      <c r="P11">
        <v>97.295000000000002</v>
      </c>
      <c r="Q11">
        <v>1</v>
      </c>
    </row>
    <row r="12" spans="1:17" x14ac:dyDescent="0.2">
      <c r="A12" t="s">
        <v>18</v>
      </c>
      <c r="B12">
        <v>2015</v>
      </c>
      <c r="C12">
        <v>196.15899999999999</v>
      </c>
      <c r="D12">
        <v>137.41900000000001</v>
      </c>
      <c r="E12">
        <v>426.74900000000002</v>
      </c>
      <c r="F12">
        <v>188.489</v>
      </c>
      <c r="G12">
        <v>615.23900000000003</v>
      </c>
      <c r="H12">
        <v>68.608000000000004</v>
      </c>
      <c r="I12">
        <v>102.041</v>
      </c>
      <c r="J12">
        <v>444.59</v>
      </c>
      <c r="K12">
        <v>615.23900000000003</v>
      </c>
      <c r="L12">
        <v>502.56099999999998</v>
      </c>
      <c r="M12">
        <v>26.640999999999998</v>
      </c>
      <c r="N12" t="s">
        <v>19</v>
      </c>
      <c r="O12" t="s">
        <v>17</v>
      </c>
      <c r="P12">
        <v>68.608000000000104</v>
      </c>
      <c r="Q12">
        <v>1</v>
      </c>
    </row>
    <row r="13" spans="1:17" x14ac:dyDescent="0.2">
      <c r="A13" t="s">
        <v>20</v>
      </c>
      <c r="B13">
        <v>2017</v>
      </c>
      <c r="C13">
        <f>172.328*Q13</f>
        <v>197.35002560000001</v>
      </c>
      <c r="D13">
        <f>169.574*Q13</f>
        <v>194.19614480000001</v>
      </c>
      <c r="E13">
        <f>357.792*Q13</f>
        <v>409.74339839999999</v>
      </c>
      <c r="F13">
        <f>123.703*Q13</f>
        <v>141.66467560000001</v>
      </c>
      <c r="G13">
        <f>E13+F13</f>
        <v>551.40807399999994</v>
      </c>
      <c r="H13">
        <f>98.542*Q13</f>
        <v>112.8502984</v>
      </c>
      <c r="I13">
        <f>119.516*Q13</f>
        <v>136.86972320000001</v>
      </c>
      <c r="J13">
        <f>263.437*Q13</f>
        <v>301.6880524</v>
      </c>
      <c r="K13">
        <f>H13+I13+J13</f>
        <v>551.40807399999994</v>
      </c>
      <c r="L13">
        <f>364.246*Q13</f>
        <v>417.1345192</v>
      </c>
      <c r="M13">
        <f>6.888*Q13</f>
        <v>7.8881375999999994</v>
      </c>
      <c r="N13" t="s">
        <v>21</v>
      </c>
      <c r="O13" t="s">
        <v>22</v>
      </c>
      <c r="P13">
        <v>0</v>
      </c>
      <c r="Q13">
        <v>1.1452</v>
      </c>
    </row>
    <row r="14" spans="1:17" x14ac:dyDescent="0.2">
      <c r="A14" t="s">
        <v>20</v>
      </c>
      <c r="B14">
        <v>2016</v>
      </c>
      <c r="C14">
        <f>190.072*Q14</f>
        <v>247.34069359999998</v>
      </c>
      <c r="D14">
        <f>127.99*Q14</f>
        <v>166.55338699999999</v>
      </c>
      <c r="E14">
        <f>333.952*Q14</f>
        <v>434.57173759999995</v>
      </c>
      <c r="F14">
        <f>109.856*Q14</f>
        <v>142.95561279999998</v>
      </c>
      <c r="G14">
        <f>E14+F14</f>
        <v>577.52735039999993</v>
      </c>
      <c r="H14">
        <f>59.458*Q14</f>
        <v>77.372695399999998</v>
      </c>
      <c r="I14">
        <f>102.054*Q14</f>
        <v>132.8028702</v>
      </c>
      <c r="J14">
        <f>282.296*Q14</f>
        <v>367.35178479999996</v>
      </c>
      <c r="K14">
        <f>H14+I14+J14</f>
        <v>577.52735039999993</v>
      </c>
      <c r="L14">
        <f>301.765*Q14</f>
        <v>392.68679449999996</v>
      </c>
      <c r="M14">
        <f>-58.033*Q14</f>
        <v>-75.518342899999993</v>
      </c>
      <c r="N14" t="s">
        <v>21</v>
      </c>
      <c r="O14" t="s">
        <v>22</v>
      </c>
      <c r="P14">
        <v>0</v>
      </c>
      <c r="Q14">
        <v>1.3012999999999999</v>
      </c>
    </row>
    <row r="15" spans="1:17" x14ac:dyDescent="0.2">
      <c r="A15" t="s">
        <v>20</v>
      </c>
      <c r="B15">
        <v>2015</v>
      </c>
      <c r="C15">
        <f>160.054*Q15</f>
        <v>222.81117339999997</v>
      </c>
      <c r="D15">
        <f>64.931*Q15</f>
        <v>90.390445099999994</v>
      </c>
      <c r="E15">
        <f>249.875*Q15</f>
        <v>347.85098749999997</v>
      </c>
      <c r="F15">
        <f>112.412*Q15</f>
        <v>156.48874519999998</v>
      </c>
      <c r="G15">
        <f>E15+F15</f>
        <v>504.33973269999996</v>
      </c>
      <c r="H15">
        <f>80.849*Q15</f>
        <v>112.5498929</v>
      </c>
      <c r="I15">
        <f>48.192*Q15</f>
        <v>67.0880832</v>
      </c>
      <c r="J15">
        <f>233.246*Q15</f>
        <v>324.70175660000001</v>
      </c>
      <c r="K15">
        <f>J15+I15+H15</f>
        <v>504.33973270000001</v>
      </c>
      <c r="L15">
        <f>297.947*Q15</f>
        <v>414.77201869999999</v>
      </c>
      <c r="M15">
        <f>9.176*Q15</f>
        <v>12.7739096</v>
      </c>
      <c r="N15" t="s">
        <v>21</v>
      </c>
      <c r="O15" t="s">
        <v>22</v>
      </c>
      <c r="P15">
        <v>0</v>
      </c>
      <c r="Q15">
        <v>1.3920999999999999</v>
      </c>
    </row>
    <row r="16" spans="1:17" x14ac:dyDescent="0.2">
      <c r="A16" t="s">
        <v>23</v>
      </c>
      <c r="B16">
        <v>2023</v>
      </c>
      <c r="N16" t="s">
        <v>24</v>
      </c>
      <c r="O16" t="s">
        <v>25</v>
      </c>
      <c r="P16">
        <v>0</v>
      </c>
      <c r="Q16">
        <v>1</v>
      </c>
    </row>
    <row r="17" spans="1:17" x14ac:dyDescent="0.2">
      <c r="A17" t="s">
        <v>23</v>
      </c>
      <c r="B17">
        <v>2022</v>
      </c>
      <c r="N17" t="s">
        <v>24</v>
      </c>
      <c r="O17" t="s">
        <v>25</v>
      </c>
      <c r="P17">
        <v>0</v>
      </c>
      <c r="Q17">
        <v>1</v>
      </c>
    </row>
    <row r="18" spans="1:17" x14ac:dyDescent="0.2">
      <c r="A18" t="s">
        <v>23</v>
      </c>
      <c r="B18">
        <v>2019</v>
      </c>
      <c r="N18" t="s">
        <v>24</v>
      </c>
      <c r="O18" t="s">
        <v>25</v>
      </c>
      <c r="P18">
        <v>0</v>
      </c>
      <c r="Q18">
        <v>1</v>
      </c>
    </row>
    <row r="19" spans="1:17" x14ac:dyDescent="0.2">
      <c r="A19" t="s">
        <v>23</v>
      </c>
      <c r="B19">
        <v>2017</v>
      </c>
      <c r="N19" t="s">
        <v>24</v>
      </c>
      <c r="O19" t="s">
        <v>25</v>
      </c>
      <c r="P19">
        <v>0</v>
      </c>
      <c r="Q19">
        <v>1</v>
      </c>
    </row>
    <row r="20" spans="1:17" x14ac:dyDescent="0.2">
      <c r="A20" t="s">
        <v>23</v>
      </c>
      <c r="B20">
        <v>2016</v>
      </c>
      <c r="N20" t="s">
        <v>24</v>
      </c>
      <c r="O20" t="s">
        <v>25</v>
      </c>
      <c r="P20">
        <v>0</v>
      </c>
      <c r="Q20">
        <v>1</v>
      </c>
    </row>
    <row r="21" spans="1:17" x14ac:dyDescent="0.2">
      <c r="A21" t="s">
        <v>23</v>
      </c>
      <c r="B21">
        <v>2015</v>
      </c>
      <c r="N21" t="s">
        <v>24</v>
      </c>
      <c r="O21" t="s">
        <v>25</v>
      </c>
      <c r="P21">
        <v>0</v>
      </c>
      <c r="Q21">
        <v>1</v>
      </c>
    </row>
    <row r="22" spans="1:17" x14ac:dyDescent="0.2">
      <c r="A22" t="s">
        <v>26</v>
      </c>
      <c r="B22">
        <v>2015</v>
      </c>
      <c r="N22" t="s">
        <v>27</v>
      </c>
      <c r="O22" t="s">
        <v>28</v>
      </c>
      <c r="P22">
        <v>0</v>
      </c>
      <c r="Q22">
        <v>1</v>
      </c>
    </row>
    <row r="23" spans="1:17" x14ac:dyDescent="0.2">
      <c r="A23" t="s">
        <v>29</v>
      </c>
      <c r="B23">
        <v>2019</v>
      </c>
      <c r="C23">
        <v>234.37700000000001</v>
      </c>
      <c r="D23">
        <v>383.43700000000001</v>
      </c>
      <c r="E23">
        <v>682.61800000000005</v>
      </c>
      <c r="F23">
        <v>297.697</v>
      </c>
      <c r="G23">
        <v>980.31500000000005</v>
      </c>
      <c r="H23">
        <v>95.992000000000004</v>
      </c>
      <c r="I23">
        <v>438.91500000000002</v>
      </c>
      <c r="J23">
        <v>445.40800000000002</v>
      </c>
      <c r="K23">
        <v>980.31500000000005</v>
      </c>
      <c r="L23">
        <v>357.65199999999999</v>
      </c>
      <c r="M23">
        <v>61.564999999999998</v>
      </c>
      <c r="N23" t="s">
        <v>30</v>
      </c>
      <c r="O23" t="s">
        <v>17</v>
      </c>
      <c r="P23">
        <v>95.992000000000104</v>
      </c>
      <c r="Q23">
        <v>1</v>
      </c>
    </row>
    <row r="24" spans="1:17" x14ac:dyDescent="0.2">
      <c r="A24" t="s">
        <v>29</v>
      </c>
      <c r="B24">
        <v>2018</v>
      </c>
      <c r="C24">
        <v>184.809</v>
      </c>
      <c r="D24">
        <v>379.43599999999998</v>
      </c>
      <c r="E24">
        <v>621.56700000000001</v>
      </c>
      <c r="F24">
        <v>272.03399999999999</v>
      </c>
      <c r="G24">
        <v>893.601</v>
      </c>
      <c r="H24">
        <v>85.444999999999993</v>
      </c>
      <c r="I24">
        <v>346.16300000000001</v>
      </c>
      <c r="J24">
        <v>459.99299999999999</v>
      </c>
      <c r="K24">
        <v>891.601</v>
      </c>
      <c r="L24">
        <v>333.24900000000002</v>
      </c>
      <c r="M24">
        <v>36.777000000000001</v>
      </c>
      <c r="N24" t="s">
        <v>30</v>
      </c>
      <c r="O24" t="s">
        <v>17</v>
      </c>
      <c r="P24">
        <v>87.444999999999993</v>
      </c>
      <c r="Q24">
        <v>1</v>
      </c>
    </row>
    <row r="25" spans="1:17" x14ac:dyDescent="0.2">
      <c r="A25" t="s">
        <v>29</v>
      </c>
      <c r="B25">
        <v>2017</v>
      </c>
      <c r="C25">
        <v>178.697</v>
      </c>
      <c r="D25">
        <v>299.464</v>
      </c>
      <c r="E25">
        <v>552.28200000000004</v>
      </c>
      <c r="F25">
        <v>325.94499999999999</v>
      </c>
      <c r="G25">
        <v>878.22699999999998</v>
      </c>
      <c r="H25">
        <v>31.032</v>
      </c>
      <c r="I25">
        <v>261.73500000000001</v>
      </c>
      <c r="J25">
        <v>585.46</v>
      </c>
      <c r="K25">
        <v>878.22699999999998</v>
      </c>
      <c r="L25">
        <v>258.44200000000001</v>
      </c>
      <c r="M25">
        <v>27.745999999999999</v>
      </c>
      <c r="N25" t="s">
        <v>30</v>
      </c>
      <c r="O25" t="s">
        <v>17</v>
      </c>
      <c r="P25">
        <v>31.032</v>
      </c>
      <c r="Q25">
        <v>1</v>
      </c>
    </row>
    <row r="26" spans="1:17" x14ac:dyDescent="0.2">
      <c r="A26" t="s">
        <v>29</v>
      </c>
      <c r="B26">
        <v>2016</v>
      </c>
      <c r="C26">
        <v>156.589</v>
      </c>
      <c r="D26">
        <v>141.29300000000001</v>
      </c>
      <c r="E26">
        <v>368.97500000000002</v>
      </c>
      <c r="F26">
        <v>248.39599999999999</v>
      </c>
      <c r="G26">
        <v>617.37099999999998</v>
      </c>
      <c r="H26">
        <v>26.045999999999999</v>
      </c>
      <c r="I26">
        <v>179.59100000000001</v>
      </c>
      <c r="J26">
        <v>411.733</v>
      </c>
      <c r="K26">
        <v>617.37</v>
      </c>
      <c r="L26">
        <v>218.86500000000001</v>
      </c>
      <c r="M26">
        <v>24.355</v>
      </c>
      <c r="N26" t="s">
        <v>30</v>
      </c>
      <c r="O26" t="s">
        <v>17</v>
      </c>
      <c r="P26">
        <v>26.047000000000001</v>
      </c>
      <c r="Q26">
        <v>1</v>
      </c>
    </row>
    <row r="27" spans="1:17" x14ac:dyDescent="0.2">
      <c r="A27" t="s">
        <v>29</v>
      </c>
      <c r="B27">
        <v>2015</v>
      </c>
      <c r="C27">
        <v>97.828000000000003</v>
      </c>
      <c r="D27">
        <v>67.981999999999999</v>
      </c>
      <c r="E27">
        <v>450.30399999999997</v>
      </c>
      <c r="F27">
        <v>94.141000000000005</v>
      </c>
      <c r="G27">
        <v>544.44500000000005</v>
      </c>
      <c r="H27">
        <v>23.218</v>
      </c>
      <c r="I27">
        <v>252.93199999999999</v>
      </c>
      <c r="J27">
        <v>268.29500000000002</v>
      </c>
      <c r="K27">
        <v>544.44500000000005</v>
      </c>
      <c r="L27">
        <v>160.893</v>
      </c>
      <c r="M27">
        <v>40.058999999999997</v>
      </c>
      <c r="N27" t="s">
        <v>30</v>
      </c>
      <c r="O27" t="s">
        <v>17</v>
      </c>
      <c r="P27">
        <v>23.2179999999999</v>
      </c>
      <c r="Q27">
        <v>1</v>
      </c>
    </row>
    <row r="28" spans="1:17" x14ac:dyDescent="0.2">
      <c r="A28" t="s">
        <v>31</v>
      </c>
      <c r="B28">
        <v>2015</v>
      </c>
      <c r="C28">
        <f>9.876418*Q28</f>
        <v>13.748961497799998</v>
      </c>
      <c r="D28">
        <f>10.628994*Q28</f>
        <v>14.7966225474</v>
      </c>
      <c r="E28">
        <f>20.505412*Q28</f>
        <v>28.545584045199998</v>
      </c>
      <c r="F28">
        <f>24.342834*Q28</f>
        <v>33.887659211399999</v>
      </c>
      <c r="G28">
        <f>E28+F28</f>
        <v>62.433243256599994</v>
      </c>
      <c r="H28">
        <f>1.009875*Q28</f>
        <v>1.4058469874999999</v>
      </c>
      <c r="I28">
        <f>24.040965*Q28</f>
        <v>33.467427376499998</v>
      </c>
      <c r="J28">
        <f>19.797406*Q28</f>
        <v>27.559968892599997</v>
      </c>
      <c r="K28">
        <f>J28+I28+H28</f>
        <v>62.433243256599994</v>
      </c>
      <c r="L28">
        <f>24.418955*Q28</f>
        <v>33.993627255499995</v>
      </c>
      <c r="M28">
        <f>-12.640676*Q28</f>
        <v>-17.597085059599998</v>
      </c>
      <c r="N28" t="s">
        <v>32</v>
      </c>
      <c r="O28" t="s">
        <v>22</v>
      </c>
      <c r="P28">
        <v>1.0089999999999999</v>
      </c>
      <c r="Q28">
        <v>1.3920999999999999</v>
      </c>
    </row>
    <row r="29" spans="1:17" x14ac:dyDescent="0.2">
      <c r="A29" t="s">
        <v>33</v>
      </c>
      <c r="B29">
        <v>2020</v>
      </c>
      <c r="C29">
        <f>192.349*Q29</f>
        <v>213.62279939999999</v>
      </c>
      <c r="D29">
        <f>153.375*Q29</f>
        <v>170.33827500000001</v>
      </c>
      <c r="E29" s="1">
        <f>345.724*Q29</f>
        <v>383.96107439999997</v>
      </c>
      <c r="F29">
        <f>100.194*Q29</f>
        <v>111.27545640000001</v>
      </c>
      <c r="G29" s="1">
        <f>F29+E29</f>
        <v>495.23653079999997</v>
      </c>
      <c r="H29">
        <f>72.566*Q29</f>
        <v>80.591799600000002</v>
      </c>
      <c r="I29">
        <f>87.122*Q29</f>
        <v>96.757693200000006</v>
      </c>
      <c r="J29">
        <f>286.23*Q29</f>
        <v>317.88703800000002</v>
      </c>
      <c r="K29" s="1">
        <f>J29+I29+H29</f>
        <v>495.23653080000003</v>
      </c>
      <c r="L29">
        <f>149.95*Q29</f>
        <v>166.53447</v>
      </c>
      <c r="M29">
        <f>-59.323*Q29</f>
        <v>-65.884123799999998</v>
      </c>
      <c r="N29" t="s">
        <v>34</v>
      </c>
      <c r="O29" t="s">
        <v>22</v>
      </c>
      <c r="P29">
        <v>72.566000000000003</v>
      </c>
      <c r="Q29">
        <v>1.1106</v>
      </c>
    </row>
    <row r="30" spans="1:17" x14ac:dyDescent="0.2">
      <c r="A30" t="s">
        <v>33</v>
      </c>
      <c r="B30">
        <v>2019</v>
      </c>
      <c r="C30">
        <f>179.287*Q30</f>
        <v>202.43295170000002</v>
      </c>
      <c r="D30">
        <f>79.819*Q30</f>
        <v>90.123632900000004</v>
      </c>
      <c r="E30">
        <f>259.106*Q30</f>
        <v>292.55658460000001</v>
      </c>
      <c r="F30">
        <f>114.702*Q30</f>
        <v>129.51002819999999</v>
      </c>
      <c r="G30">
        <f>F30+E30</f>
        <v>422.06661280000003</v>
      </c>
      <c r="H30">
        <f>133.182*Q30</f>
        <v>150.3757962</v>
      </c>
      <c r="I30">
        <f>(53.466 + 6.668)*Q30</f>
        <v>67.897299399999994</v>
      </c>
      <c r="J30">
        <f>180.492*Q30</f>
        <v>203.7935172</v>
      </c>
      <c r="K30">
        <f>J30+I30+H30</f>
        <v>422.06661280000003</v>
      </c>
      <c r="L30">
        <f>178.429*Q30</f>
        <v>201.46418389999999</v>
      </c>
      <c r="M30">
        <f>-15.957*Q30</f>
        <v>-18.0170487</v>
      </c>
      <c r="N30" t="s">
        <v>34</v>
      </c>
      <c r="O30" t="s">
        <v>22</v>
      </c>
      <c r="P30">
        <v>133.18199999999999</v>
      </c>
      <c r="Q30">
        <v>1.1291</v>
      </c>
    </row>
    <row r="31" spans="1:17" x14ac:dyDescent="0.2">
      <c r="A31" t="s">
        <v>33</v>
      </c>
      <c r="B31">
        <v>2018</v>
      </c>
      <c r="C31">
        <f>145.321*Q31</f>
        <v>165.1718486</v>
      </c>
      <c r="D31">
        <f>59.482*Q31</f>
        <v>67.607241200000004</v>
      </c>
      <c r="E31">
        <f>204.803*Q31</f>
        <v>232.77908980000001</v>
      </c>
      <c r="F31">
        <f>80.626*Q31</f>
        <v>91.639511600000006</v>
      </c>
      <c r="G31">
        <f>E31+F31</f>
        <v>324.4186014</v>
      </c>
      <c r="H31">
        <f>144.635*Q31</f>
        <v>164.39214100000001</v>
      </c>
      <c r="I31">
        <f>(21.422 + 7.541)*Q31</f>
        <v>32.919345800000002</v>
      </c>
      <c r="J31">
        <f>111.831*Q31</f>
        <v>127.1071146</v>
      </c>
      <c r="K31">
        <f>J31+I31+H31</f>
        <v>324.41860140000006</v>
      </c>
      <c r="L31">
        <f>158.881*Q31</f>
        <v>180.5841446</v>
      </c>
      <c r="M31">
        <f>-20.845*Q31</f>
        <v>-23.692426999999999</v>
      </c>
      <c r="N31" t="s">
        <v>34</v>
      </c>
      <c r="O31" t="s">
        <v>22</v>
      </c>
      <c r="P31">
        <v>144.63499999999999</v>
      </c>
      <c r="Q31">
        <v>1.1366000000000001</v>
      </c>
    </row>
    <row r="32" spans="1:17" x14ac:dyDescent="0.2">
      <c r="A32" t="s">
        <v>33</v>
      </c>
      <c r="B32">
        <v>2017</v>
      </c>
      <c r="C32">
        <f>104.067*Q32</f>
        <v>119.17752839999999</v>
      </c>
      <c r="D32">
        <f>53.781*Q32</f>
        <v>61.590001199999996</v>
      </c>
      <c r="E32">
        <f>157.848*Q32</f>
        <v>180.76752960000002</v>
      </c>
      <c r="F32">
        <f>108.441*Q32</f>
        <v>124.1866332</v>
      </c>
      <c r="G32">
        <f>E32+F32</f>
        <v>304.95416280000001</v>
      </c>
      <c r="H32">
        <f>143.062*Q32</f>
        <v>163.83460240000002</v>
      </c>
      <c r="I32">
        <f>(12.201+11.448)*Q32</f>
        <v>27.082834800000001</v>
      </c>
      <c r="J32">
        <f>99.578*Q32</f>
        <v>114.0367256</v>
      </c>
      <c r="K32">
        <f>J32+I32+H32</f>
        <v>304.95416280000006</v>
      </c>
      <c r="L32">
        <f>233.013*Q32</f>
        <v>266.84648759999999</v>
      </c>
      <c r="M32">
        <f>74.724*Q32</f>
        <v>85.5739248</v>
      </c>
      <c r="N32" t="s">
        <v>34</v>
      </c>
      <c r="O32" t="s">
        <v>22</v>
      </c>
      <c r="P32">
        <v>143.06200000000001</v>
      </c>
      <c r="Q32">
        <v>1.1452</v>
      </c>
    </row>
    <row r="33" spans="1:17" x14ac:dyDescent="0.2">
      <c r="A33" t="s">
        <v>33</v>
      </c>
      <c r="B33">
        <v>2016</v>
      </c>
      <c r="C33">
        <f>40.013*Q33</f>
        <v>52.068916899999991</v>
      </c>
      <c r="D33">
        <f>53.543*Q33</f>
        <v>69.67550589999999</v>
      </c>
      <c r="E33">
        <f>93.555*Q33</f>
        <v>121.7431215</v>
      </c>
      <c r="F33">
        <f>76.363*Q33</f>
        <v>99.371171899999993</v>
      </c>
      <c r="G33">
        <f>E33+F33</f>
        <v>221.11429340000001</v>
      </c>
      <c r="H33">
        <f>62.551*Q33</f>
        <v>81.397616299999996</v>
      </c>
      <c r="I33">
        <f>8.764*Q33</f>
        <v>11.404593199999999</v>
      </c>
      <c r="J33">
        <f>98.603*Q33</f>
        <v>128.31208389999998</v>
      </c>
      <c r="K33">
        <f>H33+I33+J33</f>
        <v>221.11429339999995</v>
      </c>
      <c r="L33">
        <f>128.715*Q33</f>
        <v>167.49682949999999</v>
      </c>
      <c r="M33">
        <f>18.472*Q33</f>
        <v>24.0376136</v>
      </c>
      <c r="N33" t="s">
        <v>34</v>
      </c>
      <c r="O33" t="s">
        <v>22</v>
      </c>
      <c r="P33">
        <v>62.551000000000002</v>
      </c>
      <c r="Q33">
        <v>1.3012999999999999</v>
      </c>
    </row>
    <row r="34" spans="1:17" x14ac:dyDescent="0.2">
      <c r="A34" t="s">
        <v>33</v>
      </c>
      <c r="B34">
        <v>2015</v>
      </c>
      <c r="C34">
        <f>22.896*Q34</f>
        <v>31.8735216</v>
      </c>
      <c r="D34">
        <f>52.684*Q34</f>
        <v>73.341396399999994</v>
      </c>
      <c r="E34">
        <f>75.58*Q34</f>
        <v>105.21491799999998</v>
      </c>
      <c r="F34">
        <f>36.539*Q34</f>
        <v>50.865941899999996</v>
      </c>
      <c r="G34">
        <f>E34+F34</f>
        <v>156.08085989999998</v>
      </c>
      <c r="H34">
        <f>42.046*Q34</f>
        <v>58.532236599999997</v>
      </c>
      <c r="I34">
        <f>6.451*Q34</f>
        <v>8.9804370999999996</v>
      </c>
      <c r="J34">
        <f>63.622*Q34</f>
        <v>88.5681862</v>
      </c>
      <c r="K34">
        <f>H34+I34+J34</f>
        <v>156.08085990000001</v>
      </c>
      <c r="L34">
        <f>104.437*Q34</f>
        <v>145.38674769999997</v>
      </c>
      <c r="M34">
        <f>28.308*Q34</f>
        <v>39.407566799999998</v>
      </c>
      <c r="N34" t="s">
        <v>34</v>
      </c>
      <c r="O34" t="s">
        <v>22</v>
      </c>
      <c r="P34">
        <v>42.045999999999999</v>
      </c>
      <c r="Q34">
        <v>1.3920999999999999</v>
      </c>
    </row>
    <row r="35" spans="1:17" x14ac:dyDescent="0.2">
      <c r="A35" t="s">
        <v>35</v>
      </c>
      <c r="B35">
        <v>2023</v>
      </c>
      <c r="N35" t="s">
        <v>36</v>
      </c>
      <c r="O35" t="s">
        <v>37</v>
      </c>
      <c r="P35">
        <v>0</v>
      </c>
      <c r="Q35">
        <v>1</v>
      </c>
    </row>
    <row r="36" spans="1:17" x14ac:dyDescent="0.2">
      <c r="A36" t="s">
        <v>35</v>
      </c>
      <c r="B36">
        <v>2016</v>
      </c>
      <c r="C36">
        <v>77.869783589999997</v>
      </c>
      <c r="D36">
        <v>70.166500279999994</v>
      </c>
      <c r="E36">
        <f>D36+C36</f>
        <v>148.03628386999998</v>
      </c>
      <c r="F36">
        <v>4.4488713400000002</v>
      </c>
      <c r="G36">
        <v>199.51538631</v>
      </c>
      <c r="H36">
        <v>88.234619460000005</v>
      </c>
      <c r="I36">
        <f xml:space="preserve"> 76.299119 - 22.287</f>
        <v>54.012119000000006</v>
      </c>
      <c r="J36">
        <f xml:space="preserve"> 18.76673349+16.15355744+0.06135692+22.287</f>
        <v>57.268647850000001</v>
      </c>
      <c r="K36">
        <f>J36+I36+H36</f>
        <v>199.51538631</v>
      </c>
      <c r="L36" s="2"/>
      <c r="N36" t="s">
        <v>36</v>
      </c>
      <c r="O36" t="s">
        <v>37</v>
      </c>
      <c r="P36">
        <v>-16.214914360000002</v>
      </c>
      <c r="Q36">
        <v>1</v>
      </c>
    </row>
    <row r="37" spans="1:17" x14ac:dyDescent="0.2">
      <c r="A37" t="s">
        <v>35</v>
      </c>
      <c r="B37">
        <v>2015</v>
      </c>
      <c r="C37">
        <v>53.975034999999998</v>
      </c>
      <c r="D37">
        <v>68.726306219999998</v>
      </c>
      <c r="E37">
        <f>D37+C37</f>
        <v>122.70134121999999</v>
      </c>
      <c r="F37">
        <v>2.3395148400000001</v>
      </c>
      <c r="G37">
        <v>170.13956257999999</v>
      </c>
      <c r="H37">
        <v>61.436246779999998</v>
      </c>
      <c r="I37">
        <f>77.48751044-23.557</f>
        <v>53.930510439999992</v>
      </c>
      <c r="J37">
        <f>14.08891561+16.74851044+0.37838744+23.557</f>
        <v>54.772813490000004</v>
      </c>
      <c r="K37">
        <f>J37+I37+H37</f>
        <v>170.13957070999999</v>
      </c>
      <c r="N37" t="s">
        <v>36</v>
      </c>
      <c r="O37" t="s">
        <v>37</v>
      </c>
      <c r="P37">
        <v>-17.126897880000001</v>
      </c>
      <c r="Q37">
        <v>1</v>
      </c>
    </row>
    <row r="38" spans="1:17" x14ac:dyDescent="0.2">
      <c r="A38" t="s">
        <v>38</v>
      </c>
      <c r="B38">
        <v>2023</v>
      </c>
      <c r="C38">
        <v>107.631</v>
      </c>
      <c r="D38">
        <v>35.286999999999999</v>
      </c>
      <c r="E38">
        <v>170.631</v>
      </c>
      <c r="F38">
        <v>94.954999999999998</v>
      </c>
      <c r="G38">
        <v>265.58600000000001</v>
      </c>
      <c r="H38">
        <v>12.964</v>
      </c>
      <c r="I38">
        <v>91.542000000000002</v>
      </c>
      <c r="J38">
        <v>161.08000000000001</v>
      </c>
      <c r="K38">
        <v>265.58600000000001</v>
      </c>
      <c r="L38">
        <v>214.29599999999999</v>
      </c>
      <c r="M38">
        <v>-14.805999999999999</v>
      </c>
      <c r="N38" t="s">
        <v>39</v>
      </c>
      <c r="O38" t="s">
        <v>17</v>
      </c>
      <c r="P38">
        <v>12.964</v>
      </c>
      <c r="Q38">
        <v>1</v>
      </c>
    </row>
    <row r="39" spans="1:17" x14ac:dyDescent="0.2">
      <c r="A39" t="s">
        <v>38</v>
      </c>
      <c r="B39">
        <v>2022</v>
      </c>
      <c r="C39">
        <v>136.64699999999999</v>
      </c>
      <c r="D39">
        <v>31.936</v>
      </c>
      <c r="E39">
        <v>210.535</v>
      </c>
      <c r="F39">
        <v>63.831000000000003</v>
      </c>
      <c r="G39">
        <v>274.36599999999999</v>
      </c>
      <c r="H39">
        <v>31.605</v>
      </c>
      <c r="I39">
        <v>96.850999999999999</v>
      </c>
      <c r="J39">
        <v>145.91</v>
      </c>
      <c r="K39">
        <v>274.36599999999999</v>
      </c>
      <c r="L39">
        <v>186.14400000000001</v>
      </c>
      <c r="M39">
        <v>-20.407</v>
      </c>
      <c r="N39" t="s">
        <v>39</v>
      </c>
      <c r="O39" t="s">
        <v>17</v>
      </c>
      <c r="P39">
        <v>31.605</v>
      </c>
      <c r="Q39">
        <v>1</v>
      </c>
    </row>
    <row r="40" spans="1:17" x14ac:dyDescent="0.2">
      <c r="A40" t="s">
        <v>40</v>
      </c>
      <c r="B40">
        <v>2023</v>
      </c>
      <c r="N40" t="s">
        <v>41</v>
      </c>
      <c r="O40" t="s">
        <v>37</v>
      </c>
      <c r="P40">
        <v>0</v>
      </c>
      <c r="Q40">
        <v>1</v>
      </c>
    </row>
    <row r="41" spans="1:17" x14ac:dyDescent="0.2">
      <c r="A41" t="s">
        <v>42</v>
      </c>
      <c r="B41">
        <v>2023</v>
      </c>
      <c r="N41" t="s">
        <v>43</v>
      </c>
      <c r="O41" t="s">
        <v>25</v>
      </c>
      <c r="P41">
        <v>0</v>
      </c>
      <c r="Q41">
        <v>1</v>
      </c>
    </row>
    <row r="42" spans="1:17" x14ac:dyDescent="0.2">
      <c r="A42" t="s">
        <v>42</v>
      </c>
      <c r="B42">
        <v>2022</v>
      </c>
      <c r="N42" t="s">
        <v>43</v>
      </c>
      <c r="O42" t="s">
        <v>25</v>
      </c>
      <c r="P42">
        <v>0</v>
      </c>
      <c r="Q42">
        <v>1</v>
      </c>
    </row>
    <row r="43" spans="1:17" x14ac:dyDescent="0.2">
      <c r="A43" t="s">
        <v>42</v>
      </c>
      <c r="B43">
        <v>2021</v>
      </c>
      <c r="N43" t="s">
        <v>43</v>
      </c>
      <c r="O43" t="s">
        <v>25</v>
      </c>
      <c r="P43">
        <v>0</v>
      </c>
      <c r="Q43">
        <v>1</v>
      </c>
    </row>
    <row r="44" spans="1:17" x14ac:dyDescent="0.2">
      <c r="A44" t="s">
        <v>42</v>
      </c>
      <c r="B44">
        <v>2020</v>
      </c>
      <c r="N44" t="s">
        <v>43</v>
      </c>
      <c r="O44" t="s">
        <v>25</v>
      </c>
      <c r="P44">
        <v>0</v>
      </c>
      <c r="Q44">
        <v>1</v>
      </c>
    </row>
    <row r="45" spans="1:17" x14ac:dyDescent="0.2">
      <c r="A45" t="s">
        <v>42</v>
      </c>
      <c r="B45">
        <v>2019</v>
      </c>
      <c r="N45" t="s">
        <v>43</v>
      </c>
      <c r="O45" t="s">
        <v>25</v>
      </c>
      <c r="P45">
        <v>0</v>
      </c>
      <c r="Q45">
        <v>1</v>
      </c>
    </row>
    <row r="46" spans="1:17" x14ac:dyDescent="0.2">
      <c r="A46" t="s">
        <v>42</v>
      </c>
      <c r="B46">
        <v>2018</v>
      </c>
      <c r="N46" t="s">
        <v>43</v>
      </c>
      <c r="O46" t="s">
        <v>25</v>
      </c>
      <c r="P46">
        <v>0</v>
      </c>
      <c r="Q46">
        <v>1</v>
      </c>
    </row>
    <row r="47" spans="1:17" x14ac:dyDescent="0.2">
      <c r="A47" t="s">
        <v>44</v>
      </c>
      <c r="B47">
        <v>2023</v>
      </c>
      <c r="L47">
        <v>122.69199999999999</v>
      </c>
      <c r="N47" t="s">
        <v>45</v>
      </c>
      <c r="O47" t="s">
        <v>37</v>
      </c>
      <c r="P47">
        <v>0</v>
      </c>
      <c r="Q47">
        <v>1</v>
      </c>
    </row>
    <row r="48" spans="1:17" x14ac:dyDescent="0.2">
      <c r="A48" t="s">
        <v>44</v>
      </c>
      <c r="B48">
        <v>2022</v>
      </c>
      <c r="L48">
        <v>101.50936618999999</v>
      </c>
      <c r="N48" t="s">
        <v>45</v>
      </c>
      <c r="O48" t="s">
        <v>37</v>
      </c>
      <c r="P48">
        <v>0</v>
      </c>
      <c r="Q48">
        <v>1</v>
      </c>
    </row>
    <row r="49" spans="1:17" x14ac:dyDescent="0.2">
      <c r="A49" t="s">
        <v>44</v>
      </c>
      <c r="B49">
        <v>2021</v>
      </c>
      <c r="L49">
        <v>94.356818320000002</v>
      </c>
      <c r="N49" t="s">
        <v>45</v>
      </c>
      <c r="O49" t="s">
        <v>37</v>
      </c>
      <c r="P49">
        <v>0</v>
      </c>
      <c r="Q49">
        <v>1</v>
      </c>
    </row>
    <row r="50" spans="1:17" x14ac:dyDescent="0.2">
      <c r="A50" t="s">
        <v>44</v>
      </c>
      <c r="B50">
        <v>2020</v>
      </c>
      <c r="L50">
        <v>115.6</v>
      </c>
      <c r="N50" t="s">
        <v>45</v>
      </c>
      <c r="O50" t="s">
        <v>37</v>
      </c>
      <c r="P50">
        <v>0</v>
      </c>
      <c r="Q50">
        <v>1</v>
      </c>
    </row>
    <row r="51" spans="1:17" x14ac:dyDescent="0.2">
      <c r="A51" t="s">
        <v>44</v>
      </c>
      <c r="B51">
        <v>2019</v>
      </c>
      <c r="L51">
        <v>145</v>
      </c>
      <c r="N51" t="s">
        <v>45</v>
      </c>
      <c r="O51" t="s">
        <v>37</v>
      </c>
      <c r="P51">
        <v>0</v>
      </c>
      <c r="Q51">
        <v>1</v>
      </c>
    </row>
    <row r="52" spans="1:17" x14ac:dyDescent="0.2">
      <c r="A52" t="s">
        <v>44</v>
      </c>
      <c r="B52">
        <v>2018</v>
      </c>
      <c r="L52">
        <v>113</v>
      </c>
      <c r="N52" t="s">
        <v>45</v>
      </c>
      <c r="O52" t="s">
        <v>37</v>
      </c>
      <c r="P52">
        <v>0</v>
      </c>
      <c r="Q52">
        <v>1</v>
      </c>
    </row>
    <row r="53" spans="1:17" x14ac:dyDescent="0.2">
      <c r="A53" t="s">
        <v>44</v>
      </c>
      <c r="B53">
        <v>2017</v>
      </c>
      <c r="N53" t="s">
        <v>45</v>
      </c>
      <c r="O53" t="s">
        <v>37</v>
      </c>
      <c r="P53">
        <v>0</v>
      </c>
      <c r="Q53">
        <v>1</v>
      </c>
    </row>
    <row r="54" spans="1:17" x14ac:dyDescent="0.2">
      <c r="A54" t="s">
        <v>44</v>
      </c>
      <c r="B54">
        <v>2016</v>
      </c>
      <c r="N54" t="s">
        <v>45</v>
      </c>
      <c r="O54" t="s">
        <v>37</v>
      </c>
      <c r="P54">
        <v>0</v>
      </c>
      <c r="Q54">
        <v>1</v>
      </c>
    </row>
    <row r="55" spans="1:17" x14ac:dyDescent="0.2">
      <c r="A55" t="s">
        <v>44</v>
      </c>
      <c r="B55">
        <v>2015</v>
      </c>
      <c r="N55" t="s">
        <v>45</v>
      </c>
      <c r="O55" t="s">
        <v>37</v>
      </c>
      <c r="P55">
        <v>0</v>
      </c>
      <c r="Q55">
        <v>1</v>
      </c>
    </row>
    <row r="56" spans="1:17" x14ac:dyDescent="0.2">
      <c r="A56" t="s">
        <v>46</v>
      </c>
      <c r="B56">
        <v>2023</v>
      </c>
      <c r="C56">
        <v>65.310867000000002</v>
      </c>
      <c r="D56">
        <v>55.724722</v>
      </c>
      <c r="E56">
        <v>142.12628699999999</v>
      </c>
      <c r="F56">
        <v>51.156097000000003</v>
      </c>
      <c r="G56">
        <v>193.28238400000001</v>
      </c>
      <c r="H56">
        <v>-73.108281000000005</v>
      </c>
      <c r="I56">
        <v>145.513147</v>
      </c>
      <c r="J56">
        <v>120.87751799999999</v>
      </c>
      <c r="K56">
        <v>193.28238400000001</v>
      </c>
      <c r="L56">
        <v>148.773742</v>
      </c>
      <c r="M56">
        <v>7.1788129999999999</v>
      </c>
      <c r="N56" t="s">
        <v>47</v>
      </c>
      <c r="O56" t="s">
        <v>17</v>
      </c>
      <c r="P56">
        <v>-73.108281000000005</v>
      </c>
      <c r="Q56">
        <v>1</v>
      </c>
    </row>
    <row r="57" spans="1:17" x14ac:dyDescent="0.2">
      <c r="A57" t="s">
        <v>48</v>
      </c>
      <c r="B57">
        <v>2023</v>
      </c>
      <c r="N57" t="s">
        <v>49</v>
      </c>
      <c r="O57" t="s">
        <v>37</v>
      </c>
      <c r="P57">
        <v>0</v>
      </c>
      <c r="Q57">
        <v>1</v>
      </c>
    </row>
    <row r="58" spans="1:17" x14ac:dyDescent="0.2">
      <c r="A58" t="s">
        <v>50</v>
      </c>
      <c r="B58">
        <v>2016</v>
      </c>
      <c r="N58" t="s">
        <v>51</v>
      </c>
      <c r="O58" t="s">
        <v>28</v>
      </c>
      <c r="P58">
        <v>0</v>
      </c>
      <c r="Q58">
        <v>1</v>
      </c>
    </row>
    <row r="59" spans="1:17" x14ac:dyDescent="0.2">
      <c r="A59" t="s">
        <v>50</v>
      </c>
      <c r="B59">
        <v>2015</v>
      </c>
      <c r="N59" t="s">
        <v>51</v>
      </c>
      <c r="O59" t="s">
        <v>28</v>
      </c>
      <c r="P59">
        <v>0</v>
      </c>
      <c r="Q59">
        <v>1</v>
      </c>
    </row>
    <row r="60" spans="1:17" x14ac:dyDescent="0.2">
      <c r="A60" t="s">
        <v>52</v>
      </c>
      <c r="B60">
        <v>2023</v>
      </c>
      <c r="N60" t="s">
        <v>53</v>
      </c>
      <c r="O60" t="s">
        <v>28</v>
      </c>
      <c r="P60">
        <v>0</v>
      </c>
      <c r="Q60">
        <v>1</v>
      </c>
    </row>
    <row r="61" spans="1:17" x14ac:dyDescent="0.2">
      <c r="A61" t="s">
        <v>54</v>
      </c>
      <c r="B61">
        <v>2020</v>
      </c>
      <c r="N61" t="s">
        <v>55</v>
      </c>
      <c r="O61" t="s">
        <v>25</v>
      </c>
      <c r="P61">
        <v>0</v>
      </c>
      <c r="Q61">
        <v>1</v>
      </c>
    </row>
    <row r="62" spans="1:17" x14ac:dyDescent="0.2">
      <c r="A62" t="s">
        <v>54</v>
      </c>
      <c r="B62">
        <v>2019</v>
      </c>
      <c r="N62" t="s">
        <v>55</v>
      </c>
      <c r="O62" t="s">
        <v>25</v>
      </c>
      <c r="P62">
        <v>0</v>
      </c>
      <c r="Q62">
        <v>1</v>
      </c>
    </row>
    <row r="63" spans="1:17" x14ac:dyDescent="0.2">
      <c r="A63" t="s">
        <v>54</v>
      </c>
      <c r="B63">
        <v>2018</v>
      </c>
      <c r="N63" t="s">
        <v>55</v>
      </c>
      <c r="O63" t="s">
        <v>25</v>
      </c>
      <c r="P63">
        <v>0</v>
      </c>
      <c r="Q63">
        <v>1</v>
      </c>
    </row>
    <row r="64" spans="1:17" x14ac:dyDescent="0.2">
      <c r="A64" t="s">
        <v>54</v>
      </c>
      <c r="B64">
        <v>2017</v>
      </c>
      <c r="N64" t="s">
        <v>55</v>
      </c>
      <c r="O64" t="s">
        <v>25</v>
      </c>
      <c r="P64">
        <v>0</v>
      </c>
      <c r="Q64">
        <v>1</v>
      </c>
    </row>
    <row r="65" spans="1:17" x14ac:dyDescent="0.2">
      <c r="A65" t="s">
        <v>56</v>
      </c>
      <c r="B65">
        <v>2023</v>
      </c>
      <c r="C65">
        <v>32.518000000000001</v>
      </c>
      <c r="D65">
        <v>269.548</v>
      </c>
      <c r="E65">
        <v>314.15100000000001</v>
      </c>
      <c r="F65">
        <v>38.421999999999997</v>
      </c>
      <c r="G65">
        <v>352.57299999999998</v>
      </c>
      <c r="H65">
        <v>17.242000000000001</v>
      </c>
      <c r="I65">
        <v>201.23599999999999</v>
      </c>
      <c r="J65">
        <v>134.095</v>
      </c>
      <c r="K65">
        <v>352.57299999999998</v>
      </c>
      <c r="L65">
        <v>118.66200000000001</v>
      </c>
      <c r="M65">
        <v>9.7210000000000001</v>
      </c>
      <c r="N65" t="s">
        <v>57</v>
      </c>
      <c r="O65" t="s">
        <v>17</v>
      </c>
      <c r="P65">
        <v>17.242000000000001</v>
      </c>
      <c r="Q65">
        <v>1</v>
      </c>
    </row>
    <row r="66" spans="1:17" x14ac:dyDescent="0.2">
      <c r="A66" t="s">
        <v>58</v>
      </c>
      <c r="B66">
        <v>2023</v>
      </c>
      <c r="N66" t="s">
        <v>59</v>
      </c>
      <c r="O66" t="s">
        <v>37</v>
      </c>
      <c r="P66">
        <v>0</v>
      </c>
      <c r="Q66">
        <v>1</v>
      </c>
    </row>
    <row r="67" spans="1:17" x14ac:dyDescent="0.2">
      <c r="A67" t="s">
        <v>60</v>
      </c>
      <c r="B67">
        <v>2023</v>
      </c>
      <c r="C67">
        <v>6.7699584100000001</v>
      </c>
      <c r="D67">
        <v>42.227420809999998</v>
      </c>
      <c r="E67">
        <v>102.64650013000001</v>
      </c>
      <c r="F67">
        <v>89.098673149999996</v>
      </c>
      <c r="G67">
        <v>191.74517327999999</v>
      </c>
      <c r="H67">
        <v>105.39356707</v>
      </c>
      <c r="I67">
        <v>38.815475190000001</v>
      </c>
      <c r="J67">
        <v>47.536131019999999</v>
      </c>
      <c r="K67">
        <v>191.74517327999999</v>
      </c>
      <c r="L67">
        <v>112.78194578999999</v>
      </c>
      <c r="M67">
        <v>0.45393067999999998</v>
      </c>
      <c r="N67" t="s">
        <v>61</v>
      </c>
      <c r="O67" t="s">
        <v>17</v>
      </c>
      <c r="P67">
        <v>105.39356707</v>
      </c>
      <c r="Q67">
        <v>1</v>
      </c>
    </row>
    <row r="68" spans="1:17" x14ac:dyDescent="0.2">
      <c r="A68" t="s">
        <v>60</v>
      </c>
      <c r="B68">
        <v>2022</v>
      </c>
      <c r="C68">
        <v>18.61106577</v>
      </c>
      <c r="D68">
        <v>46.675457680000001</v>
      </c>
      <c r="E68">
        <v>117.14836269</v>
      </c>
      <c r="F68">
        <v>107.56641243999999</v>
      </c>
      <c r="G68">
        <v>224.71477512999999</v>
      </c>
      <c r="H68">
        <v>103.40362471</v>
      </c>
      <c r="I68">
        <v>60.87725107</v>
      </c>
      <c r="J68">
        <v>60.433899349999997</v>
      </c>
      <c r="K68">
        <v>224.71477512999999</v>
      </c>
      <c r="L68">
        <v>108577557.44</v>
      </c>
      <c r="M68">
        <v>-9.0019095300000007</v>
      </c>
      <c r="N68" t="s">
        <v>61</v>
      </c>
      <c r="O68" t="s">
        <v>17</v>
      </c>
      <c r="P68">
        <v>103.40362471</v>
      </c>
      <c r="Q68">
        <v>1</v>
      </c>
    </row>
    <row r="69" spans="1:17" x14ac:dyDescent="0.2">
      <c r="A69" t="s">
        <v>60</v>
      </c>
      <c r="B69">
        <v>2019</v>
      </c>
      <c r="N69" t="s">
        <v>61</v>
      </c>
      <c r="O69" t="s">
        <v>17</v>
      </c>
      <c r="P69">
        <v>0</v>
      </c>
      <c r="Q69">
        <v>1</v>
      </c>
    </row>
    <row r="70" spans="1:17" x14ac:dyDescent="0.2">
      <c r="A70" t="s">
        <v>60</v>
      </c>
      <c r="B70">
        <v>2016</v>
      </c>
      <c r="N70" t="s">
        <v>61</v>
      </c>
      <c r="O70" t="s">
        <v>17</v>
      </c>
      <c r="P70">
        <v>0</v>
      </c>
      <c r="Q70">
        <v>1</v>
      </c>
    </row>
    <row r="71" spans="1:17" x14ac:dyDescent="0.2">
      <c r="A71" t="s">
        <v>62</v>
      </c>
      <c r="B71">
        <v>2023</v>
      </c>
      <c r="N71" t="s">
        <v>63</v>
      </c>
      <c r="O71" t="s">
        <v>37</v>
      </c>
      <c r="P71">
        <v>0</v>
      </c>
      <c r="Q71">
        <v>1</v>
      </c>
    </row>
    <row r="72" spans="1:17" x14ac:dyDescent="0.2">
      <c r="A72" t="s">
        <v>64</v>
      </c>
      <c r="B72">
        <v>2023</v>
      </c>
      <c r="N72" t="s">
        <v>65</v>
      </c>
      <c r="O72" t="s">
        <v>17</v>
      </c>
      <c r="P72">
        <v>0</v>
      </c>
      <c r="Q72">
        <v>1</v>
      </c>
    </row>
    <row r="73" spans="1:17" x14ac:dyDescent="0.2">
      <c r="A73" t="s">
        <v>64</v>
      </c>
      <c r="B73">
        <v>2022</v>
      </c>
      <c r="N73" t="s">
        <v>65</v>
      </c>
      <c r="O73" t="s">
        <v>17</v>
      </c>
      <c r="P73">
        <v>0</v>
      </c>
      <c r="Q73">
        <v>1</v>
      </c>
    </row>
    <row r="74" spans="1:17" x14ac:dyDescent="0.2">
      <c r="A74" t="s">
        <v>66</v>
      </c>
      <c r="B74">
        <v>2023</v>
      </c>
      <c r="N74" t="s">
        <v>67</v>
      </c>
      <c r="O74" t="s">
        <v>28</v>
      </c>
      <c r="P74">
        <v>0</v>
      </c>
      <c r="Q74">
        <v>1</v>
      </c>
    </row>
    <row r="75" spans="1:17" x14ac:dyDescent="0.2">
      <c r="A75" t="s">
        <v>68</v>
      </c>
      <c r="B75">
        <v>2023</v>
      </c>
      <c r="N75" t="s">
        <v>69</v>
      </c>
      <c r="O75" t="s">
        <v>28</v>
      </c>
      <c r="P75">
        <v>0</v>
      </c>
      <c r="Q75">
        <v>1</v>
      </c>
    </row>
    <row r="76" spans="1:17" x14ac:dyDescent="0.2">
      <c r="A76" t="s">
        <v>70</v>
      </c>
      <c r="B76">
        <v>2023</v>
      </c>
      <c r="C76">
        <v>64.962437789999996</v>
      </c>
      <c r="D76">
        <v>26.09528001</v>
      </c>
      <c r="E76">
        <v>117.87222567000001</v>
      </c>
      <c r="F76">
        <v>57.647834379999999</v>
      </c>
      <c r="G76">
        <v>175.52006005000001</v>
      </c>
      <c r="H76">
        <v>73.654780340000002</v>
      </c>
      <c r="I76">
        <v>66.765503780000003</v>
      </c>
      <c r="J76">
        <v>35.09977593</v>
      </c>
      <c r="K76">
        <v>175.52006005000001</v>
      </c>
      <c r="L76">
        <v>69.944726739999993</v>
      </c>
      <c r="M76">
        <v>-16.955743340000001</v>
      </c>
      <c r="N76" t="s">
        <v>71</v>
      </c>
      <c r="O76" t="s">
        <v>17</v>
      </c>
      <c r="P76">
        <v>73.654780340000002</v>
      </c>
      <c r="Q76">
        <v>1</v>
      </c>
    </row>
    <row r="77" spans="1:17" x14ac:dyDescent="0.2">
      <c r="A77" t="s">
        <v>72</v>
      </c>
      <c r="B77">
        <v>2015</v>
      </c>
      <c r="C77">
        <v>13.414999999999999</v>
      </c>
      <c r="N77" t="s">
        <v>73</v>
      </c>
      <c r="O77" t="s">
        <v>28</v>
      </c>
      <c r="P77">
        <v>0</v>
      </c>
      <c r="Q77">
        <v>1</v>
      </c>
    </row>
    <row r="78" spans="1:17" x14ac:dyDescent="0.2">
      <c r="A78" t="s">
        <v>74</v>
      </c>
      <c r="B78">
        <v>2023</v>
      </c>
      <c r="N78" t="s">
        <v>75</v>
      </c>
      <c r="O78" t="s">
        <v>17</v>
      </c>
      <c r="P78">
        <v>0</v>
      </c>
      <c r="Q78">
        <v>1</v>
      </c>
    </row>
    <row r="79" spans="1:17" x14ac:dyDescent="0.2">
      <c r="A79" t="s">
        <v>76</v>
      </c>
      <c r="B79">
        <v>2015</v>
      </c>
      <c r="C79">
        <f>13.415*Q79</f>
        <v>18.675021499999996</v>
      </c>
      <c r="D79">
        <f>23.039*Q79</f>
        <v>32.072591899999999</v>
      </c>
      <c r="E79">
        <f>37.629*Q79</f>
        <v>52.38333089999999</v>
      </c>
      <c r="F79">
        <f>41.367*Q79</f>
        <v>57.58700069999999</v>
      </c>
      <c r="G79">
        <f>F79+E79</f>
        <v>109.97033159999998</v>
      </c>
      <c r="H79">
        <f>39.903*Q79</f>
        <v>55.548966299999996</v>
      </c>
      <c r="I79">
        <f>(1.528+1.314)*Q79</f>
        <v>3.9563481999999999</v>
      </c>
      <c r="J79">
        <f>36.251*Q79</f>
        <v>50.46501709999999</v>
      </c>
      <c r="K79">
        <f>J79+I79+H79</f>
        <v>109.97033159999998</v>
      </c>
      <c r="L79">
        <f>96.269*Q79</f>
        <v>134.01607490000001</v>
      </c>
      <c r="M79">
        <f>3.625*Q79</f>
        <v>5.0463624999999999</v>
      </c>
      <c r="N79" t="s">
        <v>77</v>
      </c>
      <c r="O79" t="s">
        <v>22</v>
      </c>
      <c r="P79">
        <v>0</v>
      </c>
      <c r="Q79">
        <v>1.3920999999999999</v>
      </c>
    </row>
    <row r="80" spans="1:17" x14ac:dyDescent="0.2">
      <c r="A80" t="s">
        <v>78</v>
      </c>
      <c r="B80">
        <v>2023</v>
      </c>
      <c r="N80" t="s">
        <v>79</v>
      </c>
      <c r="O80" t="s">
        <v>37</v>
      </c>
      <c r="P80">
        <v>0</v>
      </c>
      <c r="Q80">
        <v>1</v>
      </c>
    </row>
    <row r="81" spans="1:17" x14ac:dyDescent="0.2">
      <c r="A81" t="s">
        <v>78</v>
      </c>
      <c r="B81">
        <v>2017</v>
      </c>
      <c r="N81" t="s">
        <v>79</v>
      </c>
      <c r="O81" t="s">
        <v>37</v>
      </c>
      <c r="P81">
        <v>0</v>
      </c>
      <c r="Q81">
        <v>1</v>
      </c>
    </row>
    <row r="82" spans="1:17" x14ac:dyDescent="0.2">
      <c r="A82" t="s">
        <v>78</v>
      </c>
      <c r="B82">
        <v>2016</v>
      </c>
      <c r="N82" t="s">
        <v>79</v>
      </c>
      <c r="O82" t="s">
        <v>37</v>
      </c>
      <c r="P82">
        <v>0</v>
      </c>
      <c r="Q82">
        <v>1</v>
      </c>
    </row>
    <row r="83" spans="1:17" x14ac:dyDescent="0.2">
      <c r="A83" t="s">
        <v>78</v>
      </c>
      <c r="B83">
        <v>2015</v>
      </c>
      <c r="N83" t="s">
        <v>79</v>
      </c>
      <c r="O83" t="s">
        <v>37</v>
      </c>
      <c r="P83">
        <v>0</v>
      </c>
      <c r="Q83">
        <v>1</v>
      </c>
    </row>
    <row r="84" spans="1:17" x14ac:dyDescent="0.2">
      <c r="A84" t="s">
        <v>80</v>
      </c>
      <c r="B84">
        <v>2023</v>
      </c>
      <c r="C84">
        <v>88.810528919999996</v>
      </c>
      <c r="D84">
        <v>4.9441690700000001</v>
      </c>
      <c r="E84">
        <v>107.17148107</v>
      </c>
      <c r="F84">
        <v>16.761977309999999</v>
      </c>
      <c r="G84">
        <v>123.93345838</v>
      </c>
      <c r="H84">
        <v>23.750261770000002</v>
      </c>
      <c r="I84">
        <v>58.9015919</v>
      </c>
      <c r="J84">
        <v>41.281604710000003</v>
      </c>
      <c r="K84">
        <v>123.93345838</v>
      </c>
      <c r="L84">
        <v>66.274909269999995</v>
      </c>
      <c r="M84">
        <v>-15.744298410000001</v>
      </c>
      <c r="N84" t="s">
        <v>81</v>
      </c>
      <c r="O84" t="s">
        <v>17</v>
      </c>
      <c r="P84">
        <v>23.750261770000002</v>
      </c>
      <c r="Q84">
        <v>1</v>
      </c>
    </row>
    <row r="85" spans="1:17" x14ac:dyDescent="0.2">
      <c r="A85" t="s">
        <v>82</v>
      </c>
      <c r="B85">
        <v>2023</v>
      </c>
      <c r="C85">
        <v>5.2082199999999998</v>
      </c>
      <c r="D85">
        <v>68.46875</v>
      </c>
      <c r="E85">
        <v>93.132630000000006</v>
      </c>
      <c r="F85">
        <v>26.683540000000001</v>
      </c>
      <c r="G85">
        <v>119.81616</v>
      </c>
      <c r="H85">
        <v>-10.972770000000001</v>
      </c>
      <c r="I85">
        <v>80.691950000000006</v>
      </c>
      <c r="J85">
        <v>50.096969999999999</v>
      </c>
      <c r="K85">
        <v>119.81616</v>
      </c>
      <c r="L85">
        <v>38.907229999999998</v>
      </c>
      <c r="M85">
        <v>-2.5091800000000002</v>
      </c>
      <c r="N85" t="s">
        <v>83</v>
      </c>
      <c r="O85" t="s">
        <v>17</v>
      </c>
      <c r="P85">
        <v>-10.972759999999999</v>
      </c>
      <c r="Q85">
        <v>1</v>
      </c>
    </row>
    <row r="86" spans="1:17" x14ac:dyDescent="0.2">
      <c r="A86" t="s">
        <v>82</v>
      </c>
      <c r="B86">
        <v>2020</v>
      </c>
      <c r="C86">
        <v>20.88721</v>
      </c>
      <c r="D86">
        <v>62.775370000000002</v>
      </c>
      <c r="E86">
        <v>89.421899999999994</v>
      </c>
      <c r="F86">
        <v>27.884910000000001</v>
      </c>
      <c r="G86">
        <v>117.30682</v>
      </c>
      <c r="H86">
        <v>41.805770000000003</v>
      </c>
      <c r="I86">
        <v>22.143129999999999</v>
      </c>
      <c r="J86">
        <v>53.35792</v>
      </c>
      <c r="K86">
        <v>117.30682</v>
      </c>
      <c r="L86">
        <v>61.036520000000003</v>
      </c>
      <c r="M86">
        <v>1.47797</v>
      </c>
      <c r="N86" t="s">
        <v>83</v>
      </c>
      <c r="O86" t="s">
        <v>17</v>
      </c>
      <c r="P86">
        <v>41.805770000000003</v>
      </c>
      <c r="Q86">
        <v>1</v>
      </c>
    </row>
    <row r="87" spans="1:17" x14ac:dyDescent="0.2">
      <c r="A87" t="s">
        <v>84</v>
      </c>
      <c r="B87">
        <v>2023</v>
      </c>
      <c r="C87">
        <v>4.1584310000000002</v>
      </c>
      <c r="D87">
        <v>5.6204530000000004</v>
      </c>
      <c r="E87">
        <v>48.816564999999997</v>
      </c>
      <c r="F87">
        <v>30.940740999999999</v>
      </c>
      <c r="G87">
        <v>79.757306</v>
      </c>
      <c r="H87">
        <v>4.5818909999999997</v>
      </c>
      <c r="I87">
        <v>45.256664000000001</v>
      </c>
      <c r="J87">
        <v>29.918751</v>
      </c>
      <c r="K87">
        <v>79.757306</v>
      </c>
      <c r="L87">
        <v>15.782716000000001</v>
      </c>
      <c r="M87">
        <v>-2.1120830000000002</v>
      </c>
      <c r="N87" t="s">
        <v>85</v>
      </c>
      <c r="O87" t="s">
        <v>17</v>
      </c>
      <c r="P87">
        <v>4.5818909999999997</v>
      </c>
      <c r="Q87">
        <v>1</v>
      </c>
    </row>
    <row r="88" spans="1:17" x14ac:dyDescent="0.2">
      <c r="A88" t="s">
        <v>86</v>
      </c>
      <c r="B88">
        <v>2023</v>
      </c>
      <c r="N88" t="s">
        <v>87</v>
      </c>
      <c r="O88" t="s">
        <v>17</v>
      </c>
      <c r="P88">
        <v>0</v>
      </c>
      <c r="Q88">
        <v>1</v>
      </c>
    </row>
    <row r="89" spans="1:17" x14ac:dyDescent="0.2">
      <c r="A89" t="s">
        <v>86</v>
      </c>
      <c r="B89">
        <v>2022</v>
      </c>
      <c r="C89">
        <v>7.5184040000000003</v>
      </c>
      <c r="D89">
        <v>16.161794</v>
      </c>
      <c r="E89">
        <v>27.484760999999999</v>
      </c>
      <c r="F89">
        <v>31.29297</v>
      </c>
      <c r="G89">
        <v>58.777731000000003</v>
      </c>
      <c r="H89">
        <v>22.470071999999998</v>
      </c>
      <c r="I89">
        <v>11.509722999999999</v>
      </c>
      <c r="J89">
        <v>24.797936</v>
      </c>
      <c r="K89">
        <v>58.777731000000003</v>
      </c>
      <c r="L89">
        <v>61.885049000000002</v>
      </c>
      <c r="M89">
        <v>4.0336119999999998</v>
      </c>
      <c r="N89" t="s">
        <v>87</v>
      </c>
      <c r="O89" t="s">
        <v>17</v>
      </c>
      <c r="P89">
        <v>22.470071999999998</v>
      </c>
      <c r="Q89">
        <v>1</v>
      </c>
    </row>
    <row r="90" spans="1:17" x14ac:dyDescent="0.2">
      <c r="A90" t="s">
        <v>88</v>
      </c>
      <c r="B90">
        <v>2022</v>
      </c>
      <c r="N90" t="s">
        <v>89</v>
      </c>
      <c r="O90" t="s">
        <v>28</v>
      </c>
      <c r="P90">
        <v>0</v>
      </c>
      <c r="Q90">
        <v>1</v>
      </c>
    </row>
    <row r="91" spans="1:17" x14ac:dyDescent="0.2">
      <c r="A91" t="s">
        <v>88</v>
      </c>
      <c r="B91">
        <v>2021</v>
      </c>
      <c r="N91" t="s">
        <v>89</v>
      </c>
      <c r="O91" t="s">
        <v>28</v>
      </c>
      <c r="P91">
        <v>0</v>
      </c>
      <c r="Q91">
        <v>1</v>
      </c>
    </row>
    <row r="92" spans="1:17" x14ac:dyDescent="0.2">
      <c r="A92" t="s">
        <v>88</v>
      </c>
      <c r="B92">
        <v>2020</v>
      </c>
      <c r="N92" t="s">
        <v>89</v>
      </c>
      <c r="O92" t="s">
        <v>28</v>
      </c>
      <c r="P92">
        <v>0</v>
      </c>
      <c r="Q92">
        <v>1</v>
      </c>
    </row>
    <row r="93" spans="1:17" x14ac:dyDescent="0.2">
      <c r="A93" t="s">
        <v>88</v>
      </c>
      <c r="B93">
        <v>2019</v>
      </c>
      <c r="N93" t="s">
        <v>89</v>
      </c>
      <c r="O93" t="s">
        <v>28</v>
      </c>
      <c r="P93">
        <v>0</v>
      </c>
      <c r="Q93">
        <v>1</v>
      </c>
    </row>
    <row r="94" spans="1:17" x14ac:dyDescent="0.2">
      <c r="A94" t="s">
        <v>88</v>
      </c>
      <c r="B94">
        <v>2018</v>
      </c>
      <c r="N94" t="s">
        <v>89</v>
      </c>
      <c r="O94" t="s">
        <v>28</v>
      </c>
      <c r="P94">
        <v>0</v>
      </c>
      <c r="Q94">
        <v>1</v>
      </c>
    </row>
    <row r="95" spans="1:17" x14ac:dyDescent="0.2">
      <c r="A95" t="s">
        <v>88</v>
      </c>
      <c r="B95">
        <v>2017</v>
      </c>
      <c r="N95" t="s">
        <v>89</v>
      </c>
      <c r="O95" t="s">
        <v>28</v>
      </c>
      <c r="P95">
        <v>0</v>
      </c>
      <c r="Q95">
        <v>1</v>
      </c>
    </row>
    <row r="96" spans="1:17" x14ac:dyDescent="0.2">
      <c r="A96" t="s">
        <v>88</v>
      </c>
      <c r="B96">
        <v>2016</v>
      </c>
      <c r="N96" t="s">
        <v>89</v>
      </c>
      <c r="O96" t="s">
        <v>28</v>
      </c>
      <c r="P96">
        <v>0</v>
      </c>
      <c r="Q96">
        <v>1</v>
      </c>
    </row>
    <row r="97" spans="1:17" x14ac:dyDescent="0.2">
      <c r="A97" t="s">
        <v>88</v>
      </c>
      <c r="B97">
        <v>2015</v>
      </c>
      <c r="N97" t="s">
        <v>89</v>
      </c>
      <c r="O97" t="s">
        <v>28</v>
      </c>
      <c r="P97">
        <v>0</v>
      </c>
      <c r="Q97">
        <v>1</v>
      </c>
    </row>
    <row r="98" spans="1:17" x14ac:dyDescent="0.2">
      <c r="A98" t="s">
        <v>90</v>
      </c>
      <c r="B98">
        <v>2023</v>
      </c>
      <c r="C98">
        <v>20.146649</v>
      </c>
      <c r="D98">
        <v>9.9889679999999998</v>
      </c>
      <c r="E98">
        <v>49.078043999999998</v>
      </c>
      <c r="F98">
        <v>19.889018</v>
      </c>
      <c r="G98">
        <v>68.967061999999999</v>
      </c>
      <c r="H98">
        <v>5.5960070000000002</v>
      </c>
      <c r="I98">
        <v>31.707419000000002</v>
      </c>
      <c r="J98">
        <v>31.663637000000001</v>
      </c>
      <c r="K98">
        <v>68.967061999999999</v>
      </c>
      <c r="L98">
        <v>59.728079000000001</v>
      </c>
      <c r="M98">
        <v>-4.175116</v>
      </c>
      <c r="N98" t="s">
        <v>91</v>
      </c>
      <c r="O98" t="s">
        <v>17</v>
      </c>
      <c r="P98">
        <v>5.596006</v>
      </c>
      <c r="Q98">
        <v>1</v>
      </c>
    </row>
    <row r="99" spans="1:17" x14ac:dyDescent="0.2">
      <c r="A99" t="s">
        <v>90</v>
      </c>
      <c r="B99">
        <v>2022</v>
      </c>
      <c r="C99">
        <v>17.134471000000001</v>
      </c>
      <c r="D99">
        <v>8.8495399999999993</v>
      </c>
      <c r="E99">
        <v>38.506920999999998</v>
      </c>
      <c r="F99">
        <v>22.094719000000001</v>
      </c>
      <c r="G99">
        <v>60.601640000000003</v>
      </c>
      <c r="H99">
        <v>5.7481169999999997</v>
      </c>
      <c r="I99">
        <v>23.644770000000001</v>
      </c>
      <c r="J99">
        <v>31.208753000000002</v>
      </c>
      <c r="K99">
        <v>60.601640000000003</v>
      </c>
      <c r="L99">
        <v>60.377361999999998</v>
      </c>
      <c r="M99">
        <v>1.8627849999999999</v>
      </c>
      <c r="N99" t="s">
        <v>91</v>
      </c>
      <c r="O99" t="s">
        <v>17</v>
      </c>
      <c r="P99">
        <v>5.7481169999999997</v>
      </c>
      <c r="Q99">
        <v>1</v>
      </c>
    </row>
    <row r="100" spans="1:17" x14ac:dyDescent="0.2">
      <c r="A100" t="s">
        <v>92</v>
      </c>
      <c r="B100">
        <v>2023</v>
      </c>
      <c r="N100" t="s">
        <v>93</v>
      </c>
      <c r="O100" t="s">
        <v>25</v>
      </c>
      <c r="P100">
        <v>0</v>
      </c>
      <c r="Q100">
        <v>1</v>
      </c>
    </row>
    <row r="101" spans="1:17" x14ac:dyDescent="0.2">
      <c r="A101" t="s">
        <v>94</v>
      </c>
      <c r="B101">
        <v>2023</v>
      </c>
      <c r="N101" t="s">
        <v>95</v>
      </c>
      <c r="O101" t="s">
        <v>25</v>
      </c>
      <c r="P101">
        <v>0</v>
      </c>
      <c r="Q101">
        <v>1</v>
      </c>
    </row>
    <row r="102" spans="1:17" x14ac:dyDescent="0.2">
      <c r="A102" t="s">
        <v>94</v>
      </c>
      <c r="B102">
        <v>2022</v>
      </c>
      <c r="N102" t="s">
        <v>95</v>
      </c>
      <c r="O102" t="s">
        <v>25</v>
      </c>
      <c r="P102">
        <v>0</v>
      </c>
      <c r="Q102">
        <v>1</v>
      </c>
    </row>
    <row r="103" spans="1:17" x14ac:dyDescent="0.2">
      <c r="A103" t="s">
        <v>96</v>
      </c>
      <c r="B103">
        <v>2023</v>
      </c>
      <c r="N103" t="s">
        <v>97</v>
      </c>
      <c r="O103" t="s">
        <v>37</v>
      </c>
      <c r="P103">
        <v>0</v>
      </c>
      <c r="Q103">
        <v>1</v>
      </c>
    </row>
    <row r="104" spans="1:17" x14ac:dyDescent="0.2">
      <c r="A104" t="s">
        <v>98</v>
      </c>
      <c r="B104">
        <v>2023</v>
      </c>
      <c r="C104">
        <v>14.65935438</v>
      </c>
      <c r="D104">
        <v>8.1528600000000007E-2</v>
      </c>
      <c r="E104">
        <v>47.08768173</v>
      </c>
      <c r="F104">
        <v>43.228998429999997</v>
      </c>
      <c r="G104">
        <v>90.316680160000004</v>
      </c>
      <c r="H104">
        <v>33.830054089999997</v>
      </c>
      <c r="I104">
        <v>34.77697251</v>
      </c>
      <c r="J104">
        <v>21.70965356</v>
      </c>
      <c r="K104">
        <v>90.316680160000004</v>
      </c>
      <c r="L104">
        <v>55.238301100000001</v>
      </c>
      <c r="M104">
        <v>-0.21603137</v>
      </c>
      <c r="N104" t="s">
        <v>99</v>
      </c>
      <c r="O104" t="s">
        <v>17</v>
      </c>
      <c r="P104">
        <v>33.830054089999997</v>
      </c>
      <c r="Q104">
        <v>1</v>
      </c>
    </row>
    <row r="105" spans="1:17" x14ac:dyDescent="0.2">
      <c r="A105" t="s">
        <v>98</v>
      </c>
      <c r="B105">
        <v>2022</v>
      </c>
      <c r="C105">
        <v>9.1764016700000006</v>
      </c>
      <c r="D105">
        <v>1.3376239999999999E-2</v>
      </c>
      <c r="E105">
        <v>41.427698229999997</v>
      </c>
      <c r="F105">
        <v>50.622550949999997</v>
      </c>
      <c r="G105">
        <v>92.050249179999994</v>
      </c>
      <c r="H105">
        <v>33.405520189999997</v>
      </c>
      <c r="I105">
        <v>40.603268069999999</v>
      </c>
      <c r="J105">
        <v>18.041460919999999</v>
      </c>
      <c r="K105">
        <v>92.050249179999994</v>
      </c>
      <c r="L105">
        <v>52.34124284</v>
      </c>
      <c r="M105">
        <v>5.0723825299999996</v>
      </c>
      <c r="N105" t="s">
        <v>99</v>
      </c>
      <c r="O105" t="s">
        <v>17</v>
      </c>
      <c r="P105">
        <v>33.405520189999997</v>
      </c>
      <c r="Q105">
        <v>1</v>
      </c>
    </row>
    <row r="106" spans="1:17" x14ac:dyDescent="0.2">
      <c r="A106" t="s">
        <v>98</v>
      </c>
      <c r="B106">
        <v>2021</v>
      </c>
      <c r="C106">
        <v>9.1691375100000005</v>
      </c>
      <c r="D106">
        <v>2.1210469999999999E-2</v>
      </c>
      <c r="E106">
        <v>44.258517619999999</v>
      </c>
      <c r="F106">
        <v>40.140217020000001</v>
      </c>
      <c r="G106">
        <v>84.398734640000001</v>
      </c>
      <c r="H106">
        <v>29.707469589999999</v>
      </c>
      <c r="I106">
        <v>40.947766870000002</v>
      </c>
      <c r="J106">
        <v>13.74349818</v>
      </c>
      <c r="K106">
        <v>84.398734640000001</v>
      </c>
      <c r="L106">
        <v>10.42904762</v>
      </c>
      <c r="M106">
        <v>9.2686419400000002</v>
      </c>
      <c r="N106" t="s">
        <v>99</v>
      </c>
      <c r="O106" t="s">
        <v>17</v>
      </c>
      <c r="P106">
        <v>29.707469589999999</v>
      </c>
      <c r="Q106">
        <v>1</v>
      </c>
    </row>
    <row r="107" spans="1:17" x14ac:dyDescent="0.2">
      <c r="A107" t="s">
        <v>98</v>
      </c>
      <c r="B107">
        <v>2020</v>
      </c>
      <c r="N107" t="s">
        <v>99</v>
      </c>
      <c r="O107" t="s">
        <v>17</v>
      </c>
      <c r="P107">
        <v>0</v>
      </c>
      <c r="Q107">
        <v>1</v>
      </c>
    </row>
    <row r="108" spans="1:17" x14ac:dyDescent="0.2">
      <c r="A108" t="s">
        <v>98</v>
      </c>
      <c r="B108">
        <v>2019</v>
      </c>
      <c r="N108" t="s">
        <v>99</v>
      </c>
      <c r="O108" t="s">
        <v>17</v>
      </c>
      <c r="P108">
        <v>0</v>
      </c>
      <c r="Q108">
        <v>1</v>
      </c>
    </row>
    <row r="109" spans="1:17" x14ac:dyDescent="0.2">
      <c r="A109" t="s">
        <v>98</v>
      </c>
      <c r="B109">
        <v>2018</v>
      </c>
      <c r="N109" t="s">
        <v>99</v>
      </c>
      <c r="O109" t="s">
        <v>17</v>
      </c>
      <c r="P109">
        <v>0</v>
      </c>
      <c r="Q109">
        <v>1</v>
      </c>
    </row>
    <row r="110" spans="1:17" x14ac:dyDescent="0.2">
      <c r="A110" t="s">
        <v>98</v>
      </c>
      <c r="B110">
        <v>2017</v>
      </c>
      <c r="N110" t="s">
        <v>99</v>
      </c>
      <c r="O110" t="s">
        <v>17</v>
      </c>
      <c r="P110">
        <v>0</v>
      </c>
      <c r="Q110">
        <v>1</v>
      </c>
    </row>
    <row r="111" spans="1:17" x14ac:dyDescent="0.2">
      <c r="A111" t="s">
        <v>100</v>
      </c>
      <c r="B111">
        <v>2023</v>
      </c>
      <c r="L111">
        <v>34.299999999999997</v>
      </c>
      <c r="N111" t="s">
        <v>101</v>
      </c>
      <c r="O111" t="s">
        <v>37</v>
      </c>
      <c r="P111">
        <v>0</v>
      </c>
      <c r="Q111">
        <v>1</v>
      </c>
    </row>
    <row r="112" spans="1:17" x14ac:dyDescent="0.2">
      <c r="A112" t="s">
        <v>100</v>
      </c>
      <c r="B112">
        <v>2022</v>
      </c>
      <c r="L112">
        <v>26</v>
      </c>
      <c r="N112" t="s">
        <v>101</v>
      </c>
      <c r="O112" t="s">
        <v>37</v>
      </c>
      <c r="P112">
        <v>0</v>
      </c>
      <c r="Q112">
        <v>1</v>
      </c>
    </row>
    <row r="113" spans="1:17" x14ac:dyDescent="0.2">
      <c r="A113" t="s">
        <v>100</v>
      </c>
      <c r="B113">
        <v>2021</v>
      </c>
      <c r="L113">
        <v>30</v>
      </c>
      <c r="N113" t="s">
        <v>101</v>
      </c>
      <c r="O113" t="s">
        <v>37</v>
      </c>
      <c r="P113">
        <v>0</v>
      </c>
      <c r="Q113">
        <v>1</v>
      </c>
    </row>
    <row r="114" spans="1:17" x14ac:dyDescent="0.2">
      <c r="A114" t="s">
        <v>100</v>
      </c>
      <c r="B114">
        <v>2020</v>
      </c>
      <c r="L114">
        <v>31.52</v>
      </c>
      <c r="N114" t="s">
        <v>101</v>
      </c>
      <c r="O114" t="s">
        <v>37</v>
      </c>
      <c r="P114">
        <v>0</v>
      </c>
      <c r="Q114">
        <v>1</v>
      </c>
    </row>
    <row r="115" spans="1:17" x14ac:dyDescent="0.2">
      <c r="A115" t="s">
        <v>100</v>
      </c>
      <c r="B115">
        <v>2019</v>
      </c>
      <c r="L115">
        <v>31</v>
      </c>
      <c r="N115" t="s">
        <v>101</v>
      </c>
      <c r="O115" t="s">
        <v>37</v>
      </c>
      <c r="P115">
        <v>0</v>
      </c>
      <c r="Q115">
        <v>1</v>
      </c>
    </row>
    <row r="116" spans="1:17" x14ac:dyDescent="0.2">
      <c r="A116" t="s">
        <v>100</v>
      </c>
      <c r="B116">
        <v>2018</v>
      </c>
      <c r="N116" t="s">
        <v>101</v>
      </c>
      <c r="O116" t="s">
        <v>37</v>
      </c>
      <c r="P116">
        <v>0</v>
      </c>
      <c r="Q116">
        <v>1</v>
      </c>
    </row>
    <row r="117" spans="1:17" x14ac:dyDescent="0.2">
      <c r="A117" t="s">
        <v>100</v>
      </c>
      <c r="B117">
        <v>2017</v>
      </c>
      <c r="N117" t="s">
        <v>101</v>
      </c>
      <c r="O117" t="s">
        <v>37</v>
      </c>
      <c r="P117">
        <v>0</v>
      </c>
      <c r="Q117">
        <v>1</v>
      </c>
    </row>
    <row r="118" spans="1:17" x14ac:dyDescent="0.2">
      <c r="A118" t="s">
        <v>100</v>
      </c>
      <c r="B118">
        <v>2016</v>
      </c>
      <c r="N118" t="s">
        <v>101</v>
      </c>
      <c r="O118" t="s">
        <v>37</v>
      </c>
      <c r="P118">
        <v>0</v>
      </c>
      <c r="Q118">
        <v>1</v>
      </c>
    </row>
    <row r="119" spans="1:17" x14ac:dyDescent="0.2">
      <c r="A119" t="s">
        <v>100</v>
      </c>
      <c r="B119">
        <v>2015</v>
      </c>
      <c r="N119" t="s">
        <v>101</v>
      </c>
      <c r="O119" t="s">
        <v>37</v>
      </c>
      <c r="P119">
        <v>0</v>
      </c>
      <c r="Q119">
        <v>1</v>
      </c>
    </row>
    <row r="120" spans="1:17" x14ac:dyDescent="0.2">
      <c r="A120" t="s">
        <v>102</v>
      </c>
      <c r="B120">
        <v>2015</v>
      </c>
      <c r="N120" t="s">
        <v>103</v>
      </c>
      <c r="O120" t="s">
        <v>28</v>
      </c>
      <c r="P120">
        <v>0</v>
      </c>
      <c r="Q120">
        <v>1</v>
      </c>
    </row>
    <row r="121" spans="1:17" x14ac:dyDescent="0.2">
      <c r="A121" t="s">
        <v>104</v>
      </c>
      <c r="B121">
        <v>2023</v>
      </c>
      <c r="N121" t="s">
        <v>105</v>
      </c>
      <c r="O121" t="s">
        <v>17</v>
      </c>
      <c r="P121">
        <v>0</v>
      </c>
      <c r="Q121">
        <v>1</v>
      </c>
    </row>
    <row r="122" spans="1:17" x14ac:dyDescent="0.2">
      <c r="A122" t="s">
        <v>106</v>
      </c>
      <c r="B122">
        <v>2023</v>
      </c>
      <c r="N122" t="s">
        <v>107</v>
      </c>
      <c r="O122" t="s">
        <v>28</v>
      </c>
      <c r="P122">
        <v>0</v>
      </c>
      <c r="Q122">
        <v>1</v>
      </c>
    </row>
    <row r="123" spans="1:17" x14ac:dyDescent="0.2">
      <c r="A123" t="s">
        <v>106</v>
      </c>
      <c r="B123">
        <v>2019</v>
      </c>
      <c r="N123" t="s">
        <v>107</v>
      </c>
      <c r="O123" t="s">
        <v>28</v>
      </c>
      <c r="P123">
        <v>0</v>
      </c>
      <c r="Q123">
        <v>1</v>
      </c>
    </row>
    <row r="124" spans="1:17" x14ac:dyDescent="0.2">
      <c r="A124" t="s">
        <v>106</v>
      </c>
      <c r="B124">
        <v>2018</v>
      </c>
      <c r="N124" t="s">
        <v>107</v>
      </c>
      <c r="O124" t="s">
        <v>28</v>
      </c>
      <c r="P124">
        <v>0</v>
      </c>
      <c r="Q124">
        <v>1</v>
      </c>
    </row>
    <row r="125" spans="1:17" x14ac:dyDescent="0.2">
      <c r="A125" t="s">
        <v>106</v>
      </c>
      <c r="B125">
        <v>2017</v>
      </c>
      <c r="N125" t="s">
        <v>107</v>
      </c>
      <c r="O125" t="s">
        <v>28</v>
      </c>
      <c r="P125">
        <v>0</v>
      </c>
      <c r="Q125">
        <v>1</v>
      </c>
    </row>
    <row r="126" spans="1:17" x14ac:dyDescent="0.2">
      <c r="A126" t="s">
        <v>106</v>
      </c>
      <c r="B126">
        <v>2016</v>
      </c>
      <c r="N126" t="s">
        <v>107</v>
      </c>
      <c r="O126" t="s">
        <v>28</v>
      </c>
      <c r="P126">
        <v>0</v>
      </c>
      <c r="Q126">
        <v>1</v>
      </c>
    </row>
    <row r="127" spans="1:17" x14ac:dyDescent="0.2">
      <c r="A127" t="s">
        <v>106</v>
      </c>
      <c r="B127">
        <v>2015</v>
      </c>
      <c r="N127" t="s">
        <v>107</v>
      </c>
      <c r="O127" t="s">
        <v>28</v>
      </c>
      <c r="P127">
        <v>0</v>
      </c>
      <c r="Q127">
        <v>1</v>
      </c>
    </row>
    <row r="128" spans="1:17" x14ac:dyDescent="0.2">
      <c r="A128" t="s">
        <v>108</v>
      </c>
      <c r="B128">
        <v>2023</v>
      </c>
      <c r="N128" t="s">
        <v>109</v>
      </c>
      <c r="O128" t="s">
        <v>28</v>
      </c>
      <c r="P128">
        <v>0</v>
      </c>
      <c r="Q128">
        <v>1</v>
      </c>
    </row>
    <row r="129" spans="1:17" x14ac:dyDescent="0.2">
      <c r="A129" t="s">
        <v>110</v>
      </c>
      <c r="B129">
        <v>2023</v>
      </c>
      <c r="N129" t="s">
        <v>111</v>
      </c>
      <c r="O129" t="s">
        <v>17</v>
      </c>
      <c r="P129">
        <v>0</v>
      </c>
      <c r="Q129">
        <v>1</v>
      </c>
    </row>
    <row r="130" spans="1:17" x14ac:dyDescent="0.2">
      <c r="A130" t="s">
        <v>112</v>
      </c>
      <c r="B130">
        <v>2023</v>
      </c>
      <c r="N130" t="s">
        <v>113</v>
      </c>
      <c r="O130" t="s">
        <v>25</v>
      </c>
      <c r="P130">
        <v>0</v>
      </c>
      <c r="Q130">
        <v>1</v>
      </c>
    </row>
    <row r="131" spans="1:17" x14ac:dyDescent="0.2">
      <c r="A131" t="s">
        <v>114</v>
      </c>
      <c r="B131">
        <v>2018</v>
      </c>
      <c r="N131" t="s">
        <v>115</v>
      </c>
      <c r="O131" t="s">
        <v>28</v>
      </c>
      <c r="P131">
        <v>0</v>
      </c>
      <c r="Q131">
        <v>1</v>
      </c>
    </row>
    <row r="132" spans="1:17" x14ac:dyDescent="0.2">
      <c r="A132" t="s">
        <v>114</v>
      </c>
      <c r="B132">
        <v>2017</v>
      </c>
      <c r="N132" t="s">
        <v>115</v>
      </c>
      <c r="O132" t="s">
        <v>28</v>
      </c>
      <c r="P132">
        <v>0</v>
      </c>
      <c r="Q132">
        <v>1</v>
      </c>
    </row>
    <row r="133" spans="1:17" x14ac:dyDescent="0.2">
      <c r="A133" t="s">
        <v>114</v>
      </c>
      <c r="B133">
        <v>2016</v>
      </c>
      <c r="N133" t="s">
        <v>115</v>
      </c>
      <c r="O133" t="s">
        <v>28</v>
      </c>
      <c r="P133">
        <v>0</v>
      </c>
      <c r="Q133">
        <v>1</v>
      </c>
    </row>
    <row r="134" spans="1:17" x14ac:dyDescent="0.2">
      <c r="A134" t="s">
        <v>114</v>
      </c>
      <c r="B134">
        <v>2015</v>
      </c>
      <c r="N134" t="s">
        <v>115</v>
      </c>
      <c r="O134" t="s">
        <v>28</v>
      </c>
      <c r="P134">
        <v>0</v>
      </c>
      <c r="Q134">
        <v>1</v>
      </c>
    </row>
    <row r="135" spans="1:17" x14ac:dyDescent="0.2">
      <c r="A135" t="s">
        <v>116</v>
      </c>
      <c r="B135">
        <v>2019</v>
      </c>
      <c r="C135">
        <v>1.0369277085959401</v>
      </c>
      <c r="D135">
        <v>0.50178066591661996</v>
      </c>
      <c r="E135">
        <v>1.53870837451256</v>
      </c>
      <c r="F135">
        <v>3.2943574282372499</v>
      </c>
      <c r="G135">
        <v>4.8330658027498101</v>
      </c>
      <c r="H135">
        <v>-1.56643151825524</v>
      </c>
      <c r="I135">
        <v>0.576216737127075</v>
      </c>
      <c r="J135">
        <v>5.8232805838779704</v>
      </c>
      <c r="K135">
        <v>4.8330658027498101</v>
      </c>
      <c r="N135" t="s">
        <v>117</v>
      </c>
      <c r="O135" t="s">
        <v>22</v>
      </c>
      <c r="P135">
        <v>-1.56643151825524</v>
      </c>
      <c r="Q135">
        <v>1.1291</v>
      </c>
    </row>
    <row r="136" spans="1:17" x14ac:dyDescent="0.2">
      <c r="A136" t="s">
        <v>116</v>
      </c>
      <c r="B136">
        <v>2018</v>
      </c>
      <c r="C136">
        <v>0.94679165775118501</v>
      </c>
      <c r="D136">
        <v>0.17860526896631901</v>
      </c>
      <c r="E136">
        <v>1.1253969267174999</v>
      </c>
      <c r="F136">
        <v>3.1034720083079601</v>
      </c>
      <c r="G136">
        <v>4.22886893502546</v>
      </c>
      <c r="H136">
        <v>-0.418230597107285</v>
      </c>
      <c r="I136">
        <v>0.22708073393356701</v>
      </c>
      <c r="J136">
        <v>4.4200187981991803</v>
      </c>
      <c r="K136">
        <v>4.22886893502546</v>
      </c>
      <c r="N136" t="s">
        <v>117</v>
      </c>
      <c r="O136" t="s">
        <v>22</v>
      </c>
      <c r="P136">
        <v>-0.41823059710728699</v>
      </c>
      <c r="Q136">
        <v>1.1366000000000001</v>
      </c>
    </row>
    <row r="137" spans="1:17" x14ac:dyDescent="0.2">
      <c r="A137" t="s">
        <v>116</v>
      </c>
      <c r="B137">
        <v>2017</v>
      </c>
      <c r="C137">
        <v>0</v>
      </c>
      <c r="D137">
        <v>0.18384993502813601</v>
      </c>
      <c r="E137">
        <v>0.18384993502813601</v>
      </c>
      <c r="F137">
        <v>2.14546777005669</v>
      </c>
      <c r="G137">
        <v>2.3293177050848302</v>
      </c>
      <c r="H137">
        <v>-1.0903251820906901</v>
      </c>
      <c r="I137">
        <v>0.277278886931697</v>
      </c>
      <c r="J137">
        <v>3.1423640002438198</v>
      </c>
      <c r="K137">
        <v>2.3293177050848302</v>
      </c>
      <c r="N137" t="s">
        <v>117</v>
      </c>
      <c r="O137" t="s">
        <v>22</v>
      </c>
      <c r="P137">
        <v>-1.0903251820906901</v>
      </c>
      <c r="Q137">
        <v>1.1452</v>
      </c>
    </row>
    <row r="138" spans="1:17" x14ac:dyDescent="0.2">
      <c r="A138" t="s">
        <v>116</v>
      </c>
      <c r="B138">
        <v>2016</v>
      </c>
      <c r="C138">
        <v>0</v>
      </c>
      <c r="D138">
        <v>0.25481504804591998</v>
      </c>
      <c r="E138">
        <v>0.25481504804591998</v>
      </c>
      <c r="F138">
        <v>3.4358421166007802</v>
      </c>
      <c r="G138">
        <v>3.6906571646467001</v>
      </c>
      <c r="H138">
        <v>0.12057294702144</v>
      </c>
      <c r="I138">
        <v>0.30646950977897802</v>
      </c>
      <c r="J138">
        <v>3.2636147078462798</v>
      </c>
      <c r="K138">
        <v>3.6906571646467001</v>
      </c>
      <c r="N138" t="s">
        <v>117</v>
      </c>
      <c r="O138" t="s">
        <v>22</v>
      </c>
      <c r="P138">
        <v>0.120572947021442</v>
      </c>
      <c r="Q138">
        <v>1.3012999999999999</v>
      </c>
    </row>
    <row r="139" spans="1:17" x14ac:dyDescent="0.2">
      <c r="A139" t="s">
        <v>116</v>
      </c>
      <c r="B139">
        <v>2015</v>
      </c>
      <c r="C139">
        <v>0</v>
      </c>
      <c r="D139">
        <v>0.89162954322543297</v>
      </c>
      <c r="E139">
        <v>0.89162954322543297</v>
      </c>
      <c r="F139">
        <v>2.9799305066168902</v>
      </c>
      <c r="G139">
        <v>3.8715600498423202</v>
      </c>
      <c r="H139">
        <v>-1.4673670876588201</v>
      </c>
      <c r="I139">
        <v>0.218821910447418</v>
      </c>
      <c r="J139">
        <v>5.1201052270537302</v>
      </c>
      <c r="K139">
        <v>3.8715600498423202</v>
      </c>
      <c r="N139" t="s">
        <v>117</v>
      </c>
      <c r="O139" t="s">
        <v>22</v>
      </c>
      <c r="P139">
        <v>-1.4673670876588301</v>
      </c>
      <c r="Q139">
        <v>1.3920999999999999</v>
      </c>
    </row>
    <row r="140" spans="1:17" x14ac:dyDescent="0.2">
      <c r="A140" t="s">
        <v>118</v>
      </c>
      <c r="B140">
        <v>2023</v>
      </c>
      <c r="C140">
        <v>11.460492</v>
      </c>
      <c r="D140">
        <v>24.442463</v>
      </c>
      <c r="E140">
        <v>41.125520999999999</v>
      </c>
      <c r="F140">
        <v>19.800587</v>
      </c>
      <c r="G140">
        <v>60.926107999999999</v>
      </c>
      <c r="H140">
        <v>11.911828</v>
      </c>
      <c r="I140">
        <v>24.320551999999999</v>
      </c>
      <c r="J140">
        <v>24.693728</v>
      </c>
      <c r="K140">
        <v>60.926107999999999</v>
      </c>
      <c r="L140">
        <v>24.185991999999999</v>
      </c>
      <c r="M140">
        <v>-11.819777</v>
      </c>
      <c r="N140" t="s">
        <v>119</v>
      </c>
      <c r="O140" t="s">
        <v>17</v>
      </c>
      <c r="P140">
        <v>11.911828</v>
      </c>
      <c r="Q140">
        <v>1</v>
      </c>
    </row>
    <row r="141" spans="1:17" x14ac:dyDescent="0.2">
      <c r="A141" t="s">
        <v>120</v>
      </c>
      <c r="B141">
        <v>2023</v>
      </c>
      <c r="N141" t="s">
        <v>121</v>
      </c>
      <c r="O141" t="s">
        <v>37</v>
      </c>
      <c r="P141">
        <v>0</v>
      </c>
      <c r="Q141">
        <v>1</v>
      </c>
    </row>
    <row r="142" spans="1:17" x14ac:dyDescent="0.2">
      <c r="A142" t="s">
        <v>122</v>
      </c>
      <c r="B142">
        <v>2018</v>
      </c>
      <c r="C142">
        <v>1.1319951718255801</v>
      </c>
      <c r="D142">
        <v>3.8021956874209</v>
      </c>
      <c r="E142">
        <v>4.9341908592464803</v>
      </c>
      <c r="F142">
        <v>3.3344340174239102</v>
      </c>
      <c r="G142">
        <v>8.2686248766703905</v>
      </c>
      <c r="H142">
        <v>5.4406599094431396</v>
      </c>
      <c r="I142">
        <v>0.64264673628555002</v>
      </c>
      <c r="J142">
        <v>2.1853182309416899</v>
      </c>
      <c r="K142">
        <v>8.2686248766703905</v>
      </c>
      <c r="N142" t="s">
        <v>123</v>
      </c>
      <c r="O142" t="s">
        <v>22</v>
      </c>
      <c r="P142">
        <v>5.4406599094431503</v>
      </c>
      <c r="Q142">
        <v>1.1366000000000001</v>
      </c>
    </row>
    <row r="143" spans="1:17" x14ac:dyDescent="0.2">
      <c r="A143" t="s">
        <v>122</v>
      </c>
      <c r="B143">
        <v>2017</v>
      </c>
      <c r="C143">
        <v>1.5741376611306099</v>
      </c>
      <c r="D143">
        <v>2.2262975632137598</v>
      </c>
      <c r="E143">
        <v>3.80043522434437</v>
      </c>
      <c r="F143">
        <v>1.91751342643106</v>
      </c>
      <c r="G143">
        <v>5.7179486507754298</v>
      </c>
      <c r="H143">
        <v>3.3265218020133198</v>
      </c>
      <c r="I143">
        <v>0.496365759639875</v>
      </c>
      <c r="J143">
        <v>1.8950610891222299</v>
      </c>
      <c r="K143">
        <v>5.7179486507754298</v>
      </c>
      <c r="N143" t="s">
        <v>123</v>
      </c>
      <c r="O143" t="s">
        <v>22</v>
      </c>
      <c r="P143">
        <v>3.3265218020133198</v>
      </c>
      <c r="Q143">
        <v>1.1452</v>
      </c>
    </row>
    <row r="144" spans="1:17" x14ac:dyDescent="0.2">
      <c r="A144" t="s">
        <v>122</v>
      </c>
      <c r="B144">
        <v>2016</v>
      </c>
      <c r="C144">
        <v>2.0213952104111002</v>
      </c>
      <c r="D144">
        <v>2.1490870057692302</v>
      </c>
      <c r="E144">
        <v>4.1704822161803303</v>
      </c>
      <c r="F144">
        <v>1.1381472351213899</v>
      </c>
      <c r="G144">
        <v>5.3086294513017203</v>
      </c>
      <c r="H144">
        <v>2.2273700485268302</v>
      </c>
      <c r="I144">
        <v>0.87324508369533704</v>
      </c>
      <c r="J144">
        <v>2.2080143190795498</v>
      </c>
      <c r="K144">
        <v>5.3086294513017203</v>
      </c>
      <c r="N144" t="s">
        <v>123</v>
      </c>
      <c r="O144" t="s">
        <v>22</v>
      </c>
      <c r="P144">
        <v>2.2273700485268302</v>
      </c>
      <c r="Q144">
        <v>1.3012999999999999</v>
      </c>
    </row>
    <row r="145" spans="1:17" x14ac:dyDescent="0.2">
      <c r="A145" t="s">
        <v>122</v>
      </c>
      <c r="B145">
        <v>2015</v>
      </c>
      <c r="C145">
        <v>2.7936490869969499</v>
      </c>
      <c r="D145">
        <v>0.118601006944185</v>
      </c>
      <c r="E145">
        <v>2.9122500939411302</v>
      </c>
      <c r="F145">
        <v>1.0673437265896999</v>
      </c>
      <c r="G145">
        <v>3.9795938205308299</v>
      </c>
      <c r="H145">
        <v>-3.6464364976339398</v>
      </c>
      <c r="I145">
        <v>3.8377073682187701</v>
      </c>
      <c r="J145">
        <v>3.7883229499460098</v>
      </c>
      <c r="K145">
        <v>3.9795938205308299</v>
      </c>
      <c r="N145" t="s">
        <v>123</v>
      </c>
      <c r="O145" t="s">
        <v>22</v>
      </c>
      <c r="P145">
        <v>-3.6464364976339501</v>
      </c>
      <c r="Q145">
        <v>1.3920999999999999</v>
      </c>
    </row>
    <row r="146" spans="1:17" x14ac:dyDescent="0.2">
      <c r="A146" t="s">
        <v>124</v>
      </c>
      <c r="B146">
        <v>2023</v>
      </c>
      <c r="C146">
        <v>46.172282000000003</v>
      </c>
      <c r="D146">
        <v>15.707554999999999</v>
      </c>
      <c r="E146">
        <v>84.113263000000003</v>
      </c>
      <c r="F146">
        <v>4.4285680000000003</v>
      </c>
      <c r="G146">
        <v>88.541831000000002</v>
      </c>
      <c r="H146">
        <v>35.000289000000002</v>
      </c>
      <c r="I146">
        <v>42.351962</v>
      </c>
      <c r="J146">
        <v>11.189579999999999</v>
      </c>
      <c r="K146">
        <v>88.541831000000002</v>
      </c>
      <c r="L146">
        <v>18.960851999999999</v>
      </c>
      <c r="M146">
        <v>0.102293</v>
      </c>
      <c r="N146" t="s">
        <v>125</v>
      </c>
      <c r="O146" t="s">
        <v>17</v>
      </c>
      <c r="P146">
        <v>35.000289000000002</v>
      </c>
      <c r="Q146">
        <v>1</v>
      </c>
    </row>
    <row r="147" spans="1:17" x14ac:dyDescent="0.2">
      <c r="A147" t="s">
        <v>126</v>
      </c>
      <c r="B147">
        <v>2023</v>
      </c>
      <c r="C147">
        <v>52.098578259999996</v>
      </c>
      <c r="D147">
        <v>8.6903655900000008</v>
      </c>
      <c r="E147">
        <v>86.12418615</v>
      </c>
      <c r="F147">
        <v>28.658170340000002</v>
      </c>
      <c r="G147">
        <v>114.78235649</v>
      </c>
      <c r="H147">
        <v>37.536641770000003</v>
      </c>
      <c r="I147">
        <v>34.889063149999998</v>
      </c>
      <c r="J147">
        <v>42.356651569999997</v>
      </c>
      <c r="K147">
        <v>114.78235649</v>
      </c>
      <c r="L147">
        <v>75.289383169999994</v>
      </c>
      <c r="M147">
        <v>22.963228650000001</v>
      </c>
      <c r="N147" t="s">
        <v>127</v>
      </c>
      <c r="O147" t="s">
        <v>17</v>
      </c>
      <c r="P147">
        <v>37.536641770000003</v>
      </c>
      <c r="Q147">
        <v>1</v>
      </c>
    </row>
    <row r="148" spans="1:17" x14ac:dyDescent="0.2">
      <c r="A148" t="s">
        <v>128</v>
      </c>
      <c r="B148">
        <v>2023</v>
      </c>
      <c r="C148">
        <v>13.10353091</v>
      </c>
      <c r="D148">
        <v>20.236048589999999</v>
      </c>
      <c r="E148">
        <v>35.393240460000001</v>
      </c>
      <c r="F148">
        <v>8.4424070199999992</v>
      </c>
      <c r="G148">
        <v>43.835647479999999</v>
      </c>
      <c r="H148">
        <v>17.06025876</v>
      </c>
      <c r="I148">
        <v>17.448365370000001</v>
      </c>
      <c r="J148">
        <v>9.3270233499999993</v>
      </c>
      <c r="K148">
        <v>43.835647479999999</v>
      </c>
      <c r="L148">
        <v>17.401539029999999</v>
      </c>
      <c r="M148">
        <v>0.50029252999999996</v>
      </c>
      <c r="N148" t="s">
        <v>129</v>
      </c>
      <c r="O148" t="s">
        <v>17</v>
      </c>
      <c r="P148">
        <v>17.06025876</v>
      </c>
      <c r="Q148">
        <v>1</v>
      </c>
    </row>
    <row r="149" spans="1:17" x14ac:dyDescent="0.2">
      <c r="A149" t="s">
        <v>130</v>
      </c>
      <c r="B149">
        <v>2019</v>
      </c>
      <c r="N149" t="s">
        <v>131</v>
      </c>
      <c r="O149" t="s">
        <v>28</v>
      </c>
      <c r="P149">
        <v>0</v>
      </c>
      <c r="Q149">
        <v>1</v>
      </c>
    </row>
    <row r="150" spans="1:17" x14ac:dyDescent="0.2">
      <c r="A150" t="s">
        <v>130</v>
      </c>
      <c r="B150">
        <v>2018</v>
      </c>
      <c r="N150" t="s">
        <v>131</v>
      </c>
      <c r="O150" t="s">
        <v>28</v>
      </c>
      <c r="P150">
        <v>0</v>
      </c>
      <c r="Q150">
        <v>1</v>
      </c>
    </row>
    <row r="151" spans="1:17" x14ac:dyDescent="0.2">
      <c r="A151" t="s">
        <v>130</v>
      </c>
      <c r="B151">
        <v>2017</v>
      </c>
      <c r="N151" t="s">
        <v>131</v>
      </c>
      <c r="O151" t="s">
        <v>28</v>
      </c>
      <c r="P151">
        <v>0</v>
      </c>
      <c r="Q151">
        <v>1</v>
      </c>
    </row>
    <row r="152" spans="1:17" x14ac:dyDescent="0.2">
      <c r="A152" t="s">
        <v>130</v>
      </c>
      <c r="B152">
        <v>2016</v>
      </c>
      <c r="N152" t="s">
        <v>131</v>
      </c>
      <c r="O152" t="s">
        <v>28</v>
      </c>
      <c r="P152">
        <v>0</v>
      </c>
      <c r="Q152">
        <v>1</v>
      </c>
    </row>
    <row r="153" spans="1:17" x14ac:dyDescent="0.2">
      <c r="A153" t="s">
        <v>130</v>
      </c>
      <c r="B153">
        <v>2015</v>
      </c>
      <c r="N153" t="s">
        <v>131</v>
      </c>
      <c r="O153" t="s">
        <v>28</v>
      </c>
      <c r="P153">
        <v>0</v>
      </c>
      <c r="Q153">
        <v>1</v>
      </c>
    </row>
    <row r="154" spans="1:17" x14ac:dyDescent="0.2">
      <c r="A154" t="s">
        <v>132</v>
      </c>
      <c r="B154">
        <v>2023</v>
      </c>
      <c r="C154">
        <v>13.914918</v>
      </c>
      <c r="D154">
        <v>4.1104830000000003</v>
      </c>
      <c r="E154">
        <v>21.620308000000001</v>
      </c>
      <c r="F154">
        <v>5.6377179999999996</v>
      </c>
      <c r="G154">
        <v>27.258026000000001</v>
      </c>
      <c r="H154">
        <v>12.979041</v>
      </c>
      <c r="I154">
        <v>7.9526329999999996</v>
      </c>
      <c r="J154">
        <v>6.326352</v>
      </c>
      <c r="K154">
        <v>27.258026000000001</v>
      </c>
      <c r="L154">
        <v>17.199594999999999</v>
      </c>
      <c r="M154">
        <v>-2.6387809999999998</v>
      </c>
      <c r="N154" t="s">
        <v>133</v>
      </c>
      <c r="O154" t="s">
        <v>17</v>
      </c>
      <c r="P154">
        <v>12.979041</v>
      </c>
      <c r="Q154">
        <v>1</v>
      </c>
    </row>
    <row r="155" spans="1:17" x14ac:dyDescent="0.2">
      <c r="A155" t="s">
        <v>134</v>
      </c>
      <c r="B155">
        <v>2023</v>
      </c>
      <c r="N155" t="s">
        <v>135</v>
      </c>
      <c r="O155" t="s">
        <v>17</v>
      </c>
      <c r="P155">
        <v>0</v>
      </c>
      <c r="Q155">
        <v>1</v>
      </c>
    </row>
    <row r="156" spans="1:17" x14ac:dyDescent="0.2">
      <c r="A156" t="s">
        <v>136</v>
      </c>
      <c r="B156">
        <v>2023</v>
      </c>
      <c r="C156">
        <v>4.3499999999999996</v>
      </c>
      <c r="D156">
        <v>2.4540000000000002</v>
      </c>
      <c r="E156">
        <v>7.3360000000000003</v>
      </c>
      <c r="F156">
        <v>7.7320000000000002</v>
      </c>
      <c r="G156">
        <v>15.068</v>
      </c>
      <c r="H156">
        <v>-1.5049999999999999</v>
      </c>
      <c r="I156">
        <v>11.749000000000001</v>
      </c>
      <c r="J156">
        <v>4.8239999999999998</v>
      </c>
      <c r="K156">
        <v>15.068</v>
      </c>
      <c r="L156">
        <v>10.901</v>
      </c>
      <c r="M156">
        <v>-7.35</v>
      </c>
      <c r="N156" t="s">
        <v>137</v>
      </c>
      <c r="O156" t="s">
        <v>17</v>
      </c>
      <c r="P156">
        <v>-1.5049999999999999</v>
      </c>
      <c r="Q156">
        <v>1</v>
      </c>
    </row>
    <row r="157" spans="1:17" x14ac:dyDescent="0.2">
      <c r="A157" t="s">
        <v>138</v>
      </c>
      <c r="B157">
        <v>2023</v>
      </c>
      <c r="N157" t="s">
        <v>139</v>
      </c>
      <c r="O157" t="s">
        <v>28</v>
      </c>
      <c r="P157">
        <v>0</v>
      </c>
      <c r="Q157">
        <v>1</v>
      </c>
    </row>
    <row r="158" spans="1:17" x14ac:dyDescent="0.2">
      <c r="A158" t="s">
        <v>140</v>
      </c>
      <c r="B158">
        <v>2023</v>
      </c>
      <c r="N158" t="s">
        <v>141</v>
      </c>
      <c r="O158" t="s">
        <v>28</v>
      </c>
      <c r="P158">
        <v>0</v>
      </c>
      <c r="Q158">
        <v>1</v>
      </c>
    </row>
    <row r="159" spans="1:17" x14ac:dyDescent="0.2">
      <c r="A159" t="s">
        <v>142</v>
      </c>
      <c r="B159">
        <v>2023</v>
      </c>
      <c r="C159">
        <v>2.5894341399999998</v>
      </c>
      <c r="D159">
        <v>6.27331474</v>
      </c>
      <c r="E159">
        <v>15.38082526</v>
      </c>
      <c r="F159">
        <v>4.69946267</v>
      </c>
      <c r="G159">
        <v>20.080287930000001</v>
      </c>
      <c r="H159">
        <v>1.64438489</v>
      </c>
      <c r="I159">
        <v>14.35166809</v>
      </c>
      <c r="J159">
        <v>4.0842349499999999</v>
      </c>
      <c r="K159">
        <v>20.080287930000001</v>
      </c>
      <c r="L159">
        <v>9.4215294400000005</v>
      </c>
      <c r="M159">
        <v>0.12741321</v>
      </c>
      <c r="N159" t="s">
        <v>143</v>
      </c>
      <c r="O159" t="s">
        <v>17</v>
      </c>
      <c r="P159">
        <v>1.64438489</v>
      </c>
      <c r="Q159">
        <v>1</v>
      </c>
    </row>
    <row r="160" spans="1:17" x14ac:dyDescent="0.2">
      <c r="A160" t="s">
        <v>142</v>
      </c>
      <c r="B160">
        <v>2022</v>
      </c>
      <c r="C160">
        <v>3.0171566400000001</v>
      </c>
      <c r="D160">
        <v>5.8202621700000003</v>
      </c>
      <c r="E160">
        <v>10.188064300000001</v>
      </c>
      <c r="F160">
        <v>2.3642306199999998</v>
      </c>
      <c r="G160">
        <v>12.55229492</v>
      </c>
      <c r="H160">
        <v>2.1234554999999999</v>
      </c>
      <c r="I160">
        <v>8.3367945700000003</v>
      </c>
      <c r="J160">
        <v>2.0920448500000002</v>
      </c>
      <c r="K160">
        <v>12.55229492</v>
      </c>
      <c r="L160">
        <v>1.6839272199999999</v>
      </c>
      <c r="M160">
        <v>-1.9703020200000001</v>
      </c>
      <c r="N160" t="s">
        <v>143</v>
      </c>
      <c r="O160" t="s">
        <v>17</v>
      </c>
      <c r="P160">
        <v>2.1234554999999999</v>
      </c>
      <c r="Q160">
        <v>1</v>
      </c>
    </row>
    <row r="161" spans="1:17" x14ac:dyDescent="0.2">
      <c r="A161" t="s">
        <v>142</v>
      </c>
      <c r="B161">
        <v>2021</v>
      </c>
      <c r="N161" t="s">
        <v>143</v>
      </c>
      <c r="O161" t="s">
        <v>17</v>
      </c>
      <c r="P161">
        <v>0</v>
      </c>
      <c r="Q161">
        <v>1</v>
      </c>
    </row>
    <row r="162" spans="1:17" x14ac:dyDescent="0.2">
      <c r="A162" t="s">
        <v>142</v>
      </c>
      <c r="B162">
        <v>2020</v>
      </c>
      <c r="N162" t="s">
        <v>143</v>
      </c>
      <c r="O162" t="s">
        <v>17</v>
      </c>
      <c r="P162">
        <v>0</v>
      </c>
      <c r="Q162">
        <v>1</v>
      </c>
    </row>
    <row r="163" spans="1:17" x14ac:dyDescent="0.2">
      <c r="A163" t="s">
        <v>144</v>
      </c>
      <c r="B163">
        <v>2017</v>
      </c>
      <c r="N163" t="s">
        <v>145</v>
      </c>
      <c r="O163" t="s">
        <v>28</v>
      </c>
      <c r="P163">
        <v>0</v>
      </c>
      <c r="Q163">
        <v>1</v>
      </c>
    </row>
    <row r="164" spans="1:17" x14ac:dyDescent="0.2">
      <c r="A164" t="s">
        <v>144</v>
      </c>
      <c r="B164">
        <v>2016</v>
      </c>
      <c r="N164" t="s">
        <v>145</v>
      </c>
      <c r="O164" t="s">
        <v>28</v>
      </c>
      <c r="P164">
        <v>0</v>
      </c>
      <c r="Q164">
        <v>1</v>
      </c>
    </row>
    <row r="165" spans="1:17" x14ac:dyDescent="0.2">
      <c r="A165" t="s">
        <v>144</v>
      </c>
      <c r="B165">
        <v>2015</v>
      </c>
      <c r="N165" t="s">
        <v>145</v>
      </c>
      <c r="O165" t="s">
        <v>28</v>
      </c>
      <c r="P165">
        <v>0</v>
      </c>
      <c r="Q165">
        <v>1</v>
      </c>
    </row>
    <row r="166" spans="1:17" x14ac:dyDescent="0.2">
      <c r="A166" t="s">
        <v>146</v>
      </c>
      <c r="B166">
        <v>2023</v>
      </c>
      <c r="C166">
        <f>2.28036*Q166</f>
        <v>2.6536549319999998</v>
      </c>
      <c r="D166">
        <f>7.441342*Q166</f>
        <v>8.6594896853999987</v>
      </c>
      <c r="E166">
        <f>13.141016*Q166</f>
        <v>15.292200319199999</v>
      </c>
      <c r="F166">
        <f>24.419396*Q166</f>
        <v>28.416851125199997</v>
      </c>
      <c r="G166">
        <f>F166+E166</f>
        <v>43.709051444399996</v>
      </c>
      <c r="H166">
        <f>-25.174131*Q166</f>
        <v>-29.295136244699997</v>
      </c>
      <c r="I166">
        <f>18.484978*Q166</f>
        <v>21.510968898600002</v>
      </c>
      <c r="J166">
        <f>44.249565*Q166</f>
        <v>51.493218790499995</v>
      </c>
      <c r="K166">
        <f>J166+I166+H166</f>
        <v>43.709051444399996</v>
      </c>
      <c r="L166">
        <f>18.120141*Q166</f>
        <v>21.0864080817</v>
      </c>
      <c r="M166">
        <f>-4.87726*Q166</f>
        <v>-5.6756674619999998</v>
      </c>
      <c r="N166" t="s">
        <v>147</v>
      </c>
      <c r="O166" t="s">
        <v>22</v>
      </c>
      <c r="P166">
        <v>0</v>
      </c>
      <c r="Q166">
        <v>1.1637</v>
      </c>
    </row>
    <row r="167" spans="1:17" x14ac:dyDescent="0.2">
      <c r="A167" t="s">
        <v>146</v>
      </c>
      <c r="B167">
        <v>2022</v>
      </c>
      <c r="C167">
        <f>0.675265*Q167</f>
        <v>0.76912683500000001</v>
      </c>
      <c r="D167">
        <f>9.165443*Q167</f>
        <v>10.439439577</v>
      </c>
      <c r="E167">
        <f>14.299272*Q167</f>
        <v>16.286870808</v>
      </c>
      <c r="F167">
        <f>19.34047*Q167</f>
        <v>22.028795330000001</v>
      </c>
      <c r="G167">
        <f>E167+F167</f>
        <v>38.315666137999997</v>
      </c>
      <c r="H167">
        <f>-20.369667*Q167</f>
        <v>-23.201050713000001</v>
      </c>
      <c r="I167">
        <f>21.130266*Q167</f>
        <v>24.067372973999998</v>
      </c>
      <c r="J167">
        <f>32.879143*Q167</f>
        <v>37.449343876999997</v>
      </c>
      <c r="K167">
        <f>J167+I167+H167</f>
        <v>38.315666137999997</v>
      </c>
      <c r="L167">
        <f>30.768394*Q167</f>
        <v>35.045200766000001</v>
      </c>
      <c r="M167">
        <f>-2.403748*Q167</f>
        <v>-2.7378689720000002</v>
      </c>
      <c r="N167" t="s">
        <v>147</v>
      </c>
      <c r="O167" t="s">
        <v>22</v>
      </c>
      <c r="P167">
        <v>0</v>
      </c>
      <c r="Q167">
        <v>1.139</v>
      </c>
    </row>
    <row r="168" spans="1:17" x14ac:dyDescent="0.2">
      <c r="A168" t="s">
        <v>146</v>
      </c>
      <c r="B168">
        <v>2021</v>
      </c>
      <c r="C168">
        <f>1.436694*Q168</f>
        <v>1.670875122</v>
      </c>
      <c r="D168">
        <f>10.834955*Q168</f>
        <v>12.601052665000001</v>
      </c>
      <c r="E168">
        <f>16.97655*Q168</f>
        <v>19.74372765</v>
      </c>
      <c r="F168">
        <f>25.851526*Q168</f>
        <v>30.065324738000001</v>
      </c>
      <c r="G168">
        <f>F168+E168</f>
        <v>49.809052387999998</v>
      </c>
      <c r="H168">
        <f>-16.732939*Q168</f>
        <v>-19.460408056999999</v>
      </c>
      <c r="I168">
        <f>29.601689*Q168</f>
        <v>34.426764306999999</v>
      </c>
      <c r="J168">
        <f>29.959326*Q168</f>
        <v>34.842696138000001</v>
      </c>
      <c r="K168">
        <f>J168+I168+H168</f>
        <v>49.809052387999998</v>
      </c>
      <c r="L168">
        <f>44.470125*Q168</f>
        <v>51.718755375000008</v>
      </c>
      <c r="M168">
        <f>4.707261*Q168</f>
        <v>5.4745445430000004</v>
      </c>
      <c r="N168" t="s">
        <v>147</v>
      </c>
      <c r="O168" t="s">
        <v>22</v>
      </c>
      <c r="P168">
        <v>0</v>
      </c>
      <c r="Q168">
        <v>1.163</v>
      </c>
    </row>
    <row r="169" spans="1:17" x14ac:dyDescent="0.2">
      <c r="A169" t="s">
        <v>146</v>
      </c>
      <c r="B169">
        <v>2020</v>
      </c>
      <c r="C169">
        <f>25.746829*Q169</f>
        <v>28.594428287400003</v>
      </c>
      <c r="D169">
        <f>12.466269*Q169</f>
        <v>13.845038351400001</v>
      </c>
      <c r="E169">
        <f>38.319789*Q169</f>
        <v>42.557957663400003</v>
      </c>
      <c r="F169">
        <f>26.651351*Q169</f>
        <v>29.5989904206</v>
      </c>
      <c r="G169">
        <f>F169+E169</f>
        <v>72.156948084000007</v>
      </c>
      <c r="H169">
        <f>-26.894451*Q169</f>
        <v>-29.868977280599999</v>
      </c>
      <c r="I169">
        <f>27.256864*Q169</f>
        <v>30.271473158400003</v>
      </c>
      <c r="J169">
        <f>64.608727*Q169</f>
        <v>71.7544522062</v>
      </c>
      <c r="K169">
        <f>H169+I169+J169</f>
        <v>72.156948084000007</v>
      </c>
      <c r="L169">
        <f>52.737195*Q169</f>
        <v>58.569928767</v>
      </c>
      <c r="M169">
        <f>-4.622684*Q169</f>
        <v>-5.1339528504</v>
      </c>
      <c r="N169" t="s">
        <v>147</v>
      </c>
      <c r="O169" t="s">
        <v>22</v>
      </c>
      <c r="P169">
        <v>0</v>
      </c>
      <c r="Q169">
        <v>1.1106</v>
      </c>
    </row>
    <row r="170" spans="1:17" x14ac:dyDescent="0.2">
      <c r="A170" t="s">
        <v>146</v>
      </c>
      <c r="B170">
        <v>2019</v>
      </c>
      <c r="C170">
        <f>49.850559*Q170</f>
        <v>56.286266166899999</v>
      </c>
      <c r="D170">
        <f>11.470975*Q170</f>
        <v>12.951877872499999</v>
      </c>
      <c r="E170">
        <f>61.368223*Q170</f>
        <v>69.290860589299996</v>
      </c>
      <c r="F170">
        <f>52.268403*Q170</f>
        <v>59.016253827299998</v>
      </c>
      <c r="G170">
        <f>F170+E170</f>
        <v>128.3071144166</v>
      </c>
      <c r="H170">
        <f>-25.251299*Q170</f>
        <v>-28.511241700899998</v>
      </c>
      <c r="I170">
        <f>37.81344*Q170</f>
        <v>42.695155104000001</v>
      </c>
      <c r="J170">
        <f>101.074485*Q170</f>
        <v>114.12320101349999</v>
      </c>
      <c r="K170">
        <f>J170+I170+H170</f>
        <v>128.3071144166</v>
      </c>
      <c r="L170">
        <f>119.135868*Q170</f>
        <v>134.51630855880001</v>
      </c>
      <c r="M170">
        <f>4.609947*Q170</f>
        <v>5.2050911577000001</v>
      </c>
      <c r="N170" t="s">
        <v>147</v>
      </c>
      <c r="O170" t="s">
        <v>22</v>
      </c>
      <c r="P170">
        <v>0</v>
      </c>
      <c r="Q170">
        <v>1.1291</v>
      </c>
    </row>
    <row r="171" spans="1:17" x14ac:dyDescent="0.2">
      <c r="A171" t="s">
        <v>146</v>
      </c>
      <c r="B171">
        <v>2018</v>
      </c>
      <c r="C171">
        <f>45.380599*Q171</f>
        <v>51.579588823400002</v>
      </c>
      <c r="D171">
        <f>9.669455*Q171</f>
        <v>10.990302552999999</v>
      </c>
      <c r="E171">
        <f>60.006845*Q171</f>
        <v>68.203780027000008</v>
      </c>
      <c r="F171">
        <f>20.785083*Q171</f>
        <v>23.624325337800002</v>
      </c>
      <c r="G171">
        <f>F171+E171</f>
        <v>91.82810536480001</v>
      </c>
      <c r="H171">
        <f>-23.556842*Q171</f>
        <v>-26.7747066172</v>
      </c>
      <c r="I171">
        <f>7.913583*Q171</f>
        <v>8.9945784378000013</v>
      </c>
      <c r="J171">
        <f>96.435187*Q171</f>
        <v>109.6082335442</v>
      </c>
      <c r="K171">
        <f>J171+I171+H171</f>
        <v>91.82810536480001</v>
      </c>
      <c r="L171">
        <f>125.236173*Q171</f>
        <v>142.34343423179999</v>
      </c>
      <c r="M171">
        <f>29.159643 * Q171</f>
        <v>33.142850233799997</v>
      </c>
      <c r="N171" t="s">
        <v>147</v>
      </c>
      <c r="O171" t="s">
        <v>22</v>
      </c>
      <c r="P171">
        <v>0</v>
      </c>
      <c r="Q171">
        <v>1.1366000000000001</v>
      </c>
    </row>
    <row r="172" spans="1:17" x14ac:dyDescent="0.2">
      <c r="A172" t="s">
        <v>146</v>
      </c>
      <c r="B172">
        <v>2017</v>
      </c>
      <c r="C172">
        <f>6.122071*Q172</f>
        <v>7.0109957092000004</v>
      </c>
      <c r="D172">
        <f>6.397682*Q172</f>
        <v>7.3266254263999997</v>
      </c>
      <c r="E172">
        <f>16.493329*Q172</f>
        <v>18.888160370799998</v>
      </c>
      <c r="F172">
        <f>9.950232*Q172</f>
        <v>11.395005686399999</v>
      </c>
      <c r="G172">
        <f>F172+E172</f>
        <v>30.283166057199999</v>
      </c>
      <c r="H172">
        <f>-49.222327*Q172</f>
        <v>-56.369408880400002</v>
      </c>
      <c r="I172">
        <f>0.246667*Q172</f>
        <v>0.28248304839999999</v>
      </c>
      <c r="J172">
        <f>75.419221*Q172</f>
        <v>86.370091889199998</v>
      </c>
      <c r="K172">
        <f>J172+I172+H172</f>
        <v>30.283166057199992</v>
      </c>
      <c r="L172">
        <f>15.802784*Q172</f>
        <v>18.097348236800002</v>
      </c>
      <c r="M172">
        <f xml:space="preserve"> -20.712507 * Q172</f>
        <v>-23.719963016399998</v>
      </c>
      <c r="N172" t="s">
        <v>147</v>
      </c>
      <c r="O172" t="s">
        <v>22</v>
      </c>
      <c r="P172">
        <v>0</v>
      </c>
      <c r="Q172">
        <v>1.1452</v>
      </c>
    </row>
    <row r="173" spans="1:17" x14ac:dyDescent="0.2">
      <c r="A173" t="s">
        <v>146</v>
      </c>
      <c r="B173">
        <v>2016</v>
      </c>
      <c r="C173">
        <f>2.242759*Q173</f>
        <v>2.9185022866999999</v>
      </c>
      <c r="D173">
        <f>5.133954*Q173</f>
        <v>6.6808143401999995</v>
      </c>
      <c r="E173">
        <f>10.287351*Q173</f>
        <v>13.386929856299998</v>
      </c>
      <c r="F173">
        <f>6.337799*Q173</f>
        <v>8.2473778387000003</v>
      </c>
      <c r="G173">
        <f>E173+F173</f>
        <v>21.634307694999997</v>
      </c>
      <c r="H173">
        <f>-32.170981*Q173</f>
        <v>-41.864097575299994</v>
      </c>
      <c r="I173">
        <f>0.66282*Q173</f>
        <v>0.86252766599999986</v>
      </c>
      <c r="J173">
        <f>48.133311*Q173</f>
        <v>62.635877604299992</v>
      </c>
      <c r="K173">
        <f>J173+I173+H173</f>
        <v>21.634307694999997</v>
      </c>
      <c r="L173">
        <f>12.551609*Q173</f>
        <v>16.333408791699998</v>
      </c>
      <c r="M173">
        <f>-20.712507*Q173</f>
        <v>-26.953185359099997</v>
      </c>
      <c r="N173" t="s">
        <v>147</v>
      </c>
      <c r="O173" t="s">
        <v>22</v>
      </c>
      <c r="P173">
        <v>0</v>
      </c>
      <c r="Q173">
        <v>1.3012999999999999</v>
      </c>
    </row>
    <row r="174" spans="1:17" x14ac:dyDescent="0.2">
      <c r="A174" t="s">
        <v>146</v>
      </c>
      <c r="B174">
        <v>2015</v>
      </c>
      <c r="C174">
        <f>2.677266*Q174</f>
        <v>3.7270219985999997</v>
      </c>
      <c r="D174">
        <f>5.173718*Q174</f>
        <v>7.2023328277999994</v>
      </c>
      <c r="E174">
        <f>9.74148*Q174</f>
        <v>13.561114307999999</v>
      </c>
      <c r="F174">
        <f>4.115471*Q174</f>
        <v>5.7291471790999999</v>
      </c>
      <c r="G174">
        <f>F174+E174</f>
        <v>19.290261487099997</v>
      </c>
      <c r="H174">
        <f>-33.574671*Q174</f>
        <v>-46.739299499099999</v>
      </c>
      <c r="I174">
        <f>0.438712*Q174</f>
        <v>0.61073097519999997</v>
      </c>
      <c r="J174">
        <f>46.99291*Q174</f>
        <v>65.418830010999997</v>
      </c>
      <c r="K174">
        <f>J174+I174+H174</f>
        <v>19.290261487099997</v>
      </c>
      <c r="L174">
        <f>11.619786*Q174</f>
        <v>16.1759040906</v>
      </c>
      <c r="M174">
        <f>-2.712004*Q174</f>
        <v>-3.7753807683999994</v>
      </c>
      <c r="N174" t="s">
        <v>147</v>
      </c>
      <c r="O174" t="s">
        <v>22</v>
      </c>
      <c r="P174">
        <v>0</v>
      </c>
      <c r="Q174">
        <v>1.3920999999999999</v>
      </c>
    </row>
    <row r="175" spans="1:17" x14ac:dyDescent="0.2">
      <c r="A175" t="s">
        <v>148</v>
      </c>
      <c r="B175">
        <v>2023</v>
      </c>
      <c r="N175" t="s">
        <v>149</v>
      </c>
      <c r="O175" t="s">
        <v>17</v>
      </c>
      <c r="P175">
        <v>0</v>
      </c>
      <c r="Q175">
        <v>1</v>
      </c>
    </row>
    <row r="176" spans="1:17" x14ac:dyDescent="0.2">
      <c r="A176" t="s">
        <v>148</v>
      </c>
      <c r="B176">
        <v>2017</v>
      </c>
      <c r="N176" t="s">
        <v>149</v>
      </c>
      <c r="O176" t="s">
        <v>17</v>
      </c>
      <c r="P176">
        <v>0</v>
      </c>
      <c r="Q176">
        <v>1</v>
      </c>
    </row>
    <row r="177" spans="1:17" x14ac:dyDescent="0.2">
      <c r="A177" t="s">
        <v>148</v>
      </c>
      <c r="B177">
        <v>2016</v>
      </c>
      <c r="N177" t="s">
        <v>149</v>
      </c>
      <c r="O177" t="s">
        <v>17</v>
      </c>
      <c r="P177">
        <v>0</v>
      </c>
      <c r="Q177">
        <v>1</v>
      </c>
    </row>
    <row r="178" spans="1:17" x14ac:dyDescent="0.2">
      <c r="A178" t="s">
        <v>148</v>
      </c>
      <c r="B178">
        <v>2015</v>
      </c>
      <c r="N178" t="s">
        <v>149</v>
      </c>
      <c r="O178" t="s">
        <v>17</v>
      </c>
      <c r="P178">
        <v>0</v>
      </c>
      <c r="Q178">
        <v>1</v>
      </c>
    </row>
    <row r="179" spans="1:17" x14ac:dyDescent="0.2">
      <c r="A179" t="s">
        <v>150</v>
      </c>
      <c r="B179">
        <v>2023</v>
      </c>
      <c r="C179">
        <v>0</v>
      </c>
      <c r="D179">
        <v>2.8212580799999998</v>
      </c>
      <c r="E179">
        <v>5.2352580800000004</v>
      </c>
      <c r="F179">
        <v>6.5150531899999997</v>
      </c>
      <c r="G179">
        <v>11.750311269999999</v>
      </c>
      <c r="H179">
        <v>8.3009041700000008</v>
      </c>
      <c r="I179">
        <v>2.34448035</v>
      </c>
      <c r="J179">
        <v>1.10492675</v>
      </c>
      <c r="K179">
        <v>11.750311269999999</v>
      </c>
      <c r="L179">
        <v>-1.29565785</v>
      </c>
      <c r="M179">
        <v>0.15255352</v>
      </c>
      <c r="N179" t="s">
        <v>151</v>
      </c>
      <c r="O179" t="s">
        <v>17</v>
      </c>
      <c r="P179">
        <v>8.3009041700000008</v>
      </c>
      <c r="Q179">
        <v>1</v>
      </c>
    </row>
    <row r="180" spans="1:17" x14ac:dyDescent="0.2">
      <c r="A180" t="s">
        <v>152</v>
      </c>
      <c r="B180">
        <v>2023</v>
      </c>
      <c r="N180" t="s">
        <v>153</v>
      </c>
      <c r="O180" t="s">
        <v>17</v>
      </c>
      <c r="P180">
        <v>0</v>
      </c>
      <c r="Q180">
        <v>1</v>
      </c>
    </row>
    <row r="181" spans="1:17" x14ac:dyDescent="0.2">
      <c r="A181" t="s">
        <v>152</v>
      </c>
      <c r="B181">
        <v>2022</v>
      </c>
      <c r="N181" t="s">
        <v>153</v>
      </c>
      <c r="O181" t="s">
        <v>17</v>
      </c>
      <c r="P181">
        <v>0</v>
      </c>
      <c r="Q181">
        <v>1</v>
      </c>
    </row>
    <row r="182" spans="1:17" x14ac:dyDescent="0.2">
      <c r="A182" t="s">
        <v>154</v>
      </c>
      <c r="B182">
        <v>2023</v>
      </c>
      <c r="N182" t="s">
        <v>155</v>
      </c>
      <c r="O182" t="s">
        <v>17</v>
      </c>
      <c r="P182">
        <v>0</v>
      </c>
      <c r="Q182">
        <v>1</v>
      </c>
    </row>
    <row r="183" spans="1:17" x14ac:dyDescent="0.2">
      <c r="A183" t="s">
        <v>154</v>
      </c>
      <c r="B183">
        <v>2022</v>
      </c>
      <c r="C183">
        <v>0.82917582999999995</v>
      </c>
      <c r="D183">
        <v>2.39026206</v>
      </c>
      <c r="E183">
        <v>5.11484249</v>
      </c>
      <c r="F183">
        <v>4.0800583499999998</v>
      </c>
      <c r="G183">
        <v>9.1949008400000007</v>
      </c>
      <c r="H183">
        <v>-1.0334776800000001</v>
      </c>
      <c r="I183">
        <v>5.1496838900000004</v>
      </c>
      <c r="J183">
        <v>5.0786946300000002</v>
      </c>
      <c r="K183">
        <v>9.1949008400000007</v>
      </c>
      <c r="L183">
        <v>9.8628943400000004</v>
      </c>
      <c r="M183">
        <v>-6.0513400000000002E-2</v>
      </c>
      <c r="N183" t="s">
        <v>155</v>
      </c>
      <c r="O183" t="s">
        <v>17</v>
      </c>
      <c r="P183">
        <v>-1.0334776800000001</v>
      </c>
      <c r="Q183">
        <v>1</v>
      </c>
    </row>
    <row r="184" spans="1:17" x14ac:dyDescent="0.2">
      <c r="A184" t="s">
        <v>154</v>
      </c>
      <c r="B184">
        <v>2018</v>
      </c>
      <c r="N184" t="s">
        <v>155</v>
      </c>
      <c r="O184" t="s">
        <v>17</v>
      </c>
      <c r="P184">
        <v>0</v>
      </c>
      <c r="Q184">
        <v>1</v>
      </c>
    </row>
    <row r="185" spans="1:17" x14ac:dyDescent="0.2">
      <c r="A185" t="s">
        <v>154</v>
      </c>
      <c r="B185">
        <v>2017</v>
      </c>
      <c r="N185" t="s">
        <v>155</v>
      </c>
      <c r="O185" t="s">
        <v>17</v>
      </c>
      <c r="P185">
        <v>0</v>
      </c>
      <c r="Q185">
        <v>1</v>
      </c>
    </row>
    <row r="186" spans="1:17" x14ac:dyDescent="0.2">
      <c r="A186" t="s">
        <v>154</v>
      </c>
      <c r="B186">
        <v>2016</v>
      </c>
      <c r="N186" t="s">
        <v>155</v>
      </c>
      <c r="O186" t="s">
        <v>17</v>
      </c>
      <c r="P186">
        <v>0</v>
      </c>
      <c r="Q186">
        <v>1</v>
      </c>
    </row>
    <row r="187" spans="1:17" x14ac:dyDescent="0.2">
      <c r="A187" t="s">
        <v>156</v>
      </c>
      <c r="B187">
        <v>2023</v>
      </c>
      <c r="N187" t="s">
        <v>157</v>
      </c>
      <c r="O187" t="s">
        <v>28</v>
      </c>
      <c r="P187">
        <v>0</v>
      </c>
      <c r="Q187">
        <v>1</v>
      </c>
    </row>
    <row r="188" spans="1:17" x14ac:dyDescent="0.2">
      <c r="A188" t="s">
        <v>158</v>
      </c>
      <c r="B188">
        <v>2023</v>
      </c>
      <c r="C188">
        <v>2.88035453</v>
      </c>
      <c r="D188">
        <v>27.501462440000001</v>
      </c>
      <c r="E188">
        <v>43.140045970000003</v>
      </c>
      <c r="F188">
        <v>4.4401237800000004</v>
      </c>
      <c r="G188">
        <v>47.580169750000003</v>
      </c>
      <c r="H188">
        <v>3.7513685300000001</v>
      </c>
      <c r="I188">
        <v>32.928681400000002</v>
      </c>
      <c r="J188">
        <v>10.90011982</v>
      </c>
      <c r="K188">
        <v>47.580169750000003</v>
      </c>
      <c r="L188">
        <v>10.47443329</v>
      </c>
      <c r="M188">
        <v>3.9377331500000001</v>
      </c>
      <c r="N188" t="s">
        <v>159</v>
      </c>
      <c r="O188" t="s">
        <v>17</v>
      </c>
      <c r="P188">
        <v>3.7513685300000001</v>
      </c>
      <c r="Q188">
        <v>1</v>
      </c>
    </row>
    <row r="189" spans="1:17" x14ac:dyDescent="0.2">
      <c r="A189" t="s">
        <v>158</v>
      </c>
      <c r="B189">
        <v>2015</v>
      </c>
      <c r="N189" t="s">
        <v>159</v>
      </c>
      <c r="O189" t="s">
        <v>17</v>
      </c>
      <c r="P189">
        <v>0</v>
      </c>
      <c r="Q189">
        <v>1</v>
      </c>
    </row>
    <row r="190" spans="1:17" x14ac:dyDescent="0.2">
      <c r="A190" t="s">
        <v>160</v>
      </c>
      <c r="B190">
        <v>2023</v>
      </c>
      <c r="N190" t="s">
        <v>161</v>
      </c>
      <c r="O190" t="s">
        <v>17</v>
      </c>
      <c r="P190">
        <v>0</v>
      </c>
      <c r="Q190">
        <v>1</v>
      </c>
    </row>
    <row r="191" spans="1:17" x14ac:dyDescent="0.2">
      <c r="A191" t="s">
        <v>162</v>
      </c>
      <c r="B191">
        <v>2017</v>
      </c>
      <c r="N191" t="s">
        <v>163</v>
      </c>
      <c r="O191" t="s">
        <v>28</v>
      </c>
      <c r="P191">
        <v>0</v>
      </c>
      <c r="Q191">
        <v>1</v>
      </c>
    </row>
    <row r="192" spans="1:17" x14ac:dyDescent="0.2">
      <c r="A192" t="s">
        <v>162</v>
      </c>
      <c r="B192">
        <v>2016</v>
      </c>
      <c r="N192" t="s">
        <v>163</v>
      </c>
      <c r="O192" t="s">
        <v>28</v>
      </c>
      <c r="P192">
        <v>0</v>
      </c>
      <c r="Q192">
        <v>1</v>
      </c>
    </row>
    <row r="193" spans="1:17" x14ac:dyDescent="0.2">
      <c r="A193" t="s">
        <v>162</v>
      </c>
      <c r="B193">
        <v>2015</v>
      </c>
      <c r="N193" t="s">
        <v>163</v>
      </c>
      <c r="O193" t="s">
        <v>28</v>
      </c>
      <c r="P193">
        <v>0</v>
      </c>
      <c r="Q193">
        <v>1</v>
      </c>
    </row>
    <row r="194" spans="1:17" x14ac:dyDescent="0.2">
      <c r="A194" t="s">
        <v>164</v>
      </c>
      <c r="B194">
        <v>2023</v>
      </c>
      <c r="N194" t="s">
        <v>165</v>
      </c>
      <c r="O194" t="s">
        <v>17</v>
      </c>
      <c r="P194">
        <v>0</v>
      </c>
      <c r="Q194">
        <v>1</v>
      </c>
    </row>
    <row r="195" spans="1:17" x14ac:dyDescent="0.2">
      <c r="A195" t="s">
        <v>166</v>
      </c>
      <c r="B195">
        <v>2023</v>
      </c>
      <c r="L195">
        <v>166.82591540999999</v>
      </c>
      <c r="N195" t="s">
        <v>167</v>
      </c>
      <c r="O195" t="s">
        <v>37</v>
      </c>
      <c r="P195">
        <v>0</v>
      </c>
      <c r="Q195">
        <v>1</v>
      </c>
    </row>
    <row r="196" spans="1:17" x14ac:dyDescent="0.2">
      <c r="A196" t="s">
        <v>166</v>
      </c>
      <c r="B196">
        <v>2022</v>
      </c>
      <c r="L196">
        <v>119.30919253</v>
      </c>
      <c r="N196" t="s">
        <v>167</v>
      </c>
      <c r="O196" t="s">
        <v>37</v>
      </c>
      <c r="P196">
        <v>0</v>
      </c>
      <c r="Q196">
        <v>1</v>
      </c>
    </row>
    <row r="197" spans="1:17" x14ac:dyDescent="0.2">
      <c r="A197" t="s">
        <v>166</v>
      </c>
      <c r="B197">
        <v>2021</v>
      </c>
      <c r="L197">
        <v>71.669603039999998</v>
      </c>
      <c r="N197" t="s">
        <v>167</v>
      </c>
      <c r="O197" t="s">
        <v>37</v>
      </c>
      <c r="P197">
        <v>0</v>
      </c>
      <c r="Q197">
        <v>1</v>
      </c>
    </row>
    <row r="198" spans="1:17" x14ac:dyDescent="0.2">
      <c r="A198" t="s">
        <v>166</v>
      </c>
      <c r="B198">
        <v>2020</v>
      </c>
      <c r="L198">
        <v>71.668936119999998</v>
      </c>
      <c r="N198" t="s">
        <v>167</v>
      </c>
      <c r="O198" t="s">
        <v>37</v>
      </c>
      <c r="P198">
        <v>0</v>
      </c>
      <c r="Q198">
        <v>1</v>
      </c>
    </row>
    <row r="199" spans="1:17" x14ac:dyDescent="0.2">
      <c r="A199" t="s">
        <v>166</v>
      </c>
      <c r="B199">
        <v>2019</v>
      </c>
      <c r="L199">
        <v>56.762855039999998</v>
      </c>
      <c r="N199" t="s">
        <v>167</v>
      </c>
      <c r="O199" t="s">
        <v>37</v>
      </c>
      <c r="P199">
        <v>0</v>
      </c>
      <c r="Q199">
        <v>1</v>
      </c>
    </row>
    <row r="200" spans="1:17" x14ac:dyDescent="0.2">
      <c r="A200" t="s">
        <v>166</v>
      </c>
      <c r="B200">
        <v>2018</v>
      </c>
      <c r="L200">
        <v>46.152927290000001</v>
      </c>
      <c r="N200" t="s">
        <v>167</v>
      </c>
      <c r="O200" t="s">
        <v>37</v>
      </c>
      <c r="P200">
        <v>0</v>
      </c>
      <c r="Q200">
        <v>1</v>
      </c>
    </row>
    <row r="201" spans="1:17" x14ac:dyDescent="0.2">
      <c r="A201" t="s">
        <v>166</v>
      </c>
      <c r="B201">
        <v>2017</v>
      </c>
      <c r="N201" t="s">
        <v>167</v>
      </c>
      <c r="O201" t="s">
        <v>37</v>
      </c>
      <c r="P201">
        <v>0</v>
      </c>
      <c r="Q201">
        <v>1</v>
      </c>
    </row>
    <row r="202" spans="1:17" x14ac:dyDescent="0.2">
      <c r="A202" t="s">
        <v>166</v>
      </c>
      <c r="B202">
        <v>2016</v>
      </c>
      <c r="N202" t="s">
        <v>167</v>
      </c>
      <c r="O202" t="s">
        <v>37</v>
      </c>
      <c r="P202">
        <v>0</v>
      </c>
      <c r="Q202">
        <v>1</v>
      </c>
    </row>
    <row r="203" spans="1:17" x14ac:dyDescent="0.2">
      <c r="A203" t="s">
        <v>166</v>
      </c>
      <c r="B203">
        <v>2015</v>
      </c>
      <c r="N203" t="s">
        <v>167</v>
      </c>
      <c r="O203" t="s">
        <v>37</v>
      </c>
      <c r="P203">
        <v>0</v>
      </c>
      <c r="Q203">
        <v>1</v>
      </c>
    </row>
    <row r="204" spans="1:17" x14ac:dyDescent="0.2">
      <c r="A204" t="s">
        <v>168</v>
      </c>
      <c r="B204">
        <v>2023</v>
      </c>
      <c r="N204" t="s">
        <v>169</v>
      </c>
      <c r="O204" t="s">
        <v>37</v>
      </c>
      <c r="P204">
        <v>0</v>
      </c>
      <c r="Q204">
        <v>1</v>
      </c>
    </row>
    <row r="205" spans="1:17" x14ac:dyDescent="0.2">
      <c r="A205" t="s">
        <v>168</v>
      </c>
      <c r="B205">
        <v>2022</v>
      </c>
      <c r="L205">
        <v>114.9</v>
      </c>
      <c r="N205" t="s">
        <v>169</v>
      </c>
      <c r="O205" t="s">
        <v>37</v>
      </c>
      <c r="P205">
        <v>0</v>
      </c>
      <c r="Q205">
        <v>1</v>
      </c>
    </row>
    <row r="206" spans="1:17" x14ac:dyDescent="0.2">
      <c r="A206" t="s">
        <v>168</v>
      </c>
      <c r="B206">
        <v>2021</v>
      </c>
      <c r="L206">
        <v>110.1</v>
      </c>
      <c r="N206" t="s">
        <v>169</v>
      </c>
      <c r="O206" t="s">
        <v>37</v>
      </c>
      <c r="P206">
        <v>0</v>
      </c>
      <c r="Q206">
        <v>1</v>
      </c>
    </row>
    <row r="207" spans="1:17" x14ac:dyDescent="0.2">
      <c r="A207" t="s">
        <v>168</v>
      </c>
      <c r="B207">
        <v>2020</v>
      </c>
      <c r="N207" t="s">
        <v>169</v>
      </c>
      <c r="O207" t="s">
        <v>37</v>
      </c>
      <c r="P207">
        <v>0</v>
      </c>
      <c r="Q207">
        <v>1</v>
      </c>
    </row>
    <row r="208" spans="1:17" x14ac:dyDescent="0.2">
      <c r="A208" t="s">
        <v>168</v>
      </c>
      <c r="B208">
        <v>2019</v>
      </c>
      <c r="L208">
        <v>96.1</v>
      </c>
      <c r="N208" t="s">
        <v>169</v>
      </c>
      <c r="O208" t="s">
        <v>37</v>
      </c>
      <c r="P208">
        <v>0</v>
      </c>
      <c r="Q208">
        <v>1</v>
      </c>
    </row>
    <row r="209" spans="1:17" x14ac:dyDescent="0.2">
      <c r="A209" t="s">
        <v>168</v>
      </c>
      <c r="B209">
        <v>2018</v>
      </c>
      <c r="L209">
        <v>100.3</v>
      </c>
      <c r="N209" t="s">
        <v>169</v>
      </c>
      <c r="O209" t="s">
        <v>37</v>
      </c>
      <c r="P209">
        <v>0</v>
      </c>
      <c r="Q209">
        <v>1</v>
      </c>
    </row>
    <row r="210" spans="1:17" x14ac:dyDescent="0.2">
      <c r="A210" t="s">
        <v>168</v>
      </c>
      <c r="B210">
        <v>2017</v>
      </c>
      <c r="N210" t="s">
        <v>169</v>
      </c>
      <c r="O210" t="s">
        <v>37</v>
      </c>
      <c r="P210">
        <v>0</v>
      </c>
      <c r="Q210">
        <v>1</v>
      </c>
    </row>
    <row r="211" spans="1:17" x14ac:dyDescent="0.2">
      <c r="A211" t="s">
        <v>168</v>
      </c>
      <c r="B211">
        <v>2016</v>
      </c>
      <c r="N211" t="s">
        <v>169</v>
      </c>
      <c r="O211" t="s">
        <v>37</v>
      </c>
      <c r="P211">
        <v>0</v>
      </c>
      <c r="Q211">
        <v>1</v>
      </c>
    </row>
    <row r="212" spans="1:17" x14ac:dyDescent="0.2">
      <c r="A212" t="s">
        <v>168</v>
      </c>
      <c r="B212">
        <v>2015</v>
      </c>
      <c r="N212" t="s">
        <v>169</v>
      </c>
      <c r="O212" t="s">
        <v>37</v>
      </c>
      <c r="P212">
        <v>0</v>
      </c>
      <c r="Q212">
        <v>1</v>
      </c>
    </row>
    <row r="213" spans="1:17" x14ac:dyDescent="0.2">
      <c r="A213" t="s">
        <v>170</v>
      </c>
      <c r="B213">
        <v>2023</v>
      </c>
      <c r="N213" t="s">
        <v>171</v>
      </c>
      <c r="O213" t="s">
        <v>37</v>
      </c>
      <c r="P213">
        <v>0</v>
      </c>
      <c r="Q213">
        <v>1</v>
      </c>
    </row>
    <row r="214" spans="1:17" x14ac:dyDescent="0.2">
      <c r="A214" t="s">
        <v>170</v>
      </c>
      <c r="B214">
        <v>2022</v>
      </c>
      <c r="N214" t="s">
        <v>171</v>
      </c>
      <c r="O214" t="s">
        <v>37</v>
      </c>
      <c r="P214">
        <v>0</v>
      </c>
      <c r="Q214">
        <v>1</v>
      </c>
    </row>
    <row r="215" spans="1:17" x14ac:dyDescent="0.2">
      <c r="A215" t="s">
        <v>170</v>
      </c>
      <c r="B215">
        <v>2021</v>
      </c>
      <c r="N215" t="s">
        <v>171</v>
      </c>
      <c r="O215" t="s">
        <v>37</v>
      </c>
      <c r="P215">
        <v>0</v>
      </c>
      <c r="Q215">
        <v>1</v>
      </c>
    </row>
    <row r="216" spans="1:17" x14ac:dyDescent="0.2">
      <c r="A216" t="s">
        <v>170</v>
      </c>
      <c r="B216">
        <v>2020</v>
      </c>
      <c r="L216">
        <v>4.5</v>
      </c>
      <c r="N216" t="s">
        <v>171</v>
      </c>
      <c r="O216" t="s">
        <v>37</v>
      </c>
      <c r="P216">
        <v>0</v>
      </c>
      <c r="Q216">
        <v>1</v>
      </c>
    </row>
    <row r="217" spans="1:17" x14ac:dyDescent="0.2">
      <c r="A217" t="s">
        <v>170</v>
      </c>
      <c r="B217">
        <v>2019</v>
      </c>
      <c r="N217" t="s">
        <v>171</v>
      </c>
      <c r="O217" t="s">
        <v>37</v>
      </c>
      <c r="P217">
        <v>0</v>
      </c>
      <c r="Q217">
        <v>1</v>
      </c>
    </row>
    <row r="218" spans="1:17" x14ac:dyDescent="0.2">
      <c r="A218" t="s">
        <v>170</v>
      </c>
      <c r="B218">
        <v>2018</v>
      </c>
      <c r="N218" t="s">
        <v>171</v>
      </c>
      <c r="O218" t="s">
        <v>37</v>
      </c>
      <c r="P218">
        <v>0</v>
      </c>
      <c r="Q218">
        <v>1</v>
      </c>
    </row>
    <row r="219" spans="1:17" x14ac:dyDescent="0.2">
      <c r="A219" t="s">
        <v>170</v>
      </c>
      <c r="B219">
        <v>2017</v>
      </c>
      <c r="N219" t="s">
        <v>171</v>
      </c>
      <c r="O219" t="s">
        <v>37</v>
      </c>
      <c r="P219">
        <v>0</v>
      </c>
      <c r="Q219">
        <v>1</v>
      </c>
    </row>
    <row r="220" spans="1:17" x14ac:dyDescent="0.2">
      <c r="A220" t="s">
        <v>170</v>
      </c>
      <c r="B220">
        <v>2016</v>
      </c>
      <c r="N220" t="s">
        <v>171</v>
      </c>
      <c r="O220" t="s">
        <v>37</v>
      </c>
      <c r="P220">
        <v>0</v>
      </c>
      <c r="Q220">
        <v>1</v>
      </c>
    </row>
    <row r="221" spans="1:17" x14ac:dyDescent="0.2">
      <c r="A221" t="s">
        <v>170</v>
      </c>
      <c r="B221">
        <v>2015</v>
      </c>
      <c r="N221" t="s">
        <v>171</v>
      </c>
      <c r="O221" t="s">
        <v>37</v>
      </c>
      <c r="P221">
        <v>0</v>
      </c>
      <c r="Q221">
        <v>1</v>
      </c>
    </row>
    <row r="222" spans="1:17" x14ac:dyDescent="0.2">
      <c r="A222" t="s">
        <v>172</v>
      </c>
      <c r="B222">
        <v>2023</v>
      </c>
      <c r="N222" t="s">
        <v>173</v>
      </c>
      <c r="O222" t="s">
        <v>37</v>
      </c>
      <c r="P222">
        <v>0</v>
      </c>
      <c r="Q222">
        <v>1</v>
      </c>
    </row>
    <row r="223" spans="1:17" x14ac:dyDescent="0.2">
      <c r="A223" t="s">
        <v>172</v>
      </c>
      <c r="B223">
        <v>2022</v>
      </c>
      <c r="E223">
        <v>0</v>
      </c>
      <c r="F223">
        <v>2.3681776299999999</v>
      </c>
      <c r="G223">
        <v>2.3681776299999999</v>
      </c>
      <c r="H223">
        <v>0.11393571</v>
      </c>
      <c r="I223">
        <v>2.2496169500000001</v>
      </c>
      <c r="J223">
        <v>4.6249699999999999E-3</v>
      </c>
      <c r="K223">
        <v>2.3681776299999999</v>
      </c>
      <c r="N223" t="s">
        <v>173</v>
      </c>
      <c r="O223" t="s">
        <v>37</v>
      </c>
      <c r="P223">
        <v>0.11393571</v>
      </c>
      <c r="Q223">
        <v>1</v>
      </c>
    </row>
    <row r="224" spans="1:17" x14ac:dyDescent="0.2">
      <c r="A224" t="s">
        <v>172</v>
      </c>
      <c r="B224">
        <v>2021</v>
      </c>
      <c r="E224">
        <v>0</v>
      </c>
      <c r="F224">
        <v>1.8426379100000001</v>
      </c>
      <c r="G224">
        <v>1.8426379100000001</v>
      </c>
      <c r="H224">
        <v>0.11393571</v>
      </c>
      <c r="I224">
        <v>1.7257724000000001</v>
      </c>
      <c r="J224">
        <v>2.9298000000000002E-3</v>
      </c>
      <c r="K224">
        <v>1.8426379100000001</v>
      </c>
      <c r="N224" t="s">
        <v>173</v>
      </c>
      <c r="O224" t="s">
        <v>37</v>
      </c>
      <c r="P224">
        <v>0.11393571</v>
      </c>
      <c r="Q224">
        <v>1</v>
      </c>
    </row>
    <row r="225" spans="1:17" x14ac:dyDescent="0.2">
      <c r="A225" t="s">
        <v>172</v>
      </c>
      <c r="B225">
        <v>2020</v>
      </c>
      <c r="E225">
        <v>0</v>
      </c>
      <c r="F225">
        <v>7.6429471600000003</v>
      </c>
      <c r="G225">
        <v>7.6429471600000003</v>
      </c>
      <c r="H225">
        <v>0.11393571</v>
      </c>
      <c r="I225">
        <v>7.5290114499999996</v>
      </c>
      <c r="J225">
        <v>0</v>
      </c>
      <c r="K225">
        <v>7.6429471600000003</v>
      </c>
      <c r="N225" t="s">
        <v>173</v>
      </c>
      <c r="O225" t="s">
        <v>37</v>
      </c>
      <c r="P225">
        <v>0.11393571000000099</v>
      </c>
      <c r="Q225">
        <v>1</v>
      </c>
    </row>
    <row r="226" spans="1:17" x14ac:dyDescent="0.2">
      <c r="A226" t="s">
        <v>172</v>
      </c>
      <c r="B226">
        <v>2019</v>
      </c>
      <c r="E226">
        <v>0</v>
      </c>
      <c r="F226">
        <v>2.1883290799999999</v>
      </c>
      <c r="G226">
        <v>2.1883290799999999</v>
      </c>
      <c r="H226">
        <v>0.11393571</v>
      </c>
      <c r="I226">
        <v>2.0743933700000001</v>
      </c>
      <c r="J226">
        <v>0</v>
      </c>
      <c r="K226">
        <v>2.1883290799999999</v>
      </c>
      <c r="N226" t="s">
        <v>173</v>
      </c>
      <c r="O226" t="s">
        <v>37</v>
      </c>
      <c r="P226">
        <v>0.11393571</v>
      </c>
      <c r="Q226">
        <v>1</v>
      </c>
    </row>
    <row r="227" spans="1:17" x14ac:dyDescent="0.2">
      <c r="A227" t="s">
        <v>172</v>
      </c>
      <c r="B227">
        <v>2018</v>
      </c>
      <c r="E227">
        <v>0</v>
      </c>
      <c r="F227">
        <v>3.2194667099999998</v>
      </c>
      <c r="G227">
        <v>3.2194667099999998</v>
      </c>
      <c r="H227">
        <v>0.11393571</v>
      </c>
      <c r="I227">
        <v>3.09262462</v>
      </c>
      <c r="J227">
        <v>1.290638E-2</v>
      </c>
      <c r="K227">
        <v>3.2194667099999998</v>
      </c>
      <c r="N227" t="s">
        <v>173</v>
      </c>
      <c r="O227" t="s">
        <v>37</v>
      </c>
      <c r="P227">
        <v>0.11393571</v>
      </c>
      <c r="Q227">
        <v>1</v>
      </c>
    </row>
    <row r="228" spans="1:17" x14ac:dyDescent="0.2">
      <c r="A228" t="s">
        <v>172</v>
      </c>
      <c r="B228">
        <v>2017</v>
      </c>
      <c r="E228">
        <v>0</v>
      </c>
      <c r="F228">
        <v>6.1411043100000002</v>
      </c>
      <c r="G228">
        <v>6.1411043100000002</v>
      </c>
      <c r="H228">
        <v>0.11393571</v>
      </c>
      <c r="I228">
        <v>6.0176081400000001</v>
      </c>
      <c r="J228">
        <v>9.5604599999999998E-3</v>
      </c>
      <c r="K228">
        <v>6.1411043100000002</v>
      </c>
      <c r="N228" t="s">
        <v>173</v>
      </c>
      <c r="O228" t="s">
        <v>37</v>
      </c>
      <c r="P228">
        <v>0.11393571</v>
      </c>
      <c r="Q228">
        <v>1</v>
      </c>
    </row>
    <row r="229" spans="1:17" x14ac:dyDescent="0.2">
      <c r="A229" t="s">
        <v>172</v>
      </c>
      <c r="B229">
        <v>2016</v>
      </c>
      <c r="E229">
        <v>0</v>
      </c>
      <c r="F229">
        <v>6.8408371900000002</v>
      </c>
      <c r="G229">
        <v>6.8408371900000002</v>
      </c>
      <c r="H229">
        <v>0.11393571</v>
      </c>
      <c r="I229">
        <v>6.7269014800000004</v>
      </c>
      <c r="J229">
        <v>0</v>
      </c>
      <c r="K229">
        <v>6.8408371900000002</v>
      </c>
      <c r="N229" t="s">
        <v>173</v>
      </c>
      <c r="O229" t="s">
        <v>37</v>
      </c>
      <c r="P229">
        <v>0.11393571</v>
      </c>
      <c r="Q229">
        <v>1</v>
      </c>
    </row>
    <row r="230" spans="1:17" x14ac:dyDescent="0.2">
      <c r="A230" t="s">
        <v>172</v>
      </c>
      <c r="B230">
        <v>2015</v>
      </c>
      <c r="E230">
        <v>0</v>
      </c>
      <c r="F230">
        <v>6.4671582299999999</v>
      </c>
      <c r="G230">
        <v>6.4671582299999999</v>
      </c>
      <c r="H230">
        <v>0.11393571</v>
      </c>
      <c r="I230">
        <v>7.4999999999999997E-3</v>
      </c>
      <c r="J230">
        <v>6.3457225199999998</v>
      </c>
      <c r="K230">
        <v>6.4671582299999999</v>
      </c>
      <c r="N230" t="s">
        <v>173</v>
      </c>
      <c r="O230" t="s">
        <v>37</v>
      </c>
      <c r="P230">
        <v>0.11393571</v>
      </c>
      <c r="Q230">
        <v>1</v>
      </c>
    </row>
    <row r="231" spans="1:17" x14ac:dyDescent="0.2">
      <c r="A231" t="s">
        <v>174</v>
      </c>
      <c r="B231">
        <v>2023</v>
      </c>
      <c r="C231">
        <v>36.091023999999997</v>
      </c>
      <c r="D231">
        <v>35.546450999999998</v>
      </c>
      <c r="E231">
        <v>79.020212999999998</v>
      </c>
      <c r="F231">
        <v>20.750969999999999</v>
      </c>
      <c r="G231">
        <v>99.771182999999994</v>
      </c>
      <c r="H231">
        <v>10.167279000000001</v>
      </c>
      <c r="I231">
        <v>40.549076999999997</v>
      </c>
      <c r="J231">
        <v>49.060828000000001</v>
      </c>
      <c r="K231">
        <v>99.777184000000005</v>
      </c>
      <c r="L231">
        <v>75.228630999999993</v>
      </c>
      <c r="M231">
        <v>-5.8645589999999999</v>
      </c>
      <c r="N231" t="s">
        <v>175</v>
      </c>
      <c r="O231" t="s">
        <v>17</v>
      </c>
      <c r="P231">
        <v>10.161277999999999</v>
      </c>
      <c r="Q231">
        <v>1</v>
      </c>
    </row>
    <row r="232" spans="1:17" x14ac:dyDescent="0.2">
      <c r="A232" t="s">
        <v>174</v>
      </c>
      <c r="B232">
        <v>2022</v>
      </c>
      <c r="C232">
        <v>46.138309</v>
      </c>
      <c r="D232">
        <v>28.98273</v>
      </c>
      <c r="E232">
        <v>79.832440000000005</v>
      </c>
      <c r="F232">
        <v>19.084219000000001</v>
      </c>
      <c r="G232">
        <v>98.916658999999996</v>
      </c>
      <c r="H232">
        <v>19.746575</v>
      </c>
      <c r="I232">
        <v>44.157093000000003</v>
      </c>
      <c r="J232">
        <v>35.012991</v>
      </c>
      <c r="K232">
        <v>98.916658999999996</v>
      </c>
      <c r="L232">
        <v>66.079159000000004</v>
      </c>
      <c r="M232">
        <v>-1.466955</v>
      </c>
      <c r="N232" t="s">
        <v>175</v>
      </c>
      <c r="O232" t="s">
        <v>17</v>
      </c>
      <c r="P232">
        <v>19.746575</v>
      </c>
      <c r="Q232">
        <v>1</v>
      </c>
    </row>
    <row r="233" spans="1:17" x14ac:dyDescent="0.2">
      <c r="A233" t="s">
        <v>174</v>
      </c>
      <c r="B233">
        <v>2021</v>
      </c>
      <c r="C233">
        <v>57.004085000000003</v>
      </c>
      <c r="D233">
        <v>28.251940999999999</v>
      </c>
      <c r="E233">
        <v>87.956773999999996</v>
      </c>
      <c r="F233">
        <v>12.812678999999999</v>
      </c>
      <c r="G233">
        <v>100.769453</v>
      </c>
      <c r="H233">
        <v>21.788741999999999</v>
      </c>
      <c r="I233">
        <v>27.206254000000001</v>
      </c>
      <c r="J233">
        <v>51.774456999999998</v>
      </c>
      <c r="K233">
        <v>100.769453</v>
      </c>
      <c r="L233">
        <v>58.246420999999998</v>
      </c>
      <c r="M233">
        <v>0.91751899999999997</v>
      </c>
      <c r="N233" t="s">
        <v>175</v>
      </c>
      <c r="O233" t="s">
        <v>17</v>
      </c>
      <c r="P233">
        <v>21.788741999999999</v>
      </c>
      <c r="Q233">
        <v>1</v>
      </c>
    </row>
    <row r="234" spans="1:17" x14ac:dyDescent="0.2">
      <c r="A234" t="s">
        <v>174</v>
      </c>
      <c r="B234">
        <v>2020</v>
      </c>
      <c r="C234">
        <v>46.940821</v>
      </c>
      <c r="D234">
        <v>14.026009</v>
      </c>
      <c r="E234">
        <v>62.917309000000003</v>
      </c>
      <c r="F234">
        <v>9.9241349999999997</v>
      </c>
      <c r="G234">
        <v>72.841443999999996</v>
      </c>
      <c r="H234">
        <v>22.120822</v>
      </c>
      <c r="I234">
        <v>18.701111999999998</v>
      </c>
      <c r="J234">
        <v>32.019509999999997</v>
      </c>
      <c r="K234">
        <v>72.841443999999996</v>
      </c>
      <c r="L234">
        <v>57.547347000000002</v>
      </c>
      <c r="M234">
        <v>3.1245324999999999</v>
      </c>
      <c r="N234" t="s">
        <v>175</v>
      </c>
      <c r="O234" t="s">
        <v>17</v>
      </c>
      <c r="P234">
        <v>22.120822</v>
      </c>
      <c r="Q234">
        <v>1</v>
      </c>
    </row>
    <row r="235" spans="1:17" x14ac:dyDescent="0.2">
      <c r="A235" t="s">
        <v>174</v>
      </c>
      <c r="B235">
        <v>2019</v>
      </c>
      <c r="C235">
        <v>44.288278910000002</v>
      </c>
      <c r="D235">
        <v>1.33927186</v>
      </c>
      <c r="E235">
        <v>48.011385490000002</v>
      </c>
      <c r="F235">
        <v>12.980474559999999</v>
      </c>
      <c r="G235">
        <v>60.99186005</v>
      </c>
      <c r="H235">
        <v>20.936858059999999</v>
      </c>
      <c r="I235">
        <v>17.850269409999999</v>
      </c>
      <c r="J235">
        <v>22.204732580000002</v>
      </c>
      <c r="K235">
        <v>60.99186005</v>
      </c>
      <c r="L235">
        <v>13.936970649999999</v>
      </c>
      <c r="M235">
        <v>-3.7704089999999999</v>
      </c>
      <c r="N235" t="s">
        <v>175</v>
      </c>
      <c r="O235" t="s">
        <v>17</v>
      </c>
      <c r="P235">
        <v>20.936858059999999</v>
      </c>
      <c r="Q235">
        <v>1</v>
      </c>
    </row>
    <row r="236" spans="1:17" x14ac:dyDescent="0.2">
      <c r="A236" t="s">
        <v>174</v>
      </c>
      <c r="B236">
        <v>2018</v>
      </c>
      <c r="C236">
        <v>40.794674710000002</v>
      </c>
      <c r="D236">
        <v>1.0449762600000001</v>
      </c>
      <c r="E236">
        <v>48.152897959999997</v>
      </c>
      <c r="F236">
        <v>10.110993219999999</v>
      </c>
      <c r="G236">
        <v>58.263891180000002</v>
      </c>
      <c r="H236">
        <v>26.695542270000001</v>
      </c>
      <c r="I236">
        <v>21.59551961</v>
      </c>
      <c r="J236">
        <v>9.9728293000000008</v>
      </c>
      <c r="K236">
        <v>58.263891180000002</v>
      </c>
      <c r="L236">
        <v>14.64313276</v>
      </c>
      <c r="M236">
        <v>9.4180898899999992</v>
      </c>
      <c r="N236" t="s">
        <v>175</v>
      </c>
      <c r="O236" t="s">
        <v>17</v>
      </c>
      <c r="P236">
        <v>26.695542270000001</v>
      </c>
      <c r="Q236">
        <v>1</v>
      </c>
    </row>
    <row r="237" spans="1:17" x14ac:dyDescent="0.2">
      <c r="A237" t="s">
        <v>174</v>
      </c>
      <c r="B237">
        <v>2017</v>
      </c>
      <c r="C237">
        <v>39.394393530000002</v>
      </c>
      <c r="D237">
        <v>1.0638352</v>
      </c>
      <c r="E237">
        <v>44.204160399999999</v>
      </c>
      <c r="F237">
        <v>12.066178580000001</v>
      </c>
      <c r="G237">
        <v>56.270338979999998</v>
      </c>
      <c r="H237">
        <v>17.348708129999999</v>
      </c>
      <c r="I237">
        <v>23.177527210000001</v>
      </c>
      <c r="J237">
        <v>15.744003640000001</v>
      </c>
      <c r="K237">
        <v>56.270238980000002</v>
      </c>
      <c r="L237">
        <v>52.00949799</v>
      </c>
      <c r="M237">
        <v>23.129147830000001</v>
      </c>
      <c r="N237" t="s">
        <v>175</v>
      </c>
      <c r="O237" t="s">
        <v>17</v>
      </c>
      <c r="P237">
        <v>17.348808129999998</v>
      </c>
      <c r="Q237">
        <v>1</v>
      </c>
    </row>
    <row r="238" spans="1:17" x14ac:dyDescent="0.2">
      <c r="A238" t="s">
        <v>174</v>
      </c>
      <c r="B238">
        <v>2016</v>
      </c>
      <c r="C238">
        <v>40.555456900000003</v>
      </c>
      <c r="D238">
        <v>0.13821484000000001</v>
      </c>
      <c r="E238">
        <v>44.432260069999998</v>
      </c>
      <c r="F238">
        <v>3.8987660100000001</v>
      </c>
      <c r="G238">
        <v>48.331026080000001</v>
      </c>
      <c r="H238">
        <v>5.4529107400000001</v>
      </c>
      <c r="I238">
        <v>23.612478660000001</v>
      </c>
      <c r="J238">
        <v>19.265625679999999</v>
      </c>
      <c r="K238">
        <v>48.33101508</v>
      </c>
      <c r="L238">
        <v>10.381188420000001</v>
      </c>
      <c r="M238">
        <v>2.7455183500000002</v>
      </c>
      <c r="N238" t="s">
        <v>175</v>
      </c>
      <c r="O238" t="s">
        <v>17</v>
      </c>
      <c r="P238">
        <v>5.4529217399999999</v>
      </c>
      <c r="Q238">
        <v>1</v>
      </c>
    </row>
    <row r="239" spans="1:17" x14ac:dyDescent="0.2">
      <c r="A239" t="s">
        <v>174</v>
      </c>
      <c r="B239">
        <v>2015</v>
      </c>
      <c r="N239" t="s">
        <v>175</v>
      </c>
      <c r="O239" t="s">
        <v>17</v>
      </c>
      <c r="P239">
        <v>0</v>
      </c>
      <c r="Q239">
        <v>1</v>
      </c>
    </row>
    <row r="240" spans="1:17" x14ac:dyDescent="0.2">
      <c r="A240" t="s">
        <v>176</v>
      </c>
      <c r="B240">
        <v>2023</v>
      </c>
      <c r="N240" t="s">
        <v>177</v>
      </c>
      <c r="O240" t="s">
        <v>17</v>
      </c>
      <c r="P240">
        <v>0</v>
      </c>
      <c r="Q240">
        <v>1</v>
      </c>
    </row>
    <row r="241" spans="1:17" x14ac:dyDescent="0.2">
      <c r="A241" t="s">
        <v>176</v>
      </c>
      <c r="B241">
        <v>2022</v>
      </c>
      <c r="N241" t="s">
        <v>177</v>
      </c>
      <c r="O241" t="s">
        <v>17</v>
      </c>
      <c r="P241">
        <v>0</v>
      </c>
      <c r="Q241">
        <v>1</v>
      </c>
    </row>
    <row r="242" spans="1:17" x14ac:dyDescent="0.2">
      <c r="A242" t="s">
        <v>176</v>
      </c>
      <c r="B242">
        <v>2021</v>
      </c>
      <c r="N242" t="s">
        <v>177</v>
      </c>
      <c r="O242" t="s">
        <v>17</v>
      </c>
      <c r="P242">
        <v>0</v>
      </c>
      <c r="Q242">
        <v>1</v>
      </c>
    </row>
    <row r="243" spans="1:17" x14ac:dyDescent="0.2">
      <c r="A243" t="s">
        <v>176</v>
      </c>
      <c r="B243">
        <v>2020</v>
      </c>
      <c r="N243" t="s">
        <v>177</v>
      </c>
      <c r="O243" t="s">
        <v>17</v>
      </c>
      <c r="P243">
        <v>0</v>
      </c>
      <c r="Q243">
        <v>1</v>
      </c>
    </row>
    <row r="244" spans="1:17" x14ac:dyDescent="0.2">
      <c r="A244" t="s">
        <v>176</v>
      </c>
      <c r="B244">
        <v>2019</v>
      </c>
      <c r="N244" t="s">
        <v>177</v>
      </c>
      <c r="O244" t="s">
        <v>17</v>
      </c>
      <c r="P244">
        <v>0</v>
      </c>
      <c r="Q244">
        <v>1</v>
      </c>
    </row>
    <row r="245" spans="1:17" x14ac:dyDescent="0.2">
      <c r="A245" t="s">
        <v>176</v>
      </c>
      <c r="B245">
        <v>2018</v>
      </c>
      <c r="N245" t="s">
        <v>177</v>
      </c>
      <c r="O245" t="s">
        <v>17</v>
      </c>
      <c r="P245">
        <v>0</v>
      </c>
      <c r="Q245">
        <v>1</v>
      </c>
    </row>
    <row r="246" spans="1:17" x14ac:dyDescent="0.2">
      <c r="A246" t="s">
        <v>176</v>
      </c>
      <c r="B246">
        <v>2017</v>
      </c>
      <c r="N246" t="s">
        <v>177</v>
      </c>
      <c r="O246" t="s">
        <v>17</v>
      </c>
      <c r="P246">
        <v>0</v>
      </c>
      <c r="Q246">
        <v>1</v>
      </c>
    </row>
    <row r="247" spans="1:17" x14ac:dyDescent="0.2">
      <c r="A247" t="s">
        <v>176</v>
      </c>
      <c r="B247">
        <v>2016</v>
      </c>
      <c r="N247" t="s">
        <v>177</v>
      </c>
      <c r="O247" t="s">
        <v>17</v>
      </c>
      <c r="P247">
        <v>0</v>
      </c>
      <c r="Q247">
        <v>1</v>
      </c>
    </row>
    <row r="248" spans="1:17" x14ac:dyDescent="0.2">
      <c r="A248" t="s">
        <v>176</v>
      </c>
      <c r="B248">
        <v>2015</v>
      </c>
      <c r="N248" t="s">
        <v>177</v>
      </c>
      <c r="O248" t="s">
        <v>17</v>
      </c>
      <c r="P248">
        <v>0</v>
      </c>
      <c r="Q2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29CF-7070-054F-A97A-EEE4946C2CE7}">
  <dimension ref="A1:B10"/>
  <sheetViews>
    <sheetView workbookViewId="0">
      <selection activeCell="B2" sqref="B2:B10"/>
    </sheetView>
  </sheetViews>
  <sheetFormatPr baseColWidth="10" defaultRowHeight="15" x14ac:dyDescent="0.2"/>
  <cols>
    <col min="1" max="1" width="14.83203125" customWidth="1"/>
  </cols>
  <sheetData>
    <row r="1" spans="1:2" x14ac:dyDescent="0.2">
      <c r="A1" t="s">
        <v>1</v>
      </c>
      <c r="B1" t="s">
        <v>179</v>
      </c>
    </row>
    <row r="2" spans="1:2" x14ac:dyDescent="0.2">
      <c r="A2">
        <v>2023</v>
      </c>
      <c r="B2">
        <v>1.1637</v>
      </c>
    </row>
    <row r="3" spans="1:2" x14ac:dyDescent="0.2">
      <c r="A3">
        <v>2022</v>
      </c>
      <c r="B3">
        <v>1.139</v>
      </c>
    </row>
    <row r="4" spans="1:2" x14ac:dyDescent="0.2">
      <c r="A4">
        <v>2021</v>
      </c>
      <c r="B4">
        <v>1.163</v>
      </c>
    </row>
    <row r="5" spans="1:2" x14ac:dyDescent="0.2">
      <c r="A5">
        <v>2020</v>
      </c>
      <c r="B5">
        <v>1.1106</v>
      </c>
    </row>
    <row r="6" spans="1:2" x14ac:dyDescent="0.2">
      <c r="A6">
        <v>2019</v>
      </c>
      <c r="B6">
        <v>1.1291</v>
      </c>
    </row>
    <row r="7" spans="1:2" x14ac:dyDescent="0.2">
      <c r="A7">
        <v>2018</v>
      </c>
      <c r="B7">
        <v>1.1366000000000001</v>
      </c>
    </row>
    <row r="8" spans="1:2" x14ac:dyDescent="0.2">
      <c r="A8">
        <v>2017</v>
      </c>
      <c r="B8">
        <v>1.1452</v>
      </c>
    </row>
    <row r="9" spans="1:2" x14ac:dyDescent="0.2">
      <c r="A9">
        <v>2016</v>
      </c>
      <c r="B9">
        <v>1.3012999999999999</v>
      </c>
    </row>
    <row r="10" spans="1:2" x14ac:dyDescent="0.2">
      <c r="A10">
        <v>2015</v>
      </c>
      <c r="B10">
        <v>1.3920999999999999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carloseduardogomeztorres</dc:creator>
  <cp:lastModifiedBy>Carlos Gómez</cp:lastModifiedBy>
  <dcterms:created xsi:type="dcterms:W3CDTF">2024-07-18T15:15:12Z</dcterms:created>
  <dcterms:modified xsi:type="dcterms:W3CDTF">2024-07-23T21:14:24Z</dcterms:modified>
</cp:coreProperties>
</file>