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fe711d1132bef891/Documentos/Administração Pessoal/Educação Secular/Cursos e Certificações/2. Cursos Livres e Complementares/Curso Alura/Imersão Python/Aula_1/"/>
    </mc:Choice>
  </mc:AlternateContent>
  <xr:revisionPtr revIDLastSave="1" documentId="8_{21391865-03B2-4C3C-AA17-44CF0C382E3B}" xr6:coauthVersionLast="47" xr6:coauthVersionMax="47" xr10:uidLastSave="{80983278-E3A5-4531-83A8-D48945DFF92C}"/>
  <bookViews>
    <workbookView xWindow="-120" yWindow="-120" windowWidth="20730" windowHeight="11040" xr2:uid="{00000000-000D-0000-FFFF-FFFF00000000}"/>
  </bookViews>
  <sheets>
    <sheet name="Principal" sheetId="1" r:id="rId1"/>
    <sheet name="Análises" sheetId="2" r:id="rId2"/>
    <sheet name="Chatgpt" sheetId="3" r:id="rId3"/>
    <sheet name="Total_de_acoes" sheetId="4" r:id="rId4"/>
    <sheet name="Ticker" sheetId="5" r:id="rId5"/>
    <sheet name="Chatgpt 2" sheetId="6" state="hidden" r:id="rId6"/>
    <sheet name="Planilha1" sheetId="7" state="hidden" r:id="rId7"/>
  </sheets>
  <definedNames>
    <definedName name="_xlnm._FilterDatabase" localSheetId="1" hidden="1">Análises!$B$8:$D$42</definedName>
    <definedName name="_xlnm._FilterDatabase" localSheetId="0" hidden="1">Principal!$A$1:$AJ$82</definedName>
    <definedName name="DadosExternos_1" localSheetId="0">Principal!$A$1:$K$82</definedName>
    <definedName name="DadosExternos_2" localSheetId="4">Ticker!$A$1:$B$536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I51" i="7"/>
  <c r="J51" i="7" s="1"/>
  <c r="H51" i="7"/>
  <c r="J50" i="7"/>
  <c r="I50" i="7"/>
  <c r="H50" i="7"/>
  <c r="I49" i="7"/>
  <c r="J49" i="7" s="1"/>
  <c r="H49" i="7"/>
  <c r="I48" i="7"/>
  <c r="J48" i="7" s="1"/>
  <c r="H48" i="7"/>
  <c r="I47" i="7"/>
  <c r="J47" i="7" s="1"/>
  <c r="H47" i="7"/>
  <c r="J46" i="7"/>
  <c r="I46" i="7"/>
  <c r="H46" i="7"/>
  <c r="J45" i="7"/>
  <c r="I45" i="7"/>
  <c r="H45" i="7"/>
  <c r="J44" i="7"/>
  <c r="I44" i="7"/>
  <c r="H44" i="7"/>
  <c r="I43" i="7"/>
  <c r="J43" i="7" s="1"/>
  <c r="H43" i="7"/>
  <c r="J42" i="7"/>
  <c r="I42" i="7"/>
  <c r="H42" i="7"/>
  <c r="J41" i="7"/>
  <c r="I41" i="7"/>
  <c r="H41" i="7"/>
  <c r="I40" i="7"/>
  <c r="J40" i="7" s="1"/>
  <c r="H40" i="7"/>
  <c r="I39" i="7"/>
  <c r="J39" i="7" s="1"/>
  <c r="H39" i="7"/>
  <c r="J38" i="7"/>
  <c r="I38" i="7"/>
  <c r="H38" i="7"/>
  <c r="I37" i="7"/>
  <c r="J37" i="7" s="1"/>
  <c r="H37" i="7"/>
  <c r="I36" i="7"/>
  <c r="J36" i="7" s="1"/>
  <c r="H36" i="7"/>
  <c r="I35" i="7"/>
  <c r="J35" i="7" s="1"/>
  <c r="H35" i="7"/>
  <c r="J34" i="7"/>
  <c r="I34" i="7"/>
  <c r="H34" i="7"/>
  <c r="I33" i="7"/>
  <c r="J33" i="7" s="1"/>
  <c r="H33" i="7"/>
  <c r="I32" i="7"/>
  <c r="J32" i="7" s="1"/>
  <c r="H32" i="7"/>
  <c r="I31" i="7"/>
  <c r="J31" i="7" s="1"/>
  <c r="H31" i="7"/>
  <c r="J30" i="7"/>
  <c r="I30" i="7"/>
  <c r="H30" i="7"/>
  <c r="I29" i="7"/>
  <c r="J29" i="7" s="1"/>
  <c r="H29" i="7"/>
  <c r="J28" i="7"/>
  <c r="I28" i="7"/>
  <c r="H28" i="7"/>
  <c r="I27" i="7"/>
  <c r="J27" i="7" s="1"/>
  <c r="H27" i="7"/>
  <c r="J26" i="7"/>
  <c r="I26" i="7"/>
  <c r="H26" i="7"/>
  <c r="J25" i="7"/>
  <c r="I25" i="7"/>
  <c r="H25" i="7"/>
  <c r="I24" i="7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J18" i="7"/>
  <c r="I18" i="7"/>
  <c r="H18" i="7"/>
  <c r="I17" i="7"/>
  <c r="J17" i="7" s="1"/>
  <c r="H17" i="7"/>
  <c r="I16" i="7"/>
  <c r="J16" i="7" s="1"/>
  <c r="H16" i="7"/>
  <c r="I15" i="7"/>
  <c r="J15" i="7" s="1"/>
  <c r="H15" i="7"/>
  <c r="J14" i="7"/>
  <c r="I14" i="7"/>
  <c r="H14" i="7"/>
  <c r="I13" i="7"/>
  <c r="J13" i="7" s="1"/>
  <c r="H13" i="7"/>
  <c r="J12" i="7"/>
  <c r="I12" i="7"/>
  <c r="H12" i="7"/>
  <c r="I11" i="7"/>
  <c r="J11" i="7" s="1"/>
  <c r="H11" i="7"/>
  <c r="J10" i="7"/>
  <c r="I10" i="7"/>
  <c r="H10" i="7"/>
  <c r="J9" i="7"/>
  <c r="I9" i="7"/>
  <c r="H9" i="7"/>
  <c r="I8" i="7"/>
  <c r="J8" i="7" s="1"/>
  <c r="H8" i="7"/>
  <c r="I7" i="7"/>
  <c r="J7" i="7" s="1"/>
  <c r="H7" i="7"/>
  <c r="J6" i="7"/>
  <c r="I6" i="7"/>
  <c r="H6" i="7"/>
  <c r="I5" i="7"/>
  <c r="J5" i="7" s="1"/>
  <c r="H5" i="7"/>
  <c r="I4" i="7"/>
  <c r="J4" i="7" s="1"/>
  <c r="H4" i="7"/>
  <c r="I3" i="7"/>
  <c r="J3" i="7" s="1"/>
  <c r="H3" i="7"/>
  <c r="J2" i="7"/>
  <c r="I2" i="7"/>
  <c r="H2" i="7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55" i="2"/>
  <c r="B54" i="2"/>
  <c r="B53" i="2"/>
  <c r="B47" i="2"/>
  <c r="B46" i="2"/>
  <c r="B45" i="2"/>
  <c r="B4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22" i="2"/>
  <c r="B35" i="2"/>
  <c r="B23" i="2"/>
  <c r="B26" i="2"/>
  <c r="B31" i="2"/>
  <c r="B33" i="2"/>
  <c r="B32" i="2"/>
  <c r="B34" i="2"/>
  <c r="B25" i="2"/>
  <c r="B24" i="2"/>
  <c r="B29" i="2"/>
  <c r="B27" i="2"/>
  <c r="B28" i="2"/>
  <c r="B36" i="2"/>
  <c r="B40" i="2"/>
  <c r="B30" i="2"/>
  <c r="B39" i="2"/>
  <c r="B38" i="2"/>
  <c r="B42" i="2"/>
  <c r="B41" i="2"/>
  <c r="B37" i="2"/>
  <c r="B8" i="2"/>
  <c r="AG82" i="1"/>
  <c r="AH82" i="1" s="1"/>
  <c r="AC82" i="1"/>
  <c r="AD82" i="1" s="1"/>
  <c r="Y82" i="1"/>
  <c r="Z82" i="1" s="1"/>
  <c r="AA82" i="1" s="1"/>
  <c r="AB82" i="1" s="1"/>
  <c r="U82" i="1"/>
  <c r="V82" i="1" s="1"/>
  <c r="L82" i="1"/>
  <c r="P82" i="1"/>
  <c r="Q82" i="1"/>
  <c r="R82" i="1" s="1"/>
  <c r="AG81" i="1"/>
  <c r="AH81" i="1" s="1"/>
  <c r="AC81" i="1"/>
  <c r="AD81" i="1" s="1"/>
  <c r="Y81" i="1"/>
  <c r="Z81" i="1" s="1"/>
  <c r="U81" i="1"/>
  <c r="V81" i="1" s="1"/>
  <c r="W81" i="1" s="1"/>
  <c r="X81" i="1" s="1"/>
  <c r="L81" i="1"/>
  <c r="P81" i="1"/>
  <c r="S81" i="1" s="1"/>
  <c r="T81" i="1" s="1"/>
  <c r="Q81" i="1"/>
  <c r="R81" i="1" s="1"/>
  <c r="AG80" i="1"/>
  <c r="AH80" i="1" s="1"/>
  <c r="AE80" i="1"/>
  <c r="AF80" i="1" s="1"/>
  <c r="AC80" i="1"/>
  <c r="AD80" i="1" s="1"/>
  <c r="Y80" i="1"/>
  <c r="Z80" i="1" s="1"/>
  <c r="U80" i="1"/>
  <c r="V80" i="1" s="1"/>
  <c r="W80" i="1" s="1"/>
  <c r="X80" i="1" s="1"/>
  <c r="L80" i="1"/>
  <c r="P80" i="1"/>
  <c r="Q80" i="1"/>
  <c r="R80" i="1" s="1"/>
  <c r="S80" i="1" s="1"/>
  <c r="T80" i="1" s="1"/>
  <c r="AG79" i="1"/>
  <c r="AH79" i="1" s="1"/>
  <c r="AC79" i="1"/>
  <c r="AD79" i="1" s="1"/>
  <c r="Y79" i="1"/>
  <c r="Z79" i="1" s="1"/>
  <c r="U79" i="1"/>
  <c r="V79" i="1" s="1"/>
  <c r="L79" i="1"/>
  <c r="P79" i="1"/>
  <c r="Q79" i="1"/>
  <c r="R79" i="1" s="1"/>
  <c r="AG78" i="1"/>
  <c r="AH78" i="1" s="1"/>
  <c r="AI78" i="1" s="1"/>
  <c r="AJ78" i="1" s="1"/>
  <c r="AC78" i="1"/>
  <c r="AD78" i="1" s="1"/>
  <c r="Y78" i="1"/>
  <c r="Z78" i="1" s="1"/>
  <c r="U78" i="1"/>
  <c r="V78" i="1" s="1"/>
  <c r="W78" i="1" s="1"/>
  <c r="X78" i="1" s="1"/>
  <c r="M78" i="1"/>
  <c r="L78" i="1"/>
  <c r="N78" i="1" s="1"/>
  <c r="O78" i="1" s="1"/>
  <c r="P78" i="1"/>
  <c r="R78" i="1"/>
  <c r="S78" i="1" s="1"/>
  <c r="T78" i="1" s="1"/>
  <c r="Q78" i="1"/>
  <c r="AG77" i="1"/>
  <c r="AH77" i="1" s="1"/>
  <c r="AD77" i="1"/>
  <c r="AC77" i="1"/>
  <c r="Y77" i="1"/>
  <c r="Z77" i="1" s="1"/>
  <c r="V77" i="1"/>
  <c r="U77" i="1"/>
  <c r="L77" i="1"/>
  <c r="P77" i="1"/>
  <c r="Q77" i="1"/>
  <c r="R77" i="1" s="1"/>
  <c r="AG76" i="1"/>
  <c r="AH76" i="1" s="1"/>
  <c r="AC76" i="1"/>
  <c r="AD76" i="1" s="1"/>
  <c r="Y76" i="1"/>
  <c r="Z76" i="1" s="1"/>
  <c r="U76" i="1"/>
  <c r="V76" i="1" s="1"/>
  <c r="L76" i="1"/>
  <c r="P76" i="1"/>
  <c r="AE76" i="1" s="1"/>
  <c r="AF76" i="1" s="1"/>
  <c r="R76" i="1"/>
  <c r="Q76" i="1"/>
  <c r="AG75" i="1"/>
  <c r="AH75" i="1" s="1"/>
  <c r="AC75" i="1"/>
  <c r="AD75" i="1" s="1"/>
  <c r="AE75" i="1" s="1"/>
  <c r="AF75" i="1" s="1"/>
  <c r="Y75" i="1"/>
  <c r="Z75" i="1" s="1"/>
  <c r="U75" i="1"/>
  <c r="V75" i="1" s="1"/>
  <c r="L75" i="1"/>
  <c r="P75" i="1"/>
  <c r="Q75" i="1"/>
  <c r="R75" i="1" s="1"/>
  <c r="AG74" i="1"/>
  <c r="AH74" i="1" s="1"/>
  <c r="AC74" i="1"/>
  <c r="AD74" i="1" s="1"/>
  <c r="Y74" i="1"/>
  <c r="Z74" i="1" s="1"/>
  <c r="U74" i="1"/>
  <c r="V74" i="1" s="1"/>
  <c r="L74" i="1"/>
  <c r="P74" i="1"/>
  <c r="R74" i="1"/>
  <c r="Q74" i="1"/>
  <c r="AG73" i="1"/>
  <c r="AH73" i="1" s="1"/>
  <c r="AD73" i="1"/>
  <c r="AC73" i="1"/>
  <c r="Y73" i="1"/>
  <c r="Z73" i="1" s="1"/>
  <c r="U73" i="1"/>
  <c r="V73" i="1" s="1"/>
  <c r="W73" i="1" s="1"/>
  <c r="X73" i="1" s="1"/>
  <c r="L73" i="1"/>
  <c r="P73" i="1"/>
  <c r="Q73" i="1"/>
  <c r="R73" i="1" s="1"/>
  <c r="AG72" i="1"/>
  <c r="AH72" i="1" s="1"/>
  <c r="AC72" i="1"/>
  <c r="AD72" i="1" s="1"/>
  <c r="Y72" i="1"/>
  <c r="Z72" i="1" s="1"/>
  <c r="U72" i="1"/>
  <c r="V72" i="1" s="1"/>
  <c r="L72" i="1"/>
  <c r="P72" i="1"/>
  <c r="Q72" i="1"/>
  <c r="R72" i="1" s="1"/>
  <c r="S72" i="1" s="1"/>
  <c r="T72" i="1" s="1"/>
  <c r="AG71" i="1"/>
  <c r="AH71" i="1" s="1"/>
  <c r="AC71" i="1"/>
  <c r="AD71" i="1" s="1"/>
  <c r="Y71" i="1"/>
  <c r="Z71" i="1" s="1"/>
  <c r="AA71" i="1" s="1"/>
  <c r="AB71" i="1" s="1"/>
  <c r="U71" i="1"/>
  <c r="V71" i="1" s="1"/>
  <c r="L71" i="1"/>
  <c r="S71" i="1"/>
  <c r="T71" i="1" s="1"/>
  <c r="P71" i="1"/>
  <c r="Q71" i="1"/>
  <c r="R71" i="1" s="1"/>
  <c r="AH70" i="1"/>
  <c r="AG70" i="1"/>
  <c r="AC70" i="1"/>
  <c r="AD70" i="1" s="1"/>
  <c r="Y70" i="1"/>
  <c r="Z70" i="1" s="1"/>
  <c r="AA70" i="1" s="1"/>
  <c r="AB70" i="1" s="1"/>
  <c r="U70" i="1"/>
  <c r="V70" i="1" s="1"/>
  <c r="L70" i="1"/>
  <c r="P70" i="1"/>
  <c r="Q70" i="1"/>
  <c r="R70" i="1" s="1"/>
  <c r="AG69" i="1"/>
  <c r="AH69" i="1" s="1"/>
  <c r="AC69" i="1"/>
  <c r="AD69" i="1" s="1"/>
  <c r="AE69" i="1" s="1"/>
  <c r="AF69" i="1" s="1"/>
  <c r="Y69" i="1"/>
  <c r="Z69" i="1" s="1"/>
  <c r="U69" i="1"/>
  <c r="V69" i="1" s="1"/>
  <c r="L69" i="1"/>
  <c r="M69" i="1" s="1"/>
  <c r="P69" i="1"/>
  <c r="Q69" i="1"/>
  <c r="R69" i="1" s="1"/>
  <c r="AG68" i="1"/>
  <c r="AH68" i="1" s="1"/>
  <c r="AC68" i="1"/>
  <c r="AD68" i="1" s="1"/>
  <c r="Y68" i="1"/>
  <c r="Z68" i="1" s="1"/>
  <c r="U68" i="1"/>
  <c r="V68" i="1" s="1"/>
  <c r="L68" i="1"/>
  <c r="N68" i="1" s="1"/>
  <c r="O68" i="1" s="1"/>
  <c r="P68" i="1"/>
  <c r="Q68" i="1"/>
  <c r="R68" i="1" s="1"/>
  <c r="AG67" i="1"/>
  <c r="AH67" i="1" s="1"/>
  <c r="AD67" i="1"/>
  <c r="AC67" i="1"/>
  <c r="Y67" i="1"/>
  <c r="Z67" i="1" s="1"/>
  <c r="U67" i="1"/>
  <c r="V67" i="1" s="1"/>
  <c r="N67" i="1"/>
  <c r="O67" i="1" s="1"/>
  <c r="L67" i="1"/>
  <c r="M67" i="1" s="1"/>
  <c r="P67" i="1"/>
  <c r="R67" i="1"/>
  <c r="Q67" i="1"/>
  <c r="AG66" i="1"/>
  <c r="AH66" i="1" s="1"/>
  <c r="AC66" i="1"/>
  <c r="AD66" i="1" s="1"/>
  <c r="AE66" i="1" s="1"/>
  <c r="AF66" i="1" s="1"/>
  <c r="Y66" i="1"/>
  <c r="Z66" i="1" s="1"/>
  <c r="U66" i="1"/>
  <c r="V66" i="1" s="1"/>
  <c r="W66" i="1" s="1"/>
  <c r="X66" i="1" s="1"/>
  <c r="L66" i="1"/>
  <c r="M66" i="1" s="1"/>
  <c r="P66" i="1"/>
  <c r="Q66" i="1"/>
  <c r="R66" i="1" s="1"/>
  <c r="AG65" i="1"/>
  <c r="AH65" i="1" s="1"/>
  <c r="AC65" i="1"/>
  <c r="AD65" i="1" s="1"/>
  <c r="Y65" i="1"/>
  <c r="Z65" i="1" s="1"/>
  <c r="U65" i="1"/>
  <c r="V65" i="1" s="1"/>
  <c r="L65" i="1"/>
  <c r="M65" i="1" s="1"/>
  <c r="P65" i="1"/>
  <c r="W65" i="1" s="1"/>
  <c r="X65" i="1" s="1"/>
  <c r="Q65" i="1"/>
  <c r="R65" i="1" s="1"/>
  <c r="AG64" i="1"/>
  <c r="AH64" i="1" s="1"/>
  <c r="AC64" i="1"/>
  <c r="AD64" i="1" s="1"/>
  <c r="Y64" i="1"/>
  <c r="Z64" i="1" s="1"/>
  <c r="AA64" i="1" s="1"/>
  <c r="AB64" i="1" s="1"/>
  <c r="U64" i="1"/>
  <c r="V64" i="1" s="1"/>
  <c r="L64" i="1"/>
  <c r="M64" i="1" s="1"/>
  <c r="P64" i="1"/>
  <c r="W64" i="1" s="1"/>
  <c r="X64" i="1" s="1"/>
  <c r="Q64" i="1"/>
  <c r="R64" i="1" s="1"/>
  <c r="AG63" i="1"/>
  <c r="AH63" i="1" s="1"/>
  <c r="AC63" i="1"/>
  <c r="AD63" i="1" s="1"/>
  <c r="Y63" i="1"/>
  <c r="Z63" i="1" s="1"/>
  <c r="AA63" i="1" s="1"/>
  <c r="AB63" i="1" s="1"/>
  <c r="U63" i="1"/>
  <c r="V63" i="1" s="1"/>
  <c r="L63" i="1"/>
  <c r="P63" i="1"/>
  <c r="Q63" i="1"/>
  <c r="R63" i="1" s="1"/>
  <c r="AG62" i="1"/>
  <c r="AH62" i="1" s="1"/>
  <c r="AC62" i="1"/>
  <c r="AD62" i="1" s="1"/>
  <c r="Y62" i="1"/>
  <c r="Z62" i="1" s="1"/>
  <c r="AA62" i="1" s="1"/>
  <c r="AB62" i="1" s="1"/>
  <c r="U62" i="1"/>
  <c r="V62" i="1" s="1"/>
  <c r="L62" i="1"/>
  <c r="P62" i="1"/>
  <c r="Q62" i="1"/>
  <c r="R62" i="1" s="1"/>
  <c r="AH61" i="1"/>
  <c r="AG61" i="1"/>
  <c r="AC61" i="1"/>
  <c r="AD61" i="1" s="1"/>
  <c r="Y61" i="1"/>
  <c r="Z61" i="1" s="1"/>
  <c r="U61" i="1"/>
  <c r="V61" i="1" s="1"/>
  <c r="L61" i="1"/>
  <c r="P61" i="1"/>
  <c r="Q61" i="1"/>
  <c r="R61" i="1" s="1"/>
  <c r="AG60" i="1"/>
  <c r="AH60" i="1" s="1"/>
  <c r="AI60" i="1" s="1"/>
  <c r="AJ60" i="1" s="1"/>
  <c r="AC60" i="1"/>
  <c r="AD60" i="1" s="1"/>
  <c r="Y60" i="1"/>
  <c r="Z60" i="1" s="1"/>
  <c r="AA60" i="1" s="1"/>
  <c r="AB60" i="1" s="1"/>
  <c r="U60" i="1"/>
  <c r="V60" i="1" s="1"/>
  <c r="W60" i="1" s="1"/>
  <c r="X60" i="1" s="1"/>
  <c r="L60" i="1"/>
  <c r="M60" i="1" s="1"/>
  <c r="P60" i="1"/>
  <c r="Q60" i="1"/>
  <c r="R60" i="1" s="1"/>
  <c r="S60" i="1" s="1"/>
  <c r="T60" i="1" s="1"/>
  <c r="AG59" i="1"/>
  <c r="AH59" i="1" s="1"/>
  <c r="AI59" i="1" s="1"/>
  <c r="AJ59" i="1" s="1"/>
  <c r="AC59" i="1"/>
  <c r="AD59" i="1" s="1"/>
  <c r="Y59" i="1"/>
  <c r="Z59" i="1" s="1"/>
  <c r="AA59" i="1" s="1"/>
  <c r="AB59" i="1" s="1"/>
  <c r="U59" i="1"/>
  <c r="V59" i="1" s="1"/>
  <c r="W59" i="1" s="1"/>
  <c r="X59" i="1" s="1"/>
  <c r="L59" i="1"/>
  <c r="N59" i="1" s="1"/>
  <c r="O59" i="1" s="1"/>
  <c r="P59" i="1"/>
  <c r="Q59" i="1"/>
  <c r="R59" i="1" s="1"/>
  <c r="S59" i="1" s="1"/>
  <c r="T59" i="1" s="1"/>
  <c r="AG58" i="1"/>
  <c r="AH58" i="1" s="1"/>
  <c r="AC58" i="1"/>
  <c r="AD58" i="1" s="1"/>
  <c r="Y58" i="1"/>
  <c r="Z58" i="1" s="1"/>
  <c r="U58" i="1"/>
  <c r="V58" i="1" s="1"/>
  <c r="W58" i="1" s="1"/>
  <c r="X58" i="1" s="1"/>
  <c r="L58" i="1"/>
  <c r="P58" i="1"/>
  <c r="Q58" i="1"/>
  <c r="R58" i="1" s="1"/>
  <c r="S58" i="1" s="1"/>
  <c r="T58" i="1" s="1"/>
  <c r="AG57" i="1"/>
  <c r="AH57" i="1" s="1"/>
  <c r="AI57" i="1" s="1"/>
  <c r="AJ57" i="1" s="1"/>
  <c r="AC57" i="1"/>
  <c r="AD57" i="1" s="1"/>
  <c r="Y57" i="1"/>
  <c r="Z57" i="1" s="1"/>
  <c r="U57" i="1"/>
  <c r="V57" i="1" s="1"/>
  <c r="W57" i="1" s="1"/>
  <c r="X57" i="1" s="1"/>
  <c r="N57" i="1"/>
  <c r="O57" i="1" s="1"/>
  <c r="L57" i="1"/>
  <c r="M57" i="1" s="1"/>
  <c r="P57" i="1"/>
  <c r="Q57" i="1"/>
  <c r="R57" i="1" s="1"/>
  <c r="AG56" i="1"/>
  <c r="AH56" i="1" s="1"/>
  <c r="AI56" i="1" s="1"/>
  <c r="AJ56" i="1" s="1"/>
  <c r="AC56" i="1"/>
  <c r="AD56" i="1" s="1"/>
  <c r="AE56" i="1" s="1"/>
  <c r="AF56" i="1" s="1"/>
  <c r="Y56" i="1"/>
  <c r="Z56" i="1" s="1"/>
  <c r="AA56" i="1" s="1"/>
  <c r="AB56" i="1" s="1"/>
  <c r="U56" i="1"/>
  <c r="V56" i="1" s="1"/>
  <c r="L56" i="1"/>
  <c r="P56" i="1"/>
  <c r="Q56" i="1"/>
  <c r="R56" i="1" s="1"/>
  <c r="AG55" i="1"/>
  <c r="AH55" i="1" s="1"/>
  <c r="AD55" i="1"/>
  <c r="AC55" i="1"/>
  <c r="Y55" i="1"/>
  <c r="Z55" i="1" s="1"/>
  <c r="U55" i="1"/>
  <c r="V55" i="1" s="1"/>
  <c r="O55" i="1"/>
  <c r="L55" i="1"/>
  <c r="N55" i="1" s="1"/>
  <c r="P55" i="1"/>
  <c r="Q55" i="1"/>
  <c r="R55" i="1" s="1"/>
  <c r="AH54" i="1"/>
  <c r="AI54" i="1" s="1"/>
  <c r="AJ54" i="1" s="1"/>
  <c r="AG54" i="1"/>
  <c r="AC54" i="1"/>
  <c r="AD54" i="1" s="1"/>
  <c r="Y54" i="1"/>
  <c r="Z54" i="1" s="1"/>
  <c r="W54" i="1"/>
  <c r="X54" i="1" s="1"/>
  <c r="U54" i="1"/>
  <c r="V54" i="1" s="1"/>
  <c r="L54" i="1"/>
  <c r="M54" i="1" s="1"/>
  <c r="P54" i="1"/>
  <c r="R54" i="1"/>
  <c r="S54" i="1" s="1"/>
  <c r="T54" i="1" s="1"/>
  <c r="Q54" i="1"/>
  <c r="AG53" i="1"/>
  <c r="AH53" i="1" s="1"/>
  <c r="AC53" i="1"/>
  <c r="AD53" i="1" s="1"/>
  <c r="AE53" i="1" s="1"/>
  <c r="AF53" i="1" s="1"/>
  <c r="Y53" i="1"/>
  <c r="Z53" i="1" s="1"/>
  <c r="U53" i="1"/>
  <c r="V53" i="1" s="1"/>
  <c r="W53" i="1" s="1"/>
  <c r="X53" i="1" s="1"/>
  <c r="L53" i="1"/>
  <c r="N53" i="1" s="1"/>
  <c r="O53" i="1" s="1"/>
  <c r="P53" i="1"/>
  <c r="Q53" i="1"/>
  <c r="R53" i="1" s="1"/>
  <c r="S53" i="1" s="1"/>
  <c r="T53" i="1" s="1"/>
  <c r="AG52" i="1"/>
  <c r="AH52" i="1" s="1"/>
  <c r="AC52" i="1"/>
  <c r="AD52" i="1" s="1"/>
  <c r="Y52" i="1"/>
  <c r="Z52" i="1" s="1"/>
  <c r="U52" i="1"/>
  <c r="V52" i="1" s="1"/>
  <c r="L52" i="1"/>
  <c r="P52" i="1"/>
  <c r="Q52" i="1"/>
  <c r="R52" i="1" s="1"/>
  <c r="AG51" i="1"/>
  <c r="AH51" i="1" s="1"/>
  <c r="AC51" i="1"/>
  <c r="AD51" i="1" s="1"/>
  <c r="Y51" i="1"/>
  <c r="Z51" i="1" s="1"/>
  <c r="U51" i="1"/>
  <c r="V51" i="1" s="1"/>
  <c r="L51" i="1"/>
  <c r="N51" i="1" s="1"/>
  <c r="O51" i="1" s="1"/>
  <c r="P51" i="1"/>
  <c r="Q51" i="1"/>
  <c r="R51" i="1" s="1"/>
  <c r="AG50" i="1"/>
  <c r="AH50" i="1" s="1"/>
  <c r="AC50" i="1"/>
  <c r="AD50" i="1" s="1"/>
  <c r="Y50" i="1"/>
  <c r="Z50" i="1" s="1"/>
  <c r="AA50" i="1" s="1"/>
  <c r="AB50" i="1" s="1"/>
  <c r="U50" i="1"/>
  <c r="V50" i="1" s="1"/>
  <c r="L50" i="1"/>
  <c r="P50" i="1"/>
  <c r="Q50" i="1"/>
  <c r="R50" i="1" s="1"/>
  <c r="S50" i="1" s="1"/>
  <c r="T50" i="1" s="1"/>
  <c r="AG49" i="1"/>
  <c r="AH49" i="1" s="1"/>
  <c r="AI49" i="1" s="1"/>
  <c r="AJ49" i="1" s="1"/>
  <c r="AD49" i="1"/>
  <c r="AE49" i="1" s="1"/>
  <c r="AF49" i="1" s="1"/>
  <c r="AC49" i="1"/>
  <c r="Y49" i="1"/>
  <c r="Z49" i="1" s="1"/>
  <c r="U49" i="1"/>
  <c r="V49" i="1" s="1"/>
  <c r="W49" i="1" s="1"/>
  <c r="X49" i="1" s="1"/>
  <c r="N49" i="1"/>
  <c r="O49" i="1" s="1"/>
  <c r="L49" i="1"/>
  <c r="M49" i="1" s="1"/>
  <c r="P49" i="1"/>
  <c r="Q49" i="1"/>
  <c r="R49" i="1" s="1"/>
  <c r="S49" i="1" s="1"/>
  <c r="T49" i="1" s="1"/>
  <c r="AG48" i="1"/>
  <c r="AH48" i="1" s="1"/>
  <c r="AI48" i="1" s="1"/>
  <c r="AJ48" i="1" s="1"/>
  <c r="AC48" i="1"/>
  <c r="AD48" i="1" s="1"/>
  <c r="Y48" i="1"/>
  <c r="Z48" i="1" s="1"/>
  <c r="U48" i="1"/>
  <c r="V48" i="1" s="1"/>
  <c r="W48" i="1" s="1"/>
  <c r="X48" i="1" s="1"/>
  <c r="L48" i="1"/>
  <c r="M48" i="1" s="1"/>
  <c r="P48" i="1"/>
  <c r="Q48" i="1"/>
  <c r="R48" i="1" s="1"/>
  <c r="S48" i="1" s="1"/>
  <c r="T48" i="1" s="1"/>
  <c r="AG47" i="1"/>
  <c r="AH47" i="1" s="1"/>
  <c r="AC47" i="1"/>
  <c r="AD47" i="1" s="1"/>
  <c r="Y47" i="1"/>
  <c r="Z47" i="1" s="1"/>
  <c r="AA47" i="1" s="1"/>
  <c r="AB47" i="1" s="1"/>
  <c r="U47" i="1"/>
  <c r="V47" i="1" s="1"/>
  <c r="L47" i="1"/>
  <c r="N47" i="1" s="1"/>
  <c r="O47" i="1" s="1"/>
  <c r="P47" i="1"/>
  <c r="Q47" i="1"/>
  <c r="R47" i="1" s="1"/>
  <c r="S47" i="1" s="1"/>
  <c r="T47" i="1" s="1"/>
  <c r="AG46" i="1"/>
  <c r="AH46" i="1" s="1"/>
  <c r="AI46" i="1" s="1"/>
  <c r="AJ46" i="1" s="1"/>
  <c r="AC46" i="1"/>
  <c r="AD46" i="1" s="1"/>
  <c r="Y46" i="1"/>
  <c r="Z46" i="1" s="1"/>
  <c r="U46" i="1"/>
  <c r="V46" i="1" s="1"/>
  <c r="L46" i="1"/>
  <c r="P46" i="1"/>
  <c r="Q46" i="1"/>
  <c r="R46" i="1" s="1"/>
  <c r="AG45" i="1"/>
  <c r="AH45" i="1" s="1"/>
  <c r="AD45" i="1"/>
  <c r="AE45" i="1" s="1"/>
  <c r="AF45" i="1" s="1"/>
  <c r="AC45" i="1"/>
  <c r="Y45" i="1"/>
  <c r="Z45" i="1" s="1"/>
  <c r="AA45" i="1" s="1"/>
  <c r="AB45" i="1" s="1"/>
  <c r="U45" i="1"/>
  <c r="V45" i="1" s="1"/>
  <c r="W45" i="1" s="1"/>
  <c r="X45" i="1" s="1"/>
  <c r="M45" i="1"/>
  <c r="L45" i="1"/>
  <c r="N45" i="1" s="1"/>
  <c r="O45" i="1" s="1"/>
  <c r="P45" i="1"/>
  <c r="Q45" i="1"/>
  <c r="R45" i="1" s="1"/>
  <c r="S45" i="1" s="1"/>
  <c r="T45" i="1" s="1"/>
  <c r="AG44" i="1"/>
  <c r="AH44" i="1" s="1"/>
  <c r="AI44" i="1" s="1"/>
  <c r="AJ44" i="1" s="1"/>
  <c r="AC44" i="1"/>
  <c r="AD44" i="1" s="1"/>
  <c r="Y44" i="1"/>
  <c r="Z44" i="1" s="1"/>
  <c r="U44" i="1"/>
  <c r="V44" i="1" s="1"/>
  <c r="N44" i="1"/>
  <c r="O44" i="1" s="1"/>
  <c r="L44" i="1"/>
  <c r="M44" i="1" s="1"/>
  <c r="P44" i="1"/>
  <c r="Q44" i="1"/>
  <c r="R44" i="1" s="1"/>
  <c r="S44" i="1" s="1"/>
  <c r="T44" i="1" s="1"/>
  <c r="AG43" i="1"/>
  <c r="AH43" i="1" s="1"/>
  <c r="AC43" i="1"/>
  <c r="AD43" i="1" s="1"/>
  <c r="Y43" i="1"/>
  <c r="Z43" i="1" s="1"/>
  <c r="U43" i="1"/>
  <c r="V43" i="1" s="1"/>
  <c r="L43" i="1"/>
  <c r="N43" i="1" s="1"/>
  <c r="O43" i="1" s="1"/>
  <c r="P43" i="1"/>
  <c r="Q43" i="1"/>
  <c r="R43" i="1" s="1"/>
  <c r="S43" i="1" s="1"/>
  <c r="T43" i="1" s="1"/>
  <c r="AG42" i="1"/>
  <c r="AH42" i="1" s="1"/>
  <c r="AC42" i="1"/>
  <c r="AD42" i="1" s="1"/>
  <c r="Y42" i="1"/>
  <c r="Z42" i="1" s="1"/>
  <c r="V42" i="1"/>
  <c r="U42" i="1"/>
  <c r="L42" i="1"/>
  <c r="P42" i="1"/>
  <c r="Q42" i="1"/>
  <c r="R42" i="1" s="1"/>
  <c r="AG41" i="1"/>
  <c r="AH41" i="1" s="1"/>
  <c r="AC41" i="1"/>
  <c r="AD41" i="1" s="1"/>
  <c r="AE41" i="1" s="1"/>
  <c r="AF41" i="1" s="1"/>
  <c r="Y41" i="1"/>
  <c r="Z41" i="1" s="1"/>
  <c r="U41" i="1"/>
  <c r="V41" i="1" s="1"/>
  <c r="W41" i="1" s="1"/>
  <c r="X41" i="1" s="1"/>
  <c r="L41" i="1"/>
  <c r="N41" i="1" s="1"/>
  <c r="O41" i="1" s="1"/>
  <c r="P41" i="1"/>
  <c r="Q41" i="1"/>
  <c r="R41" i="1" s="1"/>
  <c r="S41" i="1" s="1"/>
  <c r="T41" i="1" s="1"/>
  <c r="AG40" i="1"/>
  <c r="AH40" i="1" s="1"/>
  <c r="AI40" i="1" s="1"/>
  <c r="AJ40" i="1" s="1"/>
  <c r="AE40" i="1"/>
  <c r="AF40" i="1" s="1"/>
  <c r="AC40" i="1"/>
  <c r="AD40" i="1" s="1"/>
  <c r="Y40" i="1"/>
  <c r="Z40" i="1" s="1"/>
  <c r="U40" i="1"/>
  <c r="V40" i="1" s="1"/>
  <c r="L40" i="1"/>
  <c r="M40" i="1" s="1"/>
  <c r="P40" i="1"/>
  <c r="Q40" i="1"/>
  <c r="R40" i="1" s="1"/>
  <c r="AG39" i="1"/>
  <c r="AH39" i="1" s="1"/>
  <c r="AC39" i="1"/>
  <c r="AD39" i="1" s="1"/>
  <c r="AE39" i="1" s="1"/>
  <c r="AF39" i="1" s="1"/>
  <c r="Y39" i="1"/>
  <c r="Z39" i="1" s="1"/>
  <c r="U39" i="1"/>
  <c r="V39" i="1" s="1"/>
  <c r="L39" i="1"/>
  <c r="P39" i="1"/>
  <c r="Q39" i="1"/>
  <c r="R39" i="1" s="1"/>
  <c r="AG38" i="1"/>
  <c r="AH38" i="1" s="1"/>
  <c r="AC38" i="1"/>
  <c r="AD38" i="1" s="1"/>
  <c r="AE38" i="1" s="1"/>
  <c r="AF38" i="1" s="1"/>
  <c r="Y38" i="1"/>
  <c r="Z38" i="1" s="1"/>
  <c r="U38" i="1"/>
  <c r="V38" i="1" s="1"/>
  <c r="N38" i="1"/>
  <c r="O38" i="1" s="1"/>
  <c r="L38" i="1"/>
  <c r="M38" i="1" s="1"/>
  <c r="P38" i="1"/>
  <c r="R38" i="1"/>
  <c r="S38" i="1" s="1"/>
  <c r="T38" i="1" s="1"/>
  <c r="Q38" i="1"/>
  <c r="AG37" i="1"/>
  <c r="AH37" i="1" s="1"/>
  <c r="AI37" i="1" s="1"/>
  <c r="AJ37" i="1" s="1"/>
  <c r="AC37" i="1"/>
  <c r="AD37" i="1" s="1"/>
  <c r="AE37" i="1" s="1"/>
  <c r="AF37" i="1" s="1"/>
  <c r="Z37" i="1"/>
  <c r="AA37" i="1" s="1"/>
  <c r="AB37" i="1" s="1"/>
  <c r="Y37" i="1"/>
  <c r="U37" i="1"/>
  <c r="V37" i="1" s="1"/>
  <c r="N37" i="1"/>
  <c r="O37" i="1" s="1"/>
  <c r="L37" i="1"/>
  <c r="M37" i="1" s="1"/>
  <c r="P37" i="1"/>
  <c r="S37" i="1" s="1"/>
  <c r="T37" i="1" s="1"/>
  <c r="Q37" i="1"/>
  <c r="R37" i="1" s="1"/>
  <c r="AG36" i="1"/>
  <c r="AH36" i="1" s="1"/>
  <c r="AI36" i="1" s="1"/>
  <c r="AJ36" i="1" s="1"/>
  <c r="AC36" i="1"/>
  <c r="AD36" i="1" s="1"/>
  <c r="Y36" i="1"/>
  <c r="Z36" i="1" s="1"/>
  <c r="U36" i="1"/>
  <c r="V36" i="1" s="1"/>
  <c r="W36" i="1" s="1"/>
  <c r="X36" i="1" s="1"/>
  <c r="L36" i="1"/>
  <c r="P36" i="1"/>
  <c r="Q36" i="1"/>
  <c r="R36" i="1" s="1"/>
  <c r="S36" i="1" s="1"/>
  <c r="T36" i="1" s="1"/>
  <c r="AG35" i="1"/>
  <c r="AH35" i="1" s="1"/>
  <c r="AC35" i="1"/>
  <c r="AD35" i="1" s="1"/>
  <c r="Y35" i="1"/>
  <c r="Z35" i="1" s="1"/>
  <c r="U35" i="1"/>
  <c r="V35" i="1" s="1"/>
  <c r="N35" i="1"/>
  <c r="O35" i="1" s="1"/>
  <c r="L35" i="1"/>
  <c r="M35" i="1" s="1"/>
  <c r="P35" i="1"/>
  <c r="Q35" i="1"/>
  <c r="R35" i="1" s="1"/>
  <c r="S35" i="1" s="1"/>
  <c r="T35" i="1" s="1"/>
  <c r="AG34" i="1"/>
  <c r="AH34" i="1" s="1"/>
  <c r="AC34" i="1"/>
  <c r="AD34" i="1" s="1"/>
  <c r="AE34" i="1" s="1"/>
  <c r="AF34" i="1" s="1"/>
  <c r="Y34" i="1"/>
  <c r="Z34" i="1" s="1"/>
  <c r="AA34" i="1" s="1"/>
  <c r="AB34" i="1" s="1"/>
  <c r="U34" i="1"/>
  <c r="V34" i="1" s="1"/>
  <c r="W34" i="1" s="1"/>
  <c r="X34" i="1" s="1"/>
  <c r="L34" i="1"/>
  <c r="P34" i="1"/>
  <c r="Q34" i="1"/>
  <c r="R34" i="1" s="1"/>
  <c r="S34" i="1" s="1"/>
  <c r="T34" i="1" s="1"/>
  <c r="AH33" i="1"/>
  <c r="AG33" i="1"/>
  <c r="AC33" i="1"/>
  <c r="AD33" i="1" s="1"/>
  <c r="Y33" i="1"/>
  <c r="Z33" i="1" s="1"/>
  <c r="U33" i="1"/>
  <c r="V33" i="1" s="1"/>
  <c r="L33" i="1"/>
  <c r="P33" i="1"/>
  <c r="Q33" i="1"/>
  <c r="R33" i="1" s="1"/>
  <c r="AG32" i="1"/>
  <c r="AH32" i="1" s="1"/>
  <c r="AC32" i="1"/>
  <c r="AD32" i="1" s="1"/>
  <c r="AE32" i="1" s="1"/>
  <c r="AF32" i="1" s="1"/>
  <c r="Y32" i="1"/>
  <c r="Z32" i="1" s="1"/>
  <c r="AA32" i="1" s="1"/>
  <c r="AB32" i="1" s="1"/>
  <c r="U32" i="1"/>
  <c r="V32" i="1" s="1"/>
  <c r="W32" i="1" s="1"/>
  <c r="X32" i="1" s="1"/>
  <c r="L32" i="1"/>
  <c r="N32" i="1" s="1"/>
  <c r="O32" i="1" s="1"/>
  <c r="P32" i="1"/>
  <c r="Q32" i="1"/>
  <c r="R32" i="1" s="1"/>
  <c r="S32" i="1" s="1"/>
  <c r="T32" i="1" s="1"/>
  <c r="AH31" i="1"/>
  <c r="AG31" i="1"/>
  <c r="AC31" i="1"/>
  <c r="AD31" i="1" s="1"/>
  <c r="Z31" i="1"/>
  <c r="Y31" i="1"/>
  <c r="U31" i="1"/>
  <c r="V31" i="1" s="1"/>
  <c r="L31" i="1"/>
  <c r="P31" i="1"/>
  <c r="Q31" i="1"/>
  <c r="R31" i="1" s="1"/>
  <c r="AG30" i="1"/>
  <c r="AH30" i="1" s="1"/>
  <c r="AC30" i="1"/>
  <c r="AD30" i="1" s="1"/>
  <c r="Y30" i="1"/>
  <c r="Z30" i="1" s="1"/>
  <c r="AA30" i="1" s="1"/>
  <c r="AB30" i="1" s="1"/>
  <c r="U30" i="1"/>
  <c r="V30" i="1" s="1"/>
  <c r="L30" i="1"/>
  <c r="P30" i="1"/>
  <c r="Q30" i="1"/>
  <c r="R30" i="1" s="1"/>
  <c r="S30" i="1" s="1"/>
  <c r="T30" i="1" s="1"/>
  <c r="AG29" i="1"/>
  <c r="AH29" i="1" s="1"/>
  <c r="AC29" i="1"/>
  <c r="AD29" i="1" s="1"/>
  <c r="Y29" i="1"/>
  <c r="Z29" i="1" s="1"/>
  <c r="AA29" i="1" s="1"/>
  <c r="AB29" i="1" s="1"/>
  <c r="U29" i="1"/>
  <c r="V29" i="1" s="1"/>
  <c r="L29" i="1"/>
  <c r="P29" i="1"/>
  <c r="Q29" i="1"/>
  <c r="R29" i="1" s="1"/>
  <c r="S29" i="1" s="1"/>
  <c r="T29" i="1" s="1"/>
  <c r="AG28" i="1"/>
  <c r="AH28" i="1" s="1"/>
  <c r="AC28" i="1"/>
  <c r="AD28" i="1" s="1"/>
  <c r="Y28" i="1"/>
  <c r="Z28" i="1" s="1"/>
  <c r="U28" i="1"/>
  <c r="V28" i="1" s="1"/>
  <c r="L28" i="1"/>
  <c r="S28" i="1"/>
  <c r="T28" i="1" s="1"/>
  <c r="P28" i="1"/>
  <c r="Q28" i="1"/>
  <c r="R28" i="1" s="1"/>
  <c r="AI27" i="1"/>
  <c r="AJ27" i="1" s="1"/>
  <c r="AG27" i="1"/>
  <c r="AH27" i="1" s="1"/>
  <c r="AC27" i="1"/>
  <c r="AD27" i="1" s="1"/>
  <c r="Y27" i="1"/>
  <c r="Z27" i="1" s="1"/>
  <c r="U27" i="1"/>
  <c r="V27" i="1" s="1"/>
  <c r="W27" i="1" s="1"/>
  <c r="X27" i="1" s="1"/>
  <c r="N27" i="1"/>
  <c r="O27" i="1" s="1"/>
  <c r="L27" i="1"/>
  <c r="M27" i="1" s="1"/>
  <c r="P27" i="1"/>
  <c r="Q27" i="1"/>
  <c r="R27" i="1" s="1"/>
  <c r="S27" i="1" s="1"/>
  <c r="T27" i="1" s="1"/>
  <c r="AG26" i="1"/>
  <c r="AH26" i="1" s="1"/>
  <c r="AC26" i="1"/>
  <c r="AD26" i="1" s="1"/>
  <c r="Y26" i="1"/>
  <c r="Z26" i="1" s="1"/>
  <c r="U26" i="1"/>
  <c r="V26" i="1" s="1"/>
  <c r="L26" i="1"/>
  <c r="M26" i="1" s="1"/>
  <c r="P26" i="1"/>
  <c r="AI26" i="1" s="1"/>
  <c r="AJ26" i="1" s="1"/>
  <c r="R26" i="1"/>
  <c r="Q26" i="1"/>
  <c r="AG25" i="1"/>
  <c r="AH25" i="1" s="1"/>
  <c r="AC25" i="1"/>
  <c r="AD25" i="1" s="1"/>
  <c r="AE25" i="1" s="1"/>
  <c r="AF25" i="1" s="1"/>
  <c r="Y25" i="1"/>
  <c r="Z25" i="1" s="1"/>
  <c r="U25" i="1"/>
  <c r="V25" i="1" s="1"/>
  <c r="L25" i="1"/>
  <c r="N25" i="1" s="1"/>
  <c r="O25" i="1" s="1"/>
  <c r="P25" i="1"/>
  <c r="Q25" i="1"/>
  <c r="R25" i="1" s="1"/>
  <c r="AG24" i="1"/>
  <c r="AH24" i="1" s="1"/>
  <c r="AC24" i="1"/>
  <c r="AD24" i="1" s="1"/>
  <c r="Y24" i="1"/>
  <c r="Z24" i="1" s="1"/>
  <c r="V24" i="1"/>
  <c r="W24" i="1" s="1"/>
  <c r="X24" i="1" s="1"/>
  <c r="U24" i="1"/>
  <c r="L24" i="1"/>
  <c r="P24" i="1"/>
  <c r="Q24" i="1"/>
  <c r="R24" i="1" s="1"/>
  <c r="S24" i="1" s="1"/>
  <c r="T24" i="1" s="1"/>
  <c r="AG23" i="1"/>
  <c r="AH23" i="1" s="1"/>
  <c r="AC23" i="1"/>
  <c r="AD23" i="1" s="1"/>
  <c r="Y23" i="1"/>
  <c r="Z23" i="1" s="1"/>
  <c r="U23" i="1"/>
  <c r="V23" i="1" s="1"/>
  <c r="N23" i="1"/>
  <c r="O23" i="1" s="1"/>
  <c r="L23" i="1"/>
  <c r="M23" i="1" s="1"/>
  <c r="P23" i="1"/>
  <c r="Q23" i="1"/>
  <c r="R23" i="1" s="1"/>
  <c r="AG22" i="1"/>
  <c r="AH22" i="1" s="1"/>
  <c r="AC22" i="1"/>
  <c r="AD22" i="1" s="1"/>
  <c r="Y22" i="1"/>
  <c r="Z22" i="1" s="1"/>
  <c r="AA22" i="1" s="1"/>
  <c r="AB22" i="1" s="1"/>
  <c r="U22" i="1"/>
  <c r="V22" i="1" s="1"/>
  <c r="W22" i="1" s="1"/>
  <c r="X22" i="1" s="1"/>
  <c r="L22" i="1"/>
  <c r="P22" i="1"/>
  <c r="Q22" i="1"/>
  <c r="R22" i="1" s="1"/>
  <c r="S22" i="1" s="1"/>
  <c r="T22" i="1" s="1"/>
  <c r="AG21" i="1"/>
  <c r="AH21" i="1" s="1"/>
  <c r="AI21" i="1" s="1"/>
  <c r="AJ21" i="1" s="1"/>
  <c r="AD21" i="1"/>
  <c r="AC21" i="1"/>
  <c r="Y21" i="1"/>
  <c r="Z21" i="1" s="1"/>
  <c r="AA21" i="1" s="1"/>
  <c r="AB21" i="1" s="1"/>
  <c r="U21" i="1"/>
  <c r="V21" i="1" s="1"/>
  <c r="W21" i="1" s="1"/>
  <c r="X21" i="1" s="1"/>
  <c r="L21" i="1"/>
  <c r="P21" i="1"/>
  <c r="Q21" i="1"/>
  <c r="R21" i="1" s="1"/>
  <c r="AH20" i="1"/>
  <c r="AG20" i="1"/>
  <c r="AC20" i="1"/>
  <c r="AD20" i="1" s="1"/>
  <c r="Y20" i="1"/>
  <c r="Z20" i="1" s="1"/>
  <c r="AA20" i="1" s="1"/>
  <c r="AB20" i="1" s="1"/>
  <c r="U20" i="1"/>
  <c r="V20" i="1" s="1"/>
  <c r="L20" i="1"/>
  <c r="N20" i="1" s="1"/>
  <c r="O20" i="1" s="1"/>
  <c r="P20" i="1"/>
  <c r="AE20" i="1" s="1"/>
  <c r="AF20" i="1" s="1"/>
  <c r="Q20" i="1"/>
  <c r="R20" i="1" s="1"/>
  <c r="AG19" i="1"/>
  <c r="AH19" i="1" s="1"/>
  <c r="AC19" i="1"/>
  <c r="AD19" i="1" s="1"/>
  <c r="AE19" i="1" s="1"/>
  <c r="AF19" i="1" s="1"/>
  <c r="Y19" i="1"/>
  <c r="Z19" i="1" s="1"/>
  <c r="U19" i="1"/>
  <c r="V19" i="1" s="1"/>
  <c r="N19" i="1"/>
  <c r="O19" i="1" s="1"/>
  <c r="M19" i="1"/>
  <c r="L19" i="1"/>
  <c r="P19" i="1"/>
  <c r="Q19" i="1"/>
  <c r="R19" i="1" s="1"/>
  <c r="AG18" i="1"/>
  <c r="AH18" i="1" s="1"/>
  <c r="AI18" i="1" s="1"/>
  <c r="AJ18" i="1" s="1"/>
  <c r="AC18" i="1"/>
  <c r="AD18" i="1" s="1"/>
  <c r="AE18" i="1" s="1"/>
  <c r="AF18" i="1" s="1"/>
  <c r="Y18" i="1"/>
  <c r="Z18" i="1" s="1"/>
  <c r="W18" i="1"/>
  <c r="X18" i="1" s="1"/>
  <c r="U18" i="1"/>
  <c r="V18" i="1" s="1"/>
  <c r="L18" i="1"/>
  <c r="P18" i="1"/>
  <c r="Q18" i="1"/>
  <c r="R18" i="1" s="1"/>
  <c r="S18" i="1" s="1"/>
  <c r="T18" i="1" s="1"/>
  <c r="AG17" i="1"/>
  <c r="AH17" i="1" s="1"/>
  <c r="AI17" i="1" s="1"/>
  <c r="AJ17" i="1" s="1"/>
  <c r="AC17" i="1"/>
  <c r="AD17" i="1" s="1"/>
  <c r="AE17" i="1" s="1"/>
  <c r="AF17" i="1" s="1"/>
  <c r="Y17" i="1"/>
  <c r="Z17" i="1" s="1"/>
  <c r="AA17" i="1" s="1"/>
  <c r="AB17" i="1" s="1"/>
  <c r="U17" i="1"/>
  <c r="V17" i="1" s="1"/>
  <c r="O17" i="1"/>
  <c r="M17" i="1"/>
  <c r="L17" i="1"/>
  <c r="N17" i="1" s="1"/>
  <c r="P17" i="1"/>
  <c r="Q17" i="1"/>
  <c r="R17" i="1" s="1"/>
  <c r="S17" i="1" s="1"/>
  <c r="T17" i="1" s="1"/>
  <c r="AH16" i="1"/>
  <c r="AG16" i="1"/>
  <c r="AC16" i="1"/>
  <c r="AD16" i="1" s="1"/>
  <c r="Z16" i="1"/>
  <c r="AA16" i="1" s="1"/>
  <c r="AB16" i="1" s="1"/>
  <c r="Y16" i="1"/>
  <c r="U16" i="1"/>
  <c r="V16" i="1" s="1"/>
  <c r="L16" i="1"/>
  <c r="N16" i="1" s="1"/>
  <c r="O16" i="1" s="1"/>
  <c r="P16" i="1"/>
  <c r="Q16" i="1"/>
  <c r="R16" i="1" s="1"/>
  <c r="AG15" i="1"/>
  <c r="AH15" i="1" s="1"/>
  <c r="AC15" i="1"/>
  <c r="AD15" i="1" s="1"/>
  <c r="Y15" i="1"/>
  <c r="Z15" i="1" s="1"/>
  <c r="U15" i="1"/>
  <c r="V15" i="1" s="1"/>
  <c r="L15" i="1"/>
  <c r="N15" i="1" s="1"/>
  <c r="O15" i="1" s="1"/>
  <c r="P15" i="1"/>
  <c r="Q15" i="1"/>
  <c r="R15" i="1" s="1"/>
  <c r="AG14" i="1"/>
  <c r="AH14" i="1" s="1"/>
  <c r="AC14" i="1"/>
  <c r="AD14" i="1" s="1"/>
  <c r="Y14" i="1"/>
  <c r="Z14" i="1" s="1"/>
  <c r="U14" i="1"/>
  <c r="V14" i="1" s="1"/>
  <c r="L14" i="1"/>
  <c r="P14" i="1"/>
  <c r="AA14" i="1" s="1"/>
  <c r="AB14" i="1" s="1"/>
  <c r="Q14" i="1"/>
  <c r="R14" i="1" s="1"/>
  <c r="AG13" i="1"/>
  <c r="AH13" i="1" s="1"/>
  <c r="AC13" i="1"/>
  <c r="AD13" i="1" s="1"/>
  <c r="Z13" i="1"/>
  <c r="Y13" i="1"/>
  <c r="U13" i="1"/>
  <c r="V13" i="1" s="1"/>
  <c r="L13" i="1"/>
  <c r="P13" i="1"/>
  <c r="Q13" i="1"/>
  <c r="R13" i="1" s="1"/>
  <c r="AG12" i="1"/>
  <c r="AH12" i="1" s="1"/>
  <c r="AC12" i="1"/>
  <c r="AD12" i="1" s="1"/>
  <c r="Y12" i="1"/>
  <c r="Z12" i="1" s="1"/>
  <c r="U12" i="1"/>
  <c r="V12" i="1" s="1"/>
  <c r="L12" i="1"/>
  <c r="P12" i="1"/>
  <c r="S12" i="1" s="1"/>
  <c r="T12" i="1" s="1"/>
  <c r="Q12" i="1"/>
  <c r="R12" i="1" s="1"/>
  <c r="AG11" i="1"/>
  <c r="AH11" i="1" s="1"/>
  <c r="AC11" i="1"/>
  <c r="AD11" i="1" s="1"/>
  <c r="Y11" i="1"/>
  <c r="Z11" i="1" s="1"/>
  <c r="AA11" i="1" s="1"/>
  <c r="AB11" i="1" s="1"/>
  <c r="U11" i="1"/>
  <c r="V11" i="1" s="1"/>
  <c r="L11" i="1"/>
  <c r="P11" i="1"/>
  <c r="Q11" i="1"/>
  <c r="R11" i="1" s="1"/>
  <c r="S11" i="1" s="1"/>
  <c r="T11" i="1" s="1"/>
  <c r="AG10" i="1"/>
  <c r="AH10" i="1" s="1"/>
  <c r="AC10" i="1"/>
  <c r="AD10" i="1" s="1"/>
  <c r="Y10" i="1"/>
  <c r="Z10" i="1" s="1"/>
  <c r="U10" i="1"/>
  <c r="V10" i="1" s="1"/>
  <c r="W10" i="1" s="1"/>
  <c r="X10" i="1" s="1"/>
  <c r="L10" i="1"/>
  <c r="N10" i="1" s="1"/>
  <c r="O10" i="1" s="1"/>
  <c r="P10" i="1"/>
  <c r="R10" i="1"/>
  <c r="S10" i="1" s="1"/>
  <c r="T10" i="1" s="1"/>
  <c r="Q10" i="1"/>
  <c r="AG9" i="1"/>
  <c r="AH9" i="1" s="1"/>
  <c r="AD9" i="1"/>
  <c r="AE9" i="1" s="1"/>
  <c r="AF9" i="1" s="1"/>
  <c r="AC9" i="1"/>
  <c r="Y9" i="1"/>
  <c r="Z9" i="1" s="1"/>
  <c r="AA9" i="1" s="1"/>
  <c r="AB9" i="1" s="1"/>
  <c r="U9" i="1"/>
  <c r="V9" i="1" s="1"/>
  <c r="W9" i="1" s="1"/>
  <c r="X9" i="1" s="1"/>
  <c r="L9" i="1"/>
  <c r="S9" i="1"/>
  <c r="T9" i="1" s="1"/>
  <c r="P9" i="1"/>
  <c r="Q9" i="1"/>
  <c r="R9" i="1" s="1"/>
  <c r="AH8" i="1"/>
  <c r="AG8" i="1"/>
  <c r="AC8" i="1"/>
  <c r="AD8" i="1" s="1"/>
  <c r="Z8" i="1"/>
  <c r="Y8" i="1"/>
  <c r="U8" i="1"/>
  <c r="V8" i="1" s="1"/>
  <c r="L8" i="1"/>
  <c r="P8" i="1"/>
  <c r="AI8" i="1" s="1"/>
  <c r="AJ8" i="1" s="1"/>
  <c r="Q8" i="1"/>
  <c r="R8" i="1" s="1"/>
  <c r="AG7" i="1"/>
  <c r="AH7" i="1" s="1"/>
  <c r="AC7" i="1"/>
  <c r="AD7" i="1" s="1"/>
  <c r="Y7" i="1"/>
  <c r="Z7" i="1" s="1"/>
  <c r="U7" i="1"/>
  <c r="V7" i="1" s="1"/>
  <c r="L7" i="1"/>
  <c r="P7" i="1"/>
  <c r="Q7" i="1"/>
  <c r="R7" i="1" s="1"/>
  <c r="AG6" i="1"/>
  <c r="AH6" i="1" s="1"/>
  <c r="AI6" i="1" s="1"/>
  <c r="AJ6" i="1" s="1"/>
  <c r="AC6" i="1"/>
  <c r="AD6" i="1" s="1"/>
  <c r="Y6" i="1"/>
  <c r="Z6" i="1" s="1"/>
  <c r="U6" i="1"/>
  <c r="V6" i="1" s="1"/>
  <c r="L6" i="1"/>
  <c r="N6" i="1" s="1"/>
  <c r="O6" i="1" s="1"/>
  <c r="P6" i="1"/>
  <c r="Q6" i="1"/>
  <c r="R6" i="1" s="1"/>
  <c r="AG5" i="1"/>
  <c r="AH5" i="1" s="1"/>
  <c r="AC5" i="1"/>
  <c r="AD5" i="1" s="1"/>
  <c r="Y5" i="1"/>
  <c r="Z5" i="1" s="1"/>
  <c r="V5" i="1"/>
  <c r="U5" i="1"/>
  <c r="L5" i="1"/>
  <c r="N5" i="1" s="1"/>
  <c r="O5" i="1" s="1"/>
  <c r="P5" i="1"/>
  <c r="Q5" i="1"/>
  <c r="R5" i="1" s="1"/>
  <c r="AG4" i="1"/>
  <c r="AH4" i="1" s="1"/>
  <c r="AC4" i="1"/>
  <c r="AD4" i="1" s="1"/>
  <c r="AE4" i="1" s="1"/>
  <c r="AF4" i="1" s="1"/>
  <c r="Y4" i="1"/>
  <c r="Z4" i="1" s="1"/>
  <c r="U4" i="1"/>
  <c r="V4" i="1" s="1"/>
  <c r="N4" i="1"/>
  <c r="O4" i="1" s="1"/>
  <c r="M4" i="1"/>
  <c r="L4" i="1"/>
  <c r="P4" i="1"/>
  <c r="Q4" i="1"/>
  <c r="R4" i="1" s="1"/>
  <c r="AG3" i="1"/>
  <c r="AH3" i="1" s="1"/>
  <c r="AC3" i="1"/>
  <c r="AD3" i="1" s="1"/>
  <c r="Y3" i="1"/>
  <c r="Z3" i="1" s="1"/>
  <c r="U3" i="1"/>
  <c r="V3" i="1" s="1"/>
  <c r="W3" i="1" s="1"/>
  <c r="X3" i="1" s="1"/>
  <c r="L3" i="1"/>
  <c r="P3" i="1"/>
  <c r="Q3" i="1"/>
  <c r="R3" i="1" s="1"/>
  <c r="AG2" i="1"/>
  <c r="AH2" i="1" s="1"/>
  <c r="AC2" i="1"/>
  <c r="AD2" i="1" s="1"/>
  <c r="Y2" i="1"/>
  <c r="Z2" i="1" s="1"/>
  <c r="U2" i="1"/>
  <c r="V2" i="1" s="1"/>
  <c r="W2" i="1" s="1"/>
  <c r="X2" i="1" s="1"/>
  <c r="L2" i="1"/>
  <c r="N2" i="1" s="1"/>
  <c r="O2" i="1" s="1"/>
  <c r="P2" i="1"/>
  <c r="Q2" i="1"/>
  <c r="R2" i="1" s="1"/>
  <c r="S2" i="1" s="1"/>
  <c r="C46" i="2" l="1"/>
  <c r="M28" i="1"/>
  <c r="N28" i="1"/>
  <c r="O28" i="1" s="1"/>
  <c r="N46" i="1"/>
  <c r="O46" i="1" s="1"/>
  <c r="M46" i="1"/>
  <c r="M56" i="1"/>
  <c r="N56" i="1"/>
  <c r="O56" i="1" s="1"/>
  <c r="AA12" i="1"/>
  <c r="AB12" i="1" s="1"/>
  <c r="AI16" i="1"/>
  <c r="AJ16" i="1" s="1"/>
  <c r="AA5" i="1"/>
  <c r="AB5" i="1" s="1"/>
  <c r="N9" i="1"/>
  <c r="O9" i="1" s="1"/>
  <c r="M9" i="1"/>
  <c r="AE11" i="1"/>
  <c r="AF11" i="1" s="1"/>
  <c r="AE14" i="1"/>
  <c r="AF14" i="1" s="1"/>
  <c r="AE30" i="1"/>
  <c r="AF30" i="1" s="1"/>
  <c r="N33" i="1"/>
  <c r="O33" i="1" s="1"/>
  <c r="M33" i="1"/>
  <c r="AI67" i="1"/>
  <c r="AJ67" i="1" s="1"/>
  <c r="N74" i="1"/>
  <c r="O74" i="1" s="1"/>
  <c r="M74" i="1"/>
  <c r="N77" i="1"/>
  <c r="O77" i="1" s="1"/>
  <c r="M77" i="1"/>
  <c r="M2" i="1"/>
  <c r="AE5" i="1"/>
  <c r="AF5" i="1" s="1"/>
  <c r="AE7" i="1"/>
  <c r="AF7" i="1" s="1"/>
  <c r="N8" i="1"/>
  <c r="O8" i="1" s="1"/>
  <c r="M8" i="1"/>
  <c r="AI33" i="1"/>
  <c r="AJ33" i="1" s="1"/>
  <c r="W37" i="1"/>
  <c r="X37" i="1" s="1"/>
  <c r="M53" i="1"/>
  <c r="W61" i="1"/>
  <c r="X61" i="1" s="1"/>
  <c r="AA78" i="1"/>
  <c r="AB78" i="1" s="1"/>
  <c r="N82" i="1"/>
  <c r="O82" i="1" s="1"/>
  <c r="M82" i="1"/>
  <c r="S14" i="1"/>
  <c r="T14" i="1" s="1"/>
  <c r="AI14" i="1"/>
  <c r="AJ14" i="1" s="1"/>
  <c r="M25" i="1"/>
  <c r="S33" i="1"/>
  <c r="T33" i="1" s="1"/>
  <c r="AA33" i="1"/>
  <c r="AB33" i="1" s="1"/>
  <c r="M51" i="1"/>
  <c r="N61" i="1"/>
  <c r="O61" i="1" s="1"/>
  <c r="M61" i="1"/>
  <c r="S65" i="1"/>
  <c r="T65" i="1" s="1"/>
  <c r="AE72" i="1"/>
  <c r="AF72" i="1" s="1"/>
  <c r="N73" i="1"/>
  <c r="O73" i="1" s="1"/>
  <c r="M73" i="1"/>
  <c r="W77" i="1"/>
  <c r="X77" i="1" s="1"/>
  <c r="AI11" i="1"/>
  <c r="AJ11" i="1" s="1"/>
  <c r="W16" i="1"/>
  <c r="X16" i="1" s="1"/>
  <c r="AE16" i="1"/>
  <c r="AF16" i="1" s="1"/>
  <c r="AI19" i="1"/>
  <c r="AJ19" i="1" s="1"/>
  <c r="AA24" i="1"/>
  <c r="AB24" i="1" s="1"/>
  <c r="AA27" i="1"/>
  <c r="AB27" i="1" s="1"/>
  <c r="AE42" i="1"/>
  <c r="AF42" i="1" s="1"/>
  <c r="W44" i="1"/>
  <c r="X44" i="1" s="1"/>
  <c r="AI45" i="1"/>
  <c r="AJ45" i="1" s="1"/>
  <c r="AA49" i="1"/>
  <c r="AB49" i="1" s="1"/>
  <c r="AA54" i="1"/>
  <c r="AB54" i="1" s="1"/>
  <c r="AA57" i="1"/>
  <c r="AB57" i="1" s="1"/>
  <c r="AI66" i="1"/>
  <c r="AJ66" i="1" s="1"/>
  <c r="W69" i="1"/>
  <c r="X69" i="1" s="1"/>
  <c r="AE70" i="1"/>
  <c r="AF70" i="1" s="1"/>
  <c r="AA73" i="1"/>
  <c r="AB73" i="1" s="1"/>
  <c r="AA80" i="1"/>
  <c r="AB80" i="1" s="1"/>
  <c r="AI82" i="1"/>
  <c r="AJ82" i="1" s="1"/>
  <c r="AE82" i="1"/>
  <c r="AF82" i="1" s="1"/>
  <c r="AI4" i="1"/>
  <c r="AJ4" i="1" s="1"/>
  <c r="AE3" i="1"/>
  <c r="AF3" i="1" s="1"/>
  <c r="AA4" i="1"/>
  <c r="AB4" i="1" s="1"/>
  <c r="S7" i="1"/>
  <c r="T7" i="1" s="1"/>
  <c r="M10" i="1"/>
  <c r="W11" i="1"/>
  <c r="X11" i="1" s="1"/>
  <c r="W12" i="1"/>
  <c r="X12" i="1" s="1"/>
  <c r="AI12" i="1"/>
  <c r="AJ12" i="1" s="1"/>
  <c r="W14" i="1"/>
  <c r="X14" i="1" s="1"/>
  <c r="S16" i="1"/>
  <c r="T16" i="1" s="1"/>
  <c r="AA19" i="1"/>
  <c r="AB19" i="1" s="1"/>
  <c r="AE22" i="1"/>
  <c r="AF22" i="1" s="1"/>
  <c r="AE24" i="1"/>
  <c r="AF24" i="1" s="1"/>
  <c r="N26" i="1"/>
  <c r="O26" i="1" s="1"/>
  <c r="AE27" i="1"/>
  <c r="AF27" i="1" s="1"/>
  <c r="AI29" i="1"/>
  <c r="AJ29" i="1" s="1"/>
  <c r="W30" i="1"/>
  <c r="X30" i="1" s="1"/>
  <c r="AI34" i="1"/>
  <c r="AJ34" i="1" s="1"/>
  <c r="AE35" i="1"/>
  <c r="AF35" i="1" s="1"/>
  <c r="AI41" i="1"/>
  <c r="AJ41" i="1" s="1"/>
  <c r="AI42" i="1"/>
  <c r="AJ42" i="1" s="1"/>
  <c r="M43" i="1"/>
  <c r="S46" i="1"/>
  <c r="T46" i="1" s="1"/>
  <c r="W46" i="1"/>
  <c r="X46" i="1" s="1"/>
  <c r="AE48" i="1"/>
  <c r="AF48" i="1" s="1"/>
  <c r="S52" i="1"/>
  <c r="T52" i="1" s="1"/>
  <c r="AA53" i="1"/>
  <c r="AB53" i="1" s="1"/>
  <c r="N54" i="1"/>
  <c r="O54" i="1" s="1"/>
  <c r="AE54" i="1"/>
  <c r="AF54" i="1" s="1"/>
  <c r="S56" i="1"/>
  <c r="T56" i="1" s="1"/>
  <c r="W56" i="1"/>
  <c r="X56" i="1" s="1"/>
  <c r="AE57" i="1"/>
  <c r="AF57" i="1" s="1"/>
  <c r="AI62" i="1"/>
  <c r="AJ62" i="1" s="1"/>
  <c r="N64" i="1"/>
  <c r="O64" i="1" s="1"/>
  <c r="AI64" i="1"/>
  <c r="AJ64" i="1" s="1"/>
  <c r="N65" i="1"/>
  <c r="O65" i="1" s="1"/>
  <c r="AI65" i="1"/>
  <c r="AJ65" i="1" s="1"/>
  <c r="N66" i="1"/>
  <c r="O66" i="1" s="1"/>
  <c r="S69" i="1"/>
  <c r="T69" i="1" s="1"/>
  <c r="AA69" i="1"/>
  <c r="AB69" i="1" s="1"/>
  <c r="AI69" i="1"/>
  <c r="AJ69" i="1" s="1"/>
  <c r="W72" i="1"/>
  <c r="X72" i="1" s="1"/>
  <c r="AE74" i="1"/>
  <c r="AF74" i="1" s="1"/>
  <c r="AE78" i="1"/>
  <c r="AF78" i="1" s="1"/>
  <c r="S82" i="1"/>
  <c r="T82" i="1" s="1"/>
  <c r="N24" i="1"/>
  <c r="O24" i="1" s="1"/>
  <c r="M24" i="1"/>
  <c r="AA36" i="1"/>
  <c r="AB36" i="1" s="1"/>
  <c r="W51" i="1"/>
  <c r="X51" i="1" s="1"/>
  <c r="AA26" i="1"/>
  <c r="AB26" i="1" s="1"/>
  <c r="AE28" i="1"/>
  <c r="AF28" i="1" s="1"/>
  <c r="N31" i="1"/>
  <c r="O31" i="1" s="1"/>
  <c r="M31" i="1"/>
  <c r="W39" i="1"/>
  <c r="X39" i="1" s="1"/>
  <c r="S42" i="1"/>
  <c r="T42" i="1" s="1"/>
  <c r="W42" i="1"/>
  <c r="X42" i="1" s="1"/>
  <c r="N70" i="1"/>
  <c r="O70" i="1" s="1"/>
  <c r="M70" i="1"/>
  <c r="N11" i="1"/>
  <c r="O11" i="1" s="1"/>
  <c r="M11" i="1"/>
  <c r="W23" i="1"/>
  <c r="X23" i="1" s="1"/>
  <c r="W26" i="1"/>
  <c r="X26" i="1" s="1"/>
  <c r="N81" i="1"/>
  <c r="O81" i="1" s="1"/>
  <c r="M81" i="1"/>
  <c r="S4" i="1"/>
  <c r="T4" i="1" s="1"/>
  <c r="W4" i="1"/>
  <c r="X4" i="1" s="1"/>
  <c r="M5" i="1"/>
  <c r="D31" i="2" s="1"/>
  <c r="N12" i="1"/>
  <c r="O12" i="1" s="1"/>
  <c r="M12" i="1"/>
  <c r="AA13" i="1"/>
  <c r="AB13" i="1" s="1"/>
  <c r="S19" i="1"/>
  <c r="T19" i="1" s="1"/>
  <c r="W19" i="1"/>
  <c r="X19" i="1" s="1"/>
  <c r="M20" i="1"/>
  <c r="M34" i="1"/>
  <c r="N34" i="1"/>
  <c r="O34" i="1" s="1"/>
  <c r="AI38" i="1"/>
  <c r="AJ38" i="1" s="1"/>
  <c r="M41" i="1"/>
  <c r="AA6" i="1"/>
  <c r="AB6" i="1" s="1"/>
  <c r="AI10" i="1"/>
  <c r="AJ10" i="1" s="1"/>
  <c r="S8" i="1"/>
  <c r="T8" i="1" s="1"/>
  <c r="W8" i="1"/>
  <c r="X8" i="1" s="1"/>
  <c r="AA8" i="1"/>
  <c r="AB8" i="1" s="1"/>
  <c r="AE8" i="1"/>
  <c r="AF8" i="1" s="1"/>
  <c r="AI9" i="1"/>
  <c r="AJ9" i="1" s="1"/>
  <c r="M15" i="1"/>
  <c r="M18" i="1"/>
  <c r="N18" i="1"/>
  <c r="O18" i="1" s="1"/>
  <c r="AE23" i="1"/>
  <c r="AF23" i="1" s="1"/>
  <c r="S26" i="1"/>
  <c r="T26" i="1" s="1"/>
  <c r="W28" i="1"/>
  <c r="X28" i="1" s="1"/>
  <c r="AI28" i="1"/>
  <c r="AJ28" i="1" s="1"/>
  <c r="AA42" i="1"/>
  <c r="AB42" i="1" s="1"/>
  <c r="S3" i="1"/>
  <c r="T3" i="1" s="1"/>
  <c r="AI3" i="1"/>
  <c r="AJ3" i="1" s="1"/>
  <c r="W7" i="1"/>
  <c r="X7" i="1" s="1"/>
  <c r="AI7" i="1"/>
  <c r="AJ7" i="1" s="1"/>
  <c r="W13" i="1"/>
  <c r="X13" i="1" s="1"/>
  <c r="S15" i="1"/>
  <c r="T15" i="1" s="1"/>
  <c r="AA18" i="1"/>
  <c r="AB18" i="1" s="1"/>
  <c r="S21" i="1"/>
  <c r="T21" i="1" s="1"/>
  <c r="AI24" i="1"/>
  <c r="AJ24" i="1" s="1"/>
  <c r="AE26" i="1"/>
  <c r="AF26" i="1" s="1"/>
  <c r="AA28" i="1"/>
  <c r="AB28" i="1" s="1"/>
  <c r="AI30" i="1"/>
  <c r="AJ30" i="1" s="1"/>
  <c r="AI35" i="1"/>
  <c r="AJ35" i="1" s="1"/>
  <c r="W38" i="1"/>
  <c r="X38" i="1" s="1"/>
  <c r="AA40" i="1"/>
  <c r="AB40" i="1" s="1"/>
  <c r="AA44" i="1"/>
  <c r="AB44" i="1" s="1"/>
  <c r="AE46" i="1"/>
  <c r="AF46" i="1" s="1"/>
  <c r="AA55" i="1"/>
  <c r="AB55" i="1" s="1"/>
  <c r="AA58" i="1"/>
  <c r="AB58" i="1" s="1"/>
  <c r="W74" i="1"/>
  <c r="X74" i="1" s="1"/>
  <c r="N62" i="1"/>
  <c r="O62" i="1" s="1"/>
  <c r="M62" i="1"/>
  <c r="AE2" i="1"/>
  <c r="AF2" i="1" s="1"/>
  <c r="AA3" i="1"/>
  <c r="AB3" i="1" s="1"/>
  <c r="W5" i="1"/>
  <c r="X5" i="1" s="1"/>
  <c r="AA7" i="1"/>
  <c r="AB7" i="1" s="1"/>
  <c r="AE10" i="1"/>
  <c r="AF10" i="1" s="1"/>
  <c r="AE12" i="1"/>
  <c r="AF12" i="1" s="1"/>
  <c r="S13" i="1"/>
  <c r="T13" i="1" s="1"/>
  <c r="AI13" i="1"/>
  <c r="AJ13" i="1" s="1"/>
  <c r="AI22" i="1"/>
  <c r="AJ22" i="1" s="1"/>
  <c r="W29" i="1"/>
  <c r="X29" i="1" s="1"/>
  <c r="S31" i="1"/>
  <c r="T31" i="1" s="1"/>
  <c r="AI32" i="1"/>
  <c r="AJ32" i="1" s="1"/>
  <c r="AA35" i="1"/>
  <c r="AB35" i="1" s="1"/>
  <c r="AE36" i="1"/>
  <c r="AF36" i="1" s="1"/>
  <c r="AA41" i="1"/>
  <c r="AB41" i="1" s="1"/>
  <c r="W43" i="1"/>
  <c r="X43" i="1" s="1"/>
  <c r="AI43" i="1"/>
  <c r="AJ43" i="1" s="1"/>
  <c r="AI51" i="1"/>
  <c r="AJ51" i="1" s="1"/>
  <c r="W52" i="1"/>
  <c r="X52" i="1" s="1"/>
  <c r="AE58" i="1"/>
  <c r="AF58" i="1" s="1"/>
  <c r="AE61" i="1"/>
  <c r="AF61" i="1" s="1"/>
  <c r="W67" i="1"/>
  <c r="X67" i="1" s="1"/>
  <c r="AA39" i="1"/>
  <c r="AB39" i="1" s="1"/>
  <c r="S40" i="1"/>
  <c r="T40" i="1" s="1"/>
  <c r="W40" i="1"/>
  <c r="X40" i="1" s="1"/>
  <c r="AE43" i="1"/>
  <c r="AF43" i="1" s="1"/>
  <c r="AE44" i="1"/>
  <c r="AF44" i="1" s="1"/>
  <c r="AI47" i="1"/>
  <c r="AJ47" i="1" s="1"/>
  <c r="W50" i="1"/>
  <c r="X50" i="1" s="1"/>
  <c r="AE50" i="1"/>
  <c r="AF50" i="1" s="1"/>
  <c r="AA52" i="1"/>
  <c r="AB52" i="1" s="1"/>
  <c r="AI53" i="1"/>
  <c r="AJ53" i="1" s="1"/>
  <c r="AE59" i="1"/>
  <c r="AF59" i="1" s="1"/>
  <c r="AE60" i="1"/>
  <c r="AF60" i="1" s="1"/>
  <c r="S64" i="1"/>
  <c r="T64" i="1" s="1"/>
  <c r="AE65" i="1"/>
  <c r="AF65" i="1" s="1"/>
  <c r="S70" i="1"/>
  <c r="T70" i="1" s="1"/>
  <c r="S73" i="1"/>
  <c r="T73" i="1" s="1"/>
  <c r="S77" i="1"/>
  <c r="T77" i="1" s="1"/>
  <c r="AI80" i="1"/>
  <c r="AJ80" i="1" s="1"/>
  <c r="W82" i="1"/>
  <c r="X82" i="1" s="1"/>
  <c r="AI50" i="1"/>
  <c r="AJ50" i="1" s="1"/>
  <c r="AA51" i="1"/>
  <c r="AB51" i="1" s="1"/>
  <c r="AE52" i="1"/>
  <c r="AF52" i="1" s="1"/>
  <c r="AE63" i="1"/>
  <c r="AF63" i="1" s="1"/>
  <c r="AE64" i="1"/>
  <c r="AF64" i="1" s="1"/>
  <c r="S68" i="1"/>
  <c r="T68" i="1" s="1"/>
  <c r="W68" i="1"/>
  <c r="X68" i="1" s="1"/>
  <c r="AE68" i="1"/>
  <c r="AF68" i="1" s="1"/>
  <c r="AE71" i="1"/>
  <c r="AF71" i="1" s="1"/>
  <c r="AA72" i="1"/>
  <c r="AB72" i="1" s="1"/>
  <c r="AI72" i="1"/>
  <c r="AJ72" i="1" s="1"/>
  <c r="S76" i="1"/>
  <c r="T76" i="1" s="1"/>
  <c r="W76" i="1"/>
  <c r="X76" i="1" s="1"/>
  <c r="AA77" i="1"/>
  <c r="AB77" i="1" s="1"/>
  <c r="S79" i="1"/>
  <c r="T79" i="1" s="1"/>
  <c r="AI79" i="1"/>
  <c r="AJ79" i="1" s="1"/>
  <c r="AA43" i="1"/>
  <c r="AB43" i="1" s="1"/>
  <c r="AA48" i="1"/>
  <c r="AB48" i="1" s="1"/>
  <c r="S51" i="1"/>
  <c r="T51" i="1" s="1"/>
  <c r="AE51" i="1"/>
  <c r="AF51" i="1" s="1"/>
  <c r="AI52" i="1"/>
  <c r="AJ52" i="1" s="1"/>
  <c r="AI55" i="1"/>
  <c r="AJ55" i="1" s="1"/>
  <c r="S57" i="1"/>
  <c r="T57" i="1" s="1"/>
  <c r="AI58" i="1"/>
  <c r="AJ58" i="1" s="1"/>
  <c r="M59" i="1"/>
  <c r="N60" i="1"/>
  <c r="O60" i="1" s="1"/>
  <c r="S63" i="1"/>
  <c r="T63" i="1" s="1"/>
  <c r="W63" i="1"/>
  <c r="X63" i="1" s="1"/>
  <c r="AI63" i="1"/>
  <c r="AJ63" i="1" s="1"/>
  <c r="AA65" i="1"/>
  <c r="AB65" i="1" s="1"/>
  <c r="W71" i="1"/>
  <c r="X71" i="1" s="1"/>
  <c r="AI71" i="1"/>
  <c r="AJ71" i="1" s="1"/>
  <c r="S74" i="1"/>
  <c r="T74" i="1" s="1"/>
  <c r="AA74" i="1"/>
  <c r="AB74" i="1" s="1"/>
  <c r="AI74" i="1"/>
  <c r="AJ74" i="1" s="1"/>
  <c r="AA76" i="1"/>
  <c r="AB76" i="1" s="1"/>
  <c r="AI76" i="1"/>
  <c r="AJ76" i="1" s="1"/>
  <c r="AA79" i="1"/>
  <c r="AB79" i="1" s="1"/>
  <c r="AI81" i="1"/>
  <c r="AJ81" i="1" s="1"/>
  <c r="T2" i="1"/>
  <c r="N79" i="1"/>
  <c r="O79" i="1" s="1"/>
  <c r="M79" i="1"/>
  <c r="M6" i="1"/>
  <c r="AA15" i="1"/>
  <c r="AB15" i="1" s="1"/>
  <c r="AI15" i="1"/>
  <c r="AJ15" i="1" s="1"/>
  <c r="AA31" i="1"/>
  <c r="AB31" i="1" s="1"/>
  <c r="AI31" i="1"/>
  <c r="AJ31" i="1" s="1"/>
  <c r="S6" i="1"/>
  <c r="T6" i="1" s="1"/>
  <c r="N7" i="1"/>
  <c r="O7" i="1" s="1"/>
  <c r="M7" i="1"/>
  <c r="M14" i="1"/>
  <c r="N14" i="1"/>
  <c r="O14" i="1" s="1"/>
  <c r="M16" i="1"/>
  <c r="S20" i="1"/>
  <c r="T20" i="1" s="1"/>
  <c r="W20" i="1"/>
  <c r="X20" i="1" s="1"/>
  <c r="AI20" i="1"/>
  <c r="AJ20" i="1" s="1"/>
  <c r="N21" i="1"/>
  <c r="O21" i="1" s="1"/>
  <c r="M21" i="1"/>
  <c r="S23" i="1"/>
  <c r="T23" i="1" s="1"/>
  <c r="M30" i="1"/>
  <c r="N30" i="1"/>
  <c r="O30" i="1" s="1"/>
  <c r="M32" i="1"/>
  <c r="M52" i="1"/>
  <c r="N52" i="1"/>
  <c r="O52" i="1" s="1"/>
  <c r="N3" i="1"/>
  <c r="O3" i="1" s="1"/>
  <c r="M3" i="1"/>
  <c r="AI5" i="1"/>
  <c r="AJ5" i="1" s="1"/>
  <c r="N13" i="1"/>
  <c r="O13" i="1" s="1"/>
  <c r="M13" i="1"/>
  <c r="M22" i="1"/>
  <c r="N22" i="1"/>
  <c r="O22" i="1" s="1"/>
  <c r="N29" i="1"/>
  <c r="O29" i="1" s="1"/>
  <c r="M29" i="1"/>
  <c r="S5" i="1"/>
  <c r="T5" i="1" s="1"/>
  <c r="M36" i="1"/>
  <c r="N36" i="1"/>
  <c r="O36" i="1" s="1"/>
  <c r="AA2" i="1"/>
  <c r="AB2" i="1" s="1"/>
  <c r="AI2" i="1"/>
  <c r="AJ2" i="1" s="1"/>
  <c r="W6" i="1"/>
  <c r="X6" i="1" s="1"/>
  <c r="AE6" i="1"/>
  <c r="AF6" i="1" s="1"/>
  <c r="AA10" i="1"/>
  <c r="AB10" i="1" s="1"/>
  <c r="W15" i="1"/>
  <c r="X15" i="1" s="1"/>
  <c r="AE15" i="1"/>
  <c r="AF15" i="1" s="1"/>
  <c r="AA23" i="1"/>
  <c r="AB23" i="1" s="1"/>
  <c r="AI23" i="1"/>
  <c r="AJ23" i="1" s="1"/>
  <c r="S25" i="1"/>
  <c r="T25" i="1" s="1"/>
  <c r="AA25" i="1"/>
  <c r="AB25" i="1" s="1"/>
  <c r="AI25" i="1"/>
  <c r="AJ25" i="1" s="1"/>
  <c r="W31" i="1"/>
  <c r="X31" i="1" s="1"/>
  <c r="AE31" i="1"/>
  <c r="AF31" i="1" s="1"/>
  <c r="AE33" i="1"/>
  <c r="AF33" i="1" s="1"/>
  <c r="AA61" i="1"/>
  <c r="AB61" i="1" s="1"/>
  <c r="N75" i="1"/>
  <c r="O75" i="1" s="1"/>
  <c r="M75" i="1"/>
  <c r="S39" i="1"/>
  <c r="T39" i="1" s="1"/>
  <c r="N42" i="1"/>
  <c r="O42" i="1" s="1"/>
  <c r="M42" i="1"/>
  <c r="W47" i="1"/>
  <c r="X47" i="1" s="1"/>
  <c r="AE47" i="1"/>
  <c r="AF47" i="1" s="1"/>
  <c r="S55" i="1"/>
  <c r="T55" i="1" s="1"/>
  <c r="N58" i="1"/>
  <c r="O58" i="1" s="1"/>
  <c r="M58" i="1"/>
  <c r="S61" i="1"/>
  <c r="T61" i="1" s="1"/>
  <c r="AA66" i="1"/>
  <c r="AB66" i="1" s="1"/>
  <c r="S66" i="1"/>
  <c r="T66" i="1" s="1"/>
  <c r="AE67" i="1"/>
  <c r="AF67" i="1" s="1"/>
  <c r="N39" i="1"/>
  <c r="O39" i="1" s="1"/>
  <c r="M39" i="1"/>
  <c r="AE13" i="1"/>
  <c r="AF13" i="1" s="1"/>
  <c r="W17" i="1"/>
  <c r="X17" i="1" s="1"/>
  <c r="AE21" i="1"/>
  <c r="AF21" i="1" s="1"/>
  <c r="W25" i="1"/>
  <c r="X25" i="1" s="1"/>
  <c r="AE29" i="1"/>
  <c r="AF29" i="1" s="1"/>
  <c r="W33" i="1"/>
  <c r="X33" i="1" s="1"/>
  <c r="W35" i="1"/>
  <c r="X35" i="1" s="1"/>
  <c r="AA38" i="1"/>
  <c r="AB38" i="1" s="1"/>
  <c r="AI39" i="1"/>
  <c r="AJ39" i="1" s="1"/>
  <c r="AA46" i="1"/>
  <c r="AB46" i="1" s="1"/>
  <c r="N50" i="1"/>
  <c r="O50" i="1" s="1"/>
  <c r="M50" i="1"/>
  <c r="W55" i="1"/>
  <c r="X55" i="1" s="1"/>
  <c r="AE55" i="1"/>
  <c r="AF55" i="1" s="1"/>
  <c r="AI61" i="1"/>
  <c r="AJ61" i="1" s="1"/>
  <c r="N71" i="1"/>
  <c r="O71" i="1" s="1"/>
  <c r="M71" i="1"/>
  <c r="S62" i="1"/>
  <c r="T62" i="1" s="1"/>
  <c r="N63" i="1"/>
  <c r="O63" i="1" s="1"/>
  <c r="M63" i="1"/>
  <c r="AA67" i="1"/>
  <c r="AB67" i="1" s="1"/>
  <c r="W75" i="1"/>
  <c r="X75" i="1" s="1"/>
  <c r="AI75" i="1"/>
  <c r="AJ75" i="1" s="1"/>
  <c r="N40" i="1"/>
  <c r="O40" i="1" s="1"/>
  <c r="M47" i="1"/>
  <c r="N48" i="1"/>
  <c r="O48" i="1" s="1"/>
  <c r="M55" i="1"/>
  <c r="W62" i="1"/>
  <c r="X62" i="1" s="1"/>
  <c r="AE62" i="1"/>
  <c r="AF62" i="1" s="1"/>
  <c r="S67" i="1"/>
  <c r="T67" i="1" s="1"/>
  <c r="AA68" i="1"/>
  <c r="AB68" i="1" s="1"/>
  <c r="AI68" i="1"/>
  <c r="AJ68" i="1" s="1"/>
  <c r="AA75" i="1"/>
  <c r="AB75" i="1" s="1"/>
  <c r="W70" i="1"/>
  <c r="X70" i="1" s="1"/>
  <c r="AI73" i="1"/>
  <c r="AJ73" i="1" s="1"/>
  <c r="AI77" i="1"/>
  <c r="AJ77" i="1" s="1"/>
  <c r="M80" i="1"/>
  <c r="N80" i="1"/>
  <c r="O80" i="1" s="1"/>
  <c r="AE81" i="1"/>
  <c r="AF81" i="1" s="1"/>
  <c r="M68" i="1"/>
  <c r="N69" i="1"/>
  <c r="O69" i="1" s="1"/>
  <c r="AI70" i="1"/>
  <c r="AJ70" i="1" s="1"/>
  <c r="M72" i="1"/>
  <c r="N72" i="1"/>
  <c r="O72" i="1" s="1"/>
  <c r="AE73" i="1"/>
  <c r="AF73" i="1" s="1"/>
  <c r="S75" i="1"/>
  <c r="T75" i="1" s="1"/>
  <c r="M76" i="1"/>
  <c r="N76" i="1"/>
  <c r="O76" i="1" s="1"/>
  <c r="AE77" i="1"/>
  <c r="AF77" i="1" s="1"/>
  <c r="W79" i="1"/>
  <c r="X79" i="1" s="1"/>
  <c r="AE79" i="1"/>
  <c r="AF79" i="1" s="1"/>
  <c r="AA81" i="1"/>
  <c r="AB81" i="1" s="1"/>
  <c r="D15" i="2" l="1"/>
  <c r="D36" i="2"/>
  <c r="C19" i="2"/>
  <c r="D11" i="2"/>
  <c r="C53" i="2"/>
  <c r="D24" i="2"/>
  <c r="C17" i="2"/>
  <c r="D54" i="2"/>
  <c r="C13" i="2"/>
  <c r="C15" i="2"/>
  <c r="D21" i="2"/>
  <c r="C26" i="2"/>
  <c r="D22" i="2"/>
  <c r="C47" i="2"/>
  <c r="C45" i="2"/>
  <c r="C6" i="2"/>
  <c r="C5" i="2"/>
  <c r="C54" i="2"/>
  <c r="C23" i="2"/>
  <c r="D28" i="2"/>
  <c r="D18" i="2"/>
  <c r="C35" i="2"/>
  <c r="C37" i="2"/>
  <c r="C31" i="2"/>
  <c r="D17" i="2"/>
  <c r="D41" i="2"/>
  <c r="C2" i="2"/>
  <c r="D2" i="2" s="1"/>
  <c r="C3" i="2"/>
  <c r="D3" i="2" s="1"/>
  <c r="D55" i="2"/>
  <c r="D19" i="2"/>
  <c r="D33" i="2"/>
  <c r="D20" i="2"/>
  <c r="D37" i="2"/>
  <c r="D16" i="2"/>
  <c r="D27" i="2"/>
  <c r="C36" i="2"/>
  <c r="D34" i="2"/>
  <c r="D42" i="2"/>
  <c r="D29" i="2"/>
  <c r="D23" i="2"/>
  <c r="D14" i="2"/>
  <c r="C34" i="2"/>
  <c r="C41" i="2"/>
  <c r="C21" i="2"/>
  <c r="C4" i="2"/>
  <c r="C38" i="2"/>
  <c r="C11" i="2"/>
  <c r="C20" i="2"/>
  <c r="D40" i="2"/>
  <c r="D32" i="2"/>
  <c r="D10" i="2"/>
  <c r="C55" i="2"/>
  <c r="C10" i="2"/>
  <c r="C40" i="2"/>
  <c r="C42" i="2"/>
  <c r="D30" i="2"/>
  <c r="C28" i="2"/>
  <c r="C12" i="2"/>
  <c r="C30" i="2"/>
  <c r="D53" i="2"/>
  <c r="D35" i="2"/>
  <c r="D38" i="2"/>
  <c r="C18" i="2"/>
  <c r="C32" i="2"/>
  <c r="C14" i="2"/>
  <c r="C29" i="2"/>
  <c r="D12" i="2"/>
  <c r="D25" i="2"/>
  <c r="D39" i="2"/>
  <c r="C24" i="2"/>
  <c r="D13" i="2"/>
  <c r="C33" i="2"/>
  <c r="D9" i="2"/>
  <c r="C39" i="2"/>
  <c r="C25" i="2"/>
  <c r="C22" i="2"/>
  <c r="C16" i="2"/>
  <c r="C9" i="2"/>
  <c r="C27" i="2"/>
  <c r="D26" i="2"/>
  <c r="C48" i="2" l="1"/>
</calcChain>
</file>

<file path=xl/sharedStrings.xml><?xml version="1.0" encoding="utf-8"?>
<sst xmlns="http://schemas.openxmlformats.org/spreadsheetml/2006/main" count="1807" uniqueCount="1111">
  <si>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</si>
  <si>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</si>
  <si>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</si>
  <si>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</si>
  <si>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</si>
  <si>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</si>
  <si>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</si>
  <si>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</si>
  <si>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</si>
  <si>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</si>
  <si>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</si>
  <si>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$</t>
  </si>
  <si>
    <t>Nome_Empresa</t>
  </si>
  <si>
    <t>Segmento</t>
  </si>
  <si>
    <t>Idade</t>
  </si>
  <si>
    <t>Faixa Etária</t>
  </si>
  <si>
    <t>Variação Sem %</t>
  </si>
  <si>
    <t>Variação Mês %</t>
  </si>
  <si>
    <t>Variação Ano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</si>
  <si>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</si>
  <si>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</si>
  <si>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</si>
  <si>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</si>
  <si>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</si>
  <si>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</si>
  <si>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</si>
  <si>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</si>
  <si>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</si>
  <si>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</si>
  <si>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</si>
  <si>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</si>
  <si>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</si>
  <si>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</si>
  <si>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</si>
  <si>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</si>
  <si>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</si>
  <si>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</si>
  <si>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</si>
  <si>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</si>
  <si>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</si>
  <si>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</si>
  <si>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</si>
  <si>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</si>
  <si>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</si>
  <si>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</si>
  <si>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</si>
  <si>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</si>
  <si>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</si>
  <si>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</si>
  <si>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</si>
  <si>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</si>
  <si>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</si>
  <si>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</si>
  <si>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</si>
  <si>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</si>
  <si>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</si>
  <si>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</si>
  <si>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</si>
  <si>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</si>
  <si>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</si>
  <si>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</si>
  <si>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</si>
  <si>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</si>
  <si>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</si>
  <si>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</si>
  <si>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</si>
  <si>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</si>
  <si>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</si>
  <si>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</si>
  <si>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</si>
  <si>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</si>
  <si>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</si>
  <si>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</si>
  <si>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</si>
  <si>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</si>
  <si>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</si>
  <si>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</si>
  <si>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</si>
  <si>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</si>
  <si>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</si>
  <si>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</si>
  <si>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</si>
  <si>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</si>
  <si>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</si>
  <si>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</si>
  <si>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</si>
  <si>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</si>
  <si>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</si>
  <si>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</si>
  <si>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</si>
  <si>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</si>
  <si>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</si>
  <si>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</si>
  <si>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</si>
  <si>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</si>
  <si>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</si>
  <si>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</si>
  <si>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</si>
  <si>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</si>
  <si>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</si>
  <si>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</si>
  <si>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</si>
  <si>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</si>
  <si>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</si>
  <si>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</si>
  <si>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</si>
  <si>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</si>
  <si>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</si>
  <si>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</si>
  <si>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</si>
  <si>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</si>
  <si>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</si>
  <si>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</si>
  <si>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</si>
  <si>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</si>
  <si>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</si>
  <si>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</si>
  <si>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</si>
  <si>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</si>
  <si>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</si>
  <si>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</si>
  <si>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</si>
  <si>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</si>
  <si>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</si>
  <si>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</si>
  <si>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</si>
  <si>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</si>
  <si>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</si>
  <si>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</si>
  <si>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</si>
  <si>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</si>
  <si>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</si>
  <si>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</si>
  <si>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</si>
  <si>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</si>
  <si>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</si>
  <si>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</si>
  <si>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</si>
  <si>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</si>
  <si>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</si>
  <si>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</si>
  <si>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</si>
  <si>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</si>
  <si>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</si>
  <si>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</si>
  <si>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</si>
  <si>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</si>
  <si>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</si>
  <si>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</si>
  <si>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</si>
  <si>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</si>
  <si>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</si>
  <si>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</si>
  <si>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</si>
  <si>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</si>
  <si>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</si>
  <si>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</si>
  <si>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</si>
  <si>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</si>
  <si>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</si>
  <si>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</si>
  <si>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</si>
  <si>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</si>
  <si>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</si>
  <si>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</si>
  <si>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</si>
  <si>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</si>
  <si>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</si>
  <si>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</si>
  <si>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</si>
  <si>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</si>
  <si>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</si>
  <si>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</si>
  <si>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</si>
  <si>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</si>
  <si>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</si>
  <si>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</si>
  <si>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</si>
  <si>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</si>
  <si>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</si>
  <si>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</si>
  <si>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</si>
  <si>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</si>
  <si>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</si>
  <si>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</si>
  <si>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</si>
  <si>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</si>
  <si>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</si>
  <si>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</si>
  <si>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</si>
  <si>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</si>
  <si>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</si>
  <si>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</si>
  <si>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</si>
  <si>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</si>
  <si>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</si>
  <si>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</si>
  <si>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</si>
  <si>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</si>
  <si>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</si>
  <si>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</si>
  <si>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</si>
  <si>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</si>
  <si>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</si>
  <si>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</si>
  <si>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</si>
  <si>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</si>
  <si>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</si>
  <si>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</si>
  <si>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</si>
  <si>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</si>
  <si>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</si>
  <si>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</si>
  <si>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</si>
  <si>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</si>
  <si>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</si>
  <si>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</si>
  <si>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</si>
  <si>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</si>
  <si>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</si>
  <si>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</si>
  <si>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</si>
  <si>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</si>
  <si>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</si>
  <si>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</si>
  <si>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</si>
  <si>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</si>
  <si>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</si>
  <si>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</si>
  <si>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</si>
  <si>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</si>
  <si>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</si>
  <si>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</si>
  <si>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</si>
  <si>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</si>
  <si>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</si>
  <si>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</si>
  <si>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</si>
  <si>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</si>
  <si>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</si>
  <si>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</si>
  <si>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</si>
  <si>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</si>
  <si>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</si>
  <si>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</si>
  <si>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</si>
  <si>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</si>
  <si>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</si>
  <si>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</si>
  <si>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</si>
  <si>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</si>
  <si>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</si>
  <si>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</si>
  <si>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</si>
  <si>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</si>
  <si>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</si>
  <si>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</si>
  <si>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</si>
  <si>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</si>
  <si>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</si>
  <si>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</si>
  <si>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</si>
  <si>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</si>
  <si>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</si>
  <si>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</si>
  <si>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</si>
  <si>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</si>
  <si>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</si>
  <si>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</si>
  <si>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</si>
  <si>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</si>
  <si>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</si>
  <si>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</si>
  <si>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</si>
  <si>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</si>
  <si>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</si>
  <si>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</si>
  <si>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</si>
  <si>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</si>
  <si>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</si>
  <si>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</si>
  <si>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</si>
  <si>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</si>
  <si>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</si>
  <si>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</si>
  <si>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</si>
  <si>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</si>
  <si>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</si>
  <si>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</si>
  <si>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</si>
  <si>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</si>
  <si>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</si>
  <si>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</si>
  <si>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</si>
  <si>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</si>
  <si>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</si>
  <si>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</si>
  <si>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</si>
  <si>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</si>
  <si>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</si>
  <si>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</si>
  <si>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</si>
  <si>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</si>
  <si>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</si>
  <si>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</si>
  <si>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</si>
  <si>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</si>
  <si>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</si>
  <si>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</si>
  <si>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</si>
  <si>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</si>
  <si>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</si>
  <si>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</si>
  <si>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</si>
  <si>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</si>
  <si>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</si>
  <si>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</si>
  <si>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</si>
  <si>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</si>
  <si>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</si>
  <si>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</si>
  <si>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</si>
  <si>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</si>
  <si>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</si>
  <si>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</si>
  <si>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</si>
  <si>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</si>
  <si>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</si>
  <si>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</si>
  <si>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</si>
  <si>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</si>
  <si>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</si>
  <si>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</si>
  <si>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</si>
  <si>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</si>
  <si>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</si>
  <si>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</si>
  <si>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</si>
  <si>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</si>
  <si>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</si>
  <si>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</si>
  <si>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</si>
  <si>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</si>
  <si>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</si>
  <si>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</si>
  <si>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</si>
  <si>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</si>
  <si>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</si>
  <si>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</si>
  <si>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</si>
  <si>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</si>
  <si>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</si>
  <si>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</si>
  <si>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</si>
  <si>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</si>
  <si>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</si>
  <si>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</si>
  <si>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</si>
  <si>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</si>
  <si>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</si>
  <si>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</si>
  <si>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</si>
  <si>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</si>
  <si>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</si>
  <si>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</si>
  <si>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</si>
  <si>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</si>
  <si>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</si>
  <si>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</si>
  <si>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</si>
  <si>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</si>
  <si>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</si>
  <si>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</si>
  <si>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</si>
  <si>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</si>
  <si>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</si>
  <si>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</si>
  <si>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</si>
  <si>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</si>
  <si>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</si>
  <si>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</si>
  <si>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</si>
  <si>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</si>
  <si>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</si>
  <si>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</si>
  <si>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</si>
  <si>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</si>
  <si>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</si>
  <si>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</si>
  <si>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</si>
  <si>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</si>
  <si>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</si>
  <si>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</si>
  <si>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</si>
  <si>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</si>
  <si>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</si>
  <si>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</si>
  <si>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</si>
  <si>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</si>
  <si>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</si>
  <si>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</si>
  <si>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</si>
  <si>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</si>
  <si>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</si>
  <si>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</si>
  <si>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</si>
  <si>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</si>
  <si>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</si>
  <si>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</si>
  <si>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</si>
  <si>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</si>
  <si>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</si>
  <si>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</si>
  <si>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</si>
  <si>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</si>
  <si>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</si>
  <si>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</si>
  <si>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</si>
  <si>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</si>
  <si>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</si>
  <si>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</si>
  <si>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</si>
  <si>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</si>
  <si>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</si>
  <si>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</si>
  <si>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</si>
  <si>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</si>
  <si>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</si>
  <si>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</si>
  <si>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</si>
  <si>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</si>
  <si>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</si>
  <si>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</si>
  <si>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</si>
  <si>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</si>
  <si>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</si>
  <si>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</si>
  <si>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</si>
  <si>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</si>
  <si>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</si>
  <si>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</si>
  <si>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</si>
  <si>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</si>
  <si>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</si>
  <si>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</si>
  <si>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</si>
  <si>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</si>
  <si>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</si>
  <si>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</si>
  <si>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</si>
  <si>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</si>
  <si>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</si>
  <si>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</si>
  <si>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</si>
  <si>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</si>
  <si>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</si>
  <si>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</si>
  <si>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</si>
  <si>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</si>
  <si>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</si>
  <si>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</si>
  <si>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</si>
  <si>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</si>
  <si>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</si>
  <si>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</si>
  <si>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</si>
  <si>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</si>
  <si>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</si>
  <si>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</si>
  <si>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</si>
  <si>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</si>
  <si>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</si>
  <si>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</si>
  <si>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</si>
  <si>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</si>
  <si>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</si>
  <si>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</si>
  <si>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</si>
  <si>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</si>
  <si>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</si>
  <si>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</si>
  <si>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</si>
  <si>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</si>
  <si>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</si>
  <si>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</si>
  <si>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</si>
  <si>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</si>
  <si>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</si>
  <si>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</si>
  <si>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</si>
  <si>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</si>
  <si>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</si>
  <si>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</si>
  <si>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</si>
  <si>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</si>
  <si>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</si>
  <si>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</si>
  <si>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</si>
  <si>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</si>
  <si>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</si>
  <si>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</si>
  <si>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</si>
  <si>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</si>
  <si>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</si>
  <si>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</si>
  <si>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</si>
  <si>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</si>
  <si>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</si>
  <si>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</si>
  <si>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</si>
  <si>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</si>
  <si>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</si>
  <si>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</si>
  <si>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</si>
  <si>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</si>
  <si>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</si>
  <si>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</si>
  <si>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</si>
  <si>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</si>
  <si>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</si>
  <si>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</si>
  <si>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</si>
  <si>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</si>
  <si>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</si>
  <si>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</si>
  <si>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</si>
  <si>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</si>
  <si>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</si>
  <si>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</si>
  <si>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</si>
  <si>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</si>
  <si>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</si>
  <si>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</si>
  <si>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</si>
  <si>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</si>
  <si>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</si>
  <si>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</si>
  <si>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</si>
  <si>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</si>
  <si>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</si>
  <si>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</si>
  <si>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</si>
  <si>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</si>
  <si>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</si>
  <si>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</si>
  <si>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</si>
  <si>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</si>
  <si>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</si>
  <si>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</si>
  <si>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</si>
  <si>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</si>
  <si>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</si>
  <si>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</si>
  <si>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</si>
  <si>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</si>
  <si>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</si>
  <si>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</si>
  <si>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</si>
  <si>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</si>
  <si>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</si>
  <si>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</si>
  <si>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</si>
  <si>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</si>
  <si>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</si>
  <si>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</si>
  <si>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</si>
  <si>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</si>
  <si>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</si>
  <si>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</si>
  <si>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</si>
  <si>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</si>
  <si>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</si>
  <si>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</si>
  <si>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</si>
  <si>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</si>
  <si>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</si>
  <si>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</si>
  <si>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</si>
  <si>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</si>
  <si>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</si>
  <si>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</si>
  <si>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</si>
  <si>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</si>
  <si>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</si>
  <si>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</si>
  <si>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</si>
  <si>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</si>
  <si>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</si>
  <si>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</si>
  <si>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</si>
  <si>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</si>
  <si>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</si>
  <si>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</si>
  <si>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</si>
  <si>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</si>
  <si>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</si>
  <si>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</si>
  <si>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</si>
  <si>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</si>
  <si>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</si>
  <si>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</si>
  <si>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</si>
  <si>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</si>
  <si>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</si>
  <si>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</si>
  <si>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</si>
  <si>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</si>
  <si>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</si>
  <si>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</si>
  <si>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</si>
  <si>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</si>
  <si>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</si>
  <si>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</si>
  <si>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</si>
  <si>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</si>
  <si>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</si>
  <si>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</si>
  <si>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</si>
  <si>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</si>
  <si>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</si>
  <si>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</si>
  <si>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</si>
  <si>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</si>
  <si>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</si>
  <si>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</si>
  <si>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</si>
  <si>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</si>
  <si>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</si>
  <si>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</si>
  <si>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</si>
  <si>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</si>
  <si>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</si>
  <si>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</si>
  <si>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</si>
  <si>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</si>
  <si>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</si>
  <si>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</si>
  <si>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</si>
  <si>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</si>
  <si>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</si>
  <si>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</si>
  <si>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</si>
  <si>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</si>
  <si>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</si>
  <si>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</si>
  <si>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</si>
  <si>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</si>
  <si>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</si>
  <si>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</si>
  <si>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</si>
  <si>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</si>
  <si>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</si>
  <si>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</si>
  <si>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</si>
  <si>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</si>
  <si>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</si>
  <si>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</si>
  <si>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</si>
  <si>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</si>
  <si>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</si>
  <si>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</si>
  <si>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</si>
  <si>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</si>
  <si>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</si>
  <si>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</si>
  <si>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</si>
  <si>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</si>
  <si>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</si>
  <si>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</si>
  <si>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</si>
  <si>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</si>
  <si>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</si>
  <si>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</si>
  <si>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</si>
  <si>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</si>
  <si>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</si>
  <si>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</si>
  <si>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</si>
  <si>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</si>
  <si>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</si>
  <si>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</si>
  <si>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</si>
  <si>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</si>
  <si>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</si>
  <si>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</si>
  <si>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</si>
  <si>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</si>
  <si>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</si>
  <si>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</si>
  <si>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</si>
  <si>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</si>
  <si>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</si>
  <si>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</si>
  <si>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</si>
  <si>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</si>
  <si>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</si>
  <si>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</si>
  <si>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</si>
  <si>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</si>
  <si>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</si>
  <si>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</si>
  <si>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</si>
  <si>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</si>
  <si>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</si>
  <si>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</si>
  <si>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</si>
  <si>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</si>
  <si>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</si>
  <si>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</si>
  <si>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</si>
  <si>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</si>
  <si>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</si>
  <si>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</si>
  <si>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</si>
  <si>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</si>
  <si>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</si>
  <si>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</si>
  <si>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</si>
  <si>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</si>
  <si>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</si>
  <si>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</si>
  <si>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</si>
  <si>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</si>
  <si>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</si>
  <si>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</si>
  <si>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</si>
  <si>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</si>
  <si>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</si>
  <si>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</si>
  <si>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</si>
  <si>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</si>
  <si>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</si>
  <si>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</si>
  <si>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</si>
  <si>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</si>
  <si>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</si>
  <si>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</si>
  <si>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</si>
  <si>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</si>
  <si>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</si>
  <si>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</si>
  <si>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</si>
  <si>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</si>
  <si>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</si>
  <si>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</si>
  <si>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</si>
  <si>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</si>
  <si>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</si>
  <si>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</si>
  <si>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</si>
  <si>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</si>
  <si>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</si>
  <si>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</si>
  <si>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</si>
  <si>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</si>
  <si>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</si>
  <si>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</si>
  <si>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</si>
  <si>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</si>
  <si>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</si>
  <si>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</si>
  <si>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</si>
  <si>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</si>
  <si>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</si>
  <si>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</si>
  <si>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</si>
  <si>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</si>
  <si>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</si>
  <si>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</si>
  <si>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</si>
  <si>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</si>
  <si>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</si>
  <si>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</si>
  <si>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</si>
  <si>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</si>
  <si>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</si>
  <si>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</si>
  <si>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</si>
  <si>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</si>
  <si>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</si>
  <si>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</si>
  <si>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</si>
  <si>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</si>
  <si>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</si>
  <si>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</si>
  <si>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</si>
  <si>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</si>
  <si>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</si>
  <si>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</si>
  <si>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</si>
  <si>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</si>
  <si>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</si>
  <si>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</si>
  <si>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</si>
  <si>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</si>
  <si>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</si>
  <si>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</si>
  <si>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</si>
  <si>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</si>
  <si>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</si>
  <si>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</si>
  <si>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</si>
  <si>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</si>
  <si>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</si>
  <si>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</si>
  <si>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</si>
  <si>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</si>
  <si>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</si>
  <si>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</si>
  <si>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</si>
  <si>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</si>
  <si>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</si>
  <si>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</si>
  <si>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</si>
  <si>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</si>
  <si>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</si>
  <si>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</si>
  <si>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</si>
  <si>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</si>
  <si>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</si>
  <si>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</si>
  <si>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</si>
  <si>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</si>
  <si>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</si>
  <si>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</si>
  <si>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</si>
  <si>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</si>
  <si>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</si>
  <si>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</si>
  <si>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</si>
  <si>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</si>
  <si>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</si>
  <si>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</si>
  <si>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</si>
  <si>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</si>
  <si>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</si>
  <si>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</si>
  <si>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</si>
  <si>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</si>
  <si>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</si>
  <si>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</si>
  <si>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</si>
  <si>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</si>
  <si>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</si>
  <si>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</si>
  <si>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</si>
  <si>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</si>
  <si>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</si>
  <si>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</si>
  <si>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</si>
  <si>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</si>
  <si>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</si>
  <si>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</si>
  <si>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</si>
  <si>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</si>
  <si>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</si>
  <si>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</si>
  <si>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</si>
  <si>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</si>
  <si>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</si>
  <si>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</si>
  <si>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</si>
  <si>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</si>
  <si>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</si>
  <si>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</si>
  <si>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</si>
  <si>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</si>
  <si>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</si>
  <si>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</si>
  <si>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</si>
  <si>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</si>
  <si>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</si>
  <si>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</si>
  <si>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</si>
  <si>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</si>
  <si>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</si>
  <si>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</si>
  <si>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</si>
  <si>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</si>
  <si>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</si>
  <si>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</si>
  <si>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</si>
  <si>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</si>
  <si>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</si>
  <si>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</si>
  <si>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</si>
  <si>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</si>
  <si>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</si>
  <si>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</si>
  <si>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</si>
  <si>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</si>
  <si>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</si>
  <si>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</si>
  <si>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</si>
  <si>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</si>
  <si>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</si>
  <si>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</si>
  <si>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</si>
  <si>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</si>
  <si>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</si>
  <si>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</si>
  <si>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</si>
  <si>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</si>
  <si>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</si>
  <si>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</si>
  <si>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</si>
  <si>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</si>
  <si>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</si>
  <si>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</si>
  <si>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</si>
  <si>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</si>
  <si>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</si>
  <si>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</si>
  <si>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</si>
  <si>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</si>
  <si>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</si>
  <si>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</si>
  <si>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</si>
  <si>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</si>
  <si>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</si>
  <si>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</si>
  <si>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</si>
  <si>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</si>
  <si>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</si>
  <si>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</si>
  <si>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</si>
  <si>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</si>
  <si>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</si>
  <si>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</si>
  <si>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</si>
  <si>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</si>
  <si>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</si>
  <si>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</si>
  <si>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</si>
  <si>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</si>
  <si>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</si>
  <si>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</si>
  <si>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</si>
  <si>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</si>
  <si>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</si>
  <si>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</si>
  <si>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</si>
  <si>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</si>
  <si>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</si>
  <si>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</si>
  <si>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</si>
  <si>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</si>
  <si>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</si>
  <si>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</si>
  <si>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</si>
  <si>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</si>
  <si>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</si>
  <si>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</si>
  <si>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</si>
  <si>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</si>
  <si>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</si>
  <si>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</si>
  <si>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</si>
  <si>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</si>
  <si>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</si>
  <si>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</si>
  <si>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</si>
  <si>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</si>
  <si>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</si>
  <si>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</si>
  <si>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</si>
  <si>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</si>
  <si>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</si>
  <si>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</si>
  <si>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</si>
  <si>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</si>
  <si>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</si>
  <si>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</si>
  <si>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</si>
  <si>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</si>
  <si>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</si>
  <si>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</si>
  <si>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</si>
  <si>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</si>
  <si>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</si>
  <si>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</si>
  <si>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</si>
  <si>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</si>
  <si>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</si>
  <si>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</si>
  <si>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</si>
  <si>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</si>
  <si>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</si>
  <si>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</si>
  <si>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</si>
  <si>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</si>
  <si>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</si>
  <si>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</si>
  <si>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</si>
  <si>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</si>
  <si>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</si>
  <si>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</si>
  <si>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</si>
  <si>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</si>
  <si>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</si>
  <si>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</si>
  <si>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</si>
  <si>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</si>
  <si>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</si>
  <si>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</si>
  <si>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</si>
  <si>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</si>
  <si>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</si>
  <si>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</si>
  <si>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</si>
  <si>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</si>
  <si>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</si>
  <si>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</si>
  <si>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</si>
  <si>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</si>
  <si>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</si>
  <si>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</si>
  <si>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</si>
  <si>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</si>
  <si>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</si>
  <si>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</si>
  <si>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</si>
  <si>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</si>
  <si>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</si>
  <si>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</si>
  <si>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</si>
  <si>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</si>
  <si>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</si>
  <si>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</si>
  <si>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</si>
  <si>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</si>
  <si>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</si>
  <si>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</si>
  <si>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</si>
  <si>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</si>
  <si>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</si>
  <si>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</si>
  <si>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</si>
  <si>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</si>
  <si>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</si>
  <si>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</si>
  <si>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</si>
  <si>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</si>
  <si>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</si>
  <si>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</si>
  <si>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</si>
  <si>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</si>
  <si>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</si>
  <si>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</si>
  <si>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</si>
  <si>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</si>
  <si>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</si>
  <si>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</si>
  <si>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</si>
  <si>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</si>
  <si>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</si>
  <si>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</si>
  <si>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</si>
  <si>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</si>
  <si>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</si>
  <si>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</si>
  <si>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(fundação ou início de operações)</t>
  </si>
  <si>
    <t>idade</t>
  </si>
  <si>
    <t>Siderurgia e Metalurgia</t>
  </si>
  <si>
    <t>Petróleo e Gás Natural</t>
  </si>
  <si>
    <t>Energia Elétrica</t>
  </si>
  <si>
    <t>Serviços Financeiros</t>
  </si>
  <si>
    <t>Transporte Aéreo</t>
  </si>
  <si>
    <t>Construção Civil</t>
  </si>
  <si>
    <t>Calçados</t>
  </si>
  <si>
    <t>Transporte Ferroviário</t>
  </si>
  <si>
    <t>Comércio e Distribuição</t>
  </si>
  <si>
    <t>Investimentos</t>
  </si>
  <si>
    <t>Tecnologia da Informação</t>
  </si>
  <si>
    <t>Farmácias</t>
  </si>
  <si>
    <t>Energia e Infraestrutura</t>
  </si>
  <si>
    <t>Logística e Transporte</t>
  </si>
  <si>
    <t>Equipamentos Elétricos e Eletrônicos</t>
  </si>
  <si>
    <t>Infraestrutura e Transporte</t>
  </si>
  <si>
    <t>Açúcar e Etanol</t>
  </si>
  <si>
    <t>Aluguel de Carros e Gestão de Frotas</t>
  </si>
  <si>
    <t>ATIVO</t>
  </si>
  <si>
    <t>ÚLTIMO (R$)</t>
  </si>
  <si>
    <t>VAR. DIA (%)</t>
  </si>
  <si>
    <t>VAL. MIN (R$)</t>
  </si>
  <si>
    <t>VAL. MÁX (R$)</t>
  </si>
  <si>
    <t>DATA</t>
  </si>
  <si>
    <t>Quantidade de ações</t>
  </si>
  <si>
    <t>Variacao %</t>
  </si>
  <si>
    <t>Valor Inicial</t>
  </si>
  <si>
    <t>Variação Dia %</t>
  </si>
  <si>
    <t>Valor Inicial Dia (R$)</t>
  </si>
  <si>
    <t>Qtd de acoes</t>
  </si>
  <si>
    <t>Variação Dia (R$)</t>
  </si>
  <si>
    <t>Resultado Dia</t>
  </si>
  <si>
    <t>Valor Inicial Sem (R$)</t>
  </si>
  <si>
    <t>Variação Sem (R$)</t>
  </si>
  <si>
    <t>Resultado Sem</t>
  </si>
  <si>
    <t>Valor Inicial Mês (R$)</t>
  </si>
  <si>
    <t>Variação Mês (R$)</t>
  </si>
  <si>
    <t>Resultado Mês</t>
  </si>
  <si>
    <t>Valor Inicial Ano (R$)</t>
  </si>
  <si>
    <t>Variação Ano (R$)</t>
  </si>
  <si>
    <t>Resultado Ano</t>
  </si>
  <si>
    <t>Variação 12M (%)</t>
  </si>
  <si>
    <t>Valor Inicial 12M (R$)</t>
  </si>
  <si>
    <t>Variação 12M (R$)</t>
  </si>
  <si>
    <t>Resultado 12M</t>
  </si>
  <si>
    <t>Qtd de empresas</t>
  </si>
  <si>
    <t>Variação em R$</t>
  </si>
  <si>
    <t>Variação em R$ de quem subiu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</si>
</sst>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_-* #,##0_-;\-* #,##0_-;_-* &quot;-&quot;??_-;_-@"/>
  </numFmts>
  <fonts count="18" x14ac:knownFonts="1">
    <font>
      <sz val="11"/>
      <color theme="1"/>
      <name val="aptos narrow"/>
      <scheme val="minor"/>
    </font>
    <font>
      <b/>
      <sz val="8"/>
      <color theme="1"/>
      <name val="Arial"/>
    </font>
    <font>
      <sz val="8"/>
      <color theme="1"/>
      <name val="Arial"/>
    </font>
    <font>
      <sz val="11"/>
      <color theme="1"/>
      <name val="Aptos narrow"/>
    </font>
    <font>
      <b/>
      <sz val="16"/>
      <color rgb="FFFF0000"/>
      <name val="Aptos narrow"/>
    </font>
    <font>
      <b/>
      <sz val="12"/>
      <color rgb="FF000000"/>
      <name val="Arial"/>
    </font>
    <font>
      <sz val="12"/>
      <color theme="1"/>
      <name val="Aptos narrow"/>
    </font>
    <font>
      <u/>
      <sz val="12"/>
      <color theme="10"/>
      <name val="Aptos narrow"/>
    </font>
    <font>
      <sz val="12"/>
      <color rgb="FF000000"/>
      <name val="Arial"/>
    </font>
    <font>
      <sz val="12"/>
      <color rgb="FF1EB980"/>
      <name val="Arial"/>
    </font>
    <font>
      <u/>
      <sz val="12"/>
      <color theme="10"/>
      <name val="Aptos narrow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b/>
      <sz val="10.5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11111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4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22" fontId="8" fillId="2" borderId="1" xfId="0" applyNumberFormat="1" applyFont="1" applyFill="1" applyBorder="1" applyAlignment="1">
      <alignment horizontal="right" vertical="center" wrapText="1"/>
    </xf>
    <xf numFmtId="165" fontId="6" fillId="0" borderId="0" xfId="0" applyNumberFormat="1" applyFont="1"/>
    <xf numFmtId="10" fontId="6" fillId="0" borderId="0" xfId="0" applyNumberFormat="1" applyFont="1"/>
    <xf numFmtId="2" fontId="6" fillId="0" borderId="0" xfId="0" applyNumberFormat="1" applyFont="1"/>
    <xf numFmtId="0" fontId="10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22" fontId="8" fillId="2" borderId="2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2" fillId="0" borderId="0" xfId="0" applyFont="1"/>
    <xf numFmtId="164" fontId="11" fillId="0" borderId="0" xfId="0" applyNumberFormat="1" applyFont="1"/>
    <xf numFmtId="0" fontId="13" fillId="5" borderId="0" xfId="0" applyFont="1" applyFill="1" applyAlignment="1">
      <alignment vertical="center"/>
    </xf>
    <xf numFmtId="164" fontId="13" fillId="5" borderId="0" xfId="0" applyNumberFormat="1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164" fontId="13" fillId="5" borderId="0" xfId="0" applyNumberFormat="1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15" fillId="0" borderId="0" xfId="0" applyFont="1"/>
    <xf numFmtId="0" fontId="16" fillId="0" borderId="0" xfId="0" applyFont="1"/>
    <xf numFmtId="14" fontId="16" fillId="0" borderId="0" xfId="0" applyNumberFormat="1" applyFont="1"/>
    <xf numFmtId="2" fontId="16" fillId="0" borderId="0" xfId="0" applyNumberFormat="1" applyFont="1"/>
    <xf numFmtId="0" fontId="17" fillId="4" borderId="0" xfId="0" applyFont="1" applyFill="1"/>
    <xf numFmtId="3" fontId="17" fillId="4" borderId="0" xfId="0" applyNumberFormat="1" applyFont="1" applyFill="1"/>
    <xf numFmtId="0" fontId="17" fillId="3" borderId="0" xfId="0" applyFont="1" applyFill="1"/>
    <xf numFmtId="2" fontId="17" fillId="3" borderId="0" xfId="0" applyNumberFormat="1" applyFont="1" applyFill="1"/>
    <xf numFmtId="164" fontId="17" fillId="3" borderId="0" xfId="0" applyNumberFormat="1" applyFont="1" applyFill="1"/>
    <xf numFmtId="0" fontId="17" fillId="0" borderId="0" xfId="0" applyFont="1"/>
    <xf numFmtId="2" fontId="17" fillId="0" borderId="0" xfId="0" applyNumberFormat="1" applyFont="1"/>
    <xf numFmtId="164" fontId="17" fillId="0" borderId="0" xfId="0" applyNumberFormat="1" applyFont="1"/>
    <xf numFmtId="0" fontId="17" fillId="0" borderId="1" xfId="0" applyFont="1" applyBorder="1" applyAlignment="1">
      <alignment horizontal="right"/>
    </xf>
    <xf numFmtId="2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right"/>
    </xf>
    <xf numFmtId="2" fontId="17" fillId="3" borderId="1" xfId="0" applyNumberFormat="1" applyFont="1" applyFill="1" applyBorder="1" applyAlignment="1">
      <alignment horizontal="right"/>
    </xf>
    <xf numFmtId="0" fontId="17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money.com.br/BRKM5" TargetMode="External"/><Relationship Id="rId18" Type="http://schemas.openxmlformats.org/officeDocument/2006/relationships/hyperlink" Target="https://www.infomoney.com.br/YDUQ3" TargetMode="External"/><Relationship Id="rId26" Type="http://schemas.openxmlformats.org/officeDocument/2006/relationships/hyperlink" Target="https://www.infomoney.com.br/RAIL3" TargetMode="External"/><Relationship Id="rId39" Type="http://schemas.openxmlformats.org/officeDocument/2006/relationships/hyperlink" Target="https://www.infomoney.com.br/GOAU4" TargetMode="External"/><Relationship Id="rId21" Type="http://schemas.openxmlformats.org/officeDocument/2006/relationships/hyperlink" Target="https://www.infomoney.com.br/BBDC4" TargetMode="External"/><Relationship Id="rId34" Type="http://schemas.openxmlformats.org/officeDocument/2006/relationships/hyperlink" Target="https://www.infomoney.com.br/KLBN11" TargetMode="External"/><Relationship Id="rId42" Type="http://schemas.openxmlformats.org/officeDocument/2006/relationships/hyperlink" Target="https://www.infomoney.com.br/BBDC3" TargetMode="External"/><Relationship Id="rId47" Type="http://schemas.openxmlformats.org/officeDocument/2006/relationships/hyperlink" Target="https://www.infomoney.com.br/VAMO3" TargetMode="External"/><Relationship Id="rId50" Type="http://schemas.openxmlformats.org/officeDocument/2006/relationships/hyperlink" Target="https://www.infomoney.com.br/MRFG3" TargetMode="External"/><Relationship Id="rId7" Type="http://schemas.openxmlformats.org/officeDocument/2006/relationships/hyperlink" Target="https://www.infomoney.com.br/PETR4" TargetMode="External"/><Relationship Id="rId2" Type="http://schemas.openxmlformats.org/officeDocument/2006/relationships/hyperlink" Target="https://www.infomoney.com.br/CMIN3" TargetMode="External"/><Relationship Id="rId16" Type="http://schemas.openxmlformats.org/officeDocument/2006/relationships/hyperlink" Target="https://www.infomoney.com.br/CSNA3" TargetMode="External"/><Relationship Id="rId29" Type="http://schemas.openxmlformats.org/officeDocument/2006/relationships/hyperlink" Target="https://www.infomoney.com.br/TIMS3" TargetMode="External"/><Relationship Id="rId11" Type="http://schemas.openxmlformats.org/officeDocument/2006/relationships/hyperlink" Target="https://www.infomoney.com.br/RDOR3" TargetMode="External"/><Relationship Id="rId24" Type="http://schemas.openxmlformats.org/officeDocument/2006/relationships/hyperlink" Target="https://www.infomoney.com.br/BRFS3" TargetMode="External"/><Relationship Id="rId32" Type="http://schemas.openxmlformats.org/officeDocument/2006/relationships/hyperlink" Target="https://www.infomoney.com.br/RECV3" TargetMode="External"/><Relationship Id="rId37" Type="http://schemas.openxmlformats.org/officeDocument/2006/relationships/hyperlink" Target="https://www.infomoney.com.br/RADL3" TargetMode="External"/><Relationship Id="rId40" Type="http://schemas.openxmlformats.org/officeDocument/2006/relationships/hyperlink" Target="https://www.infomoney.com.br/JBSS3" TargetMode="External"/><Relationship Id="rId45" Type="http://schemas.openxmlformats.org/officeDocument/2006/relationships/hyperlink" Target="https://www.infomoney.com.br/RAIZ4" TargetMode="External"/><Relationship Id="rId5" Type="http://schemas.openxmlformats.org/officeDocument/2006/relationships/hyperlink" Target="https://www.infomoney.com.br/SUZB3" TargetMode="External"/><Relationship Id="rId15" Type="http://schemas.openxmlformats.org/officeDocument/2006/relationships/hyperlink" Target="https://www.infomoney.com.br/EQTL3" TargetMode="External"/><Relationship Id="rId23" Type="http://schemas.openxmlformats.org/officeDocument/2006/relationships/hyperlink" Target="https://www.infomoney.com.br/PCAR3" TargetMode="External"/><Relationship Id="rId28" Type="http://schemas.openxmlformats.org/officeDocument/2006/relationships/hyperlink" Target="https://www.infomoney.com.br/DXCO3" TargetMode="External"/><Relationship Id="rId36" Type="http://schemas.openxmlformats.org/officeDocument/2006/relationships/hyperlink" Target="https://www.infomoney.com.br/BBAS3" TargetMode="External"/><Relationship Id="rId49" Type="http://schemas.openxmlformats.org/officeDocument/2006/relationships/hyperlink" Target="https://www.infomoney.com.br/ABEV3" TargetMode="External"/><Relationship Id="rId10" Type="http://schemas.openxmlformats.org/officeDocument/2006/relationships/hyperlink" Target="https://www.infomoney.com.br/ITUB4" TargetMode="External"/><Relationship Id="rId19" Type="http://schemas.openxmlformats.org/officeDocument/2006/relationships/hyperlink" Target="https://www.infomoney.com.br/MRVE3" TargetMode="External"/><Relationship Id="rId31" Type="http://schemas.openxmlformats.org/officeDocument/2006/relationships/hyperlink" Target="https://www.infomoney.com.br/LWSA3" TargetMode="External"/><Relationship Id="rId44" Type="http://schemas.openxmlformats.org/officeDocument/2006/relationships/hyperlink" Target="https://www.infomoney.com.br/GGBR4" TargetMode="External"/><Relationship Id="rId4" Type="http://schemas.openxmlformats.org/officeDocument/2006/relationships/hyperlink" Target="https://www.infomoney.com.br/CPFE3" TargetMode="External"/><Relationship Id="rId9" Type="http://schemas.openxmlformats.org/officeDocument/2006/relationships/hyperlink" Target="https://www.infomoney.com.br/MULT3" TargetMode="External"/><Relationship Id="rId14" Type="http://schemas.openxmlformats.org/officeDocument/2006/relationships/hyperlink" Target="https://www.infomoney.com.br/RRRP3" TargetMode="External"/><Relationship Id="rId22" Type="http://schemas.openxmlformats.org/officeDocument/2006/relationships/hyperlink" Target="https://www.infomoney.com.br/BEEF3" TargetMode="External"/><Relationship Id="rId27" Type="http://schemas.openxmlformats.org/officeDocument/2006/relationships/hyperlink" Target="https://www.infomoney.com.br/CIEL3" TargetMode="External"/><Relationship Id="rId30" Type="http://schemas.openxmlformats.org/officeDocument/2006/relationships/hyperlink" Target="https://www.infomoney.com.br/BRAP4" TargetMode="External"/><Relationship Id="rId35" Type="http://schemas.openxmlformats.org/officeDocument/2006/relationships/hyperlink" Target="https://www.infomoney.com.br/SANB11" TargetMode="External"/><Relationship Id="rId43" Type="http://schemas.openxmlformats.org/officeDocument/2006/relationships/hyperlink" Target="https://www.infomoney.com.br/TAEE11" TargetMode="External"/><Relationship Id="rId48" Type="http://schemas.openxmlformats.org/officeDocument/2006/relationships/hyperlink" Target="https://www.infomoney.com.br/BPAC11" TargetMode="External"/><Relationship Id="rId8" Type="http://schemas.openxmlformats.org/officeDocument/2006/relationships/hyperlink" Target="https://www.infomoney.com.br/VALE3" TargetMode="External"/><Relationship Id="rId3" Type="http://schemas.openxmlformats.org/officeDocument/2006/relationships/hyperlink" Target="https://www.infomoney.com.br/PETR3" TargetMode="External"/><Relationship Id="rId12" Type="http://schemas.openxmlformats.org/officeDocument/2006/relationships/hyperlink" Target="https://www.infomoney.com.br/AZUL4" TargetMode="External"/><Relationship Id="rId17" Type="http://schemas.openxmlformats.org/officeDocument/2006/relationships/hyperlink" Target="https://www.infomoney.com.br/UGPA3" TargetMode="External"/><Relationship Id="rId25" Type="http://schemas.openxmlformats.org/officeDocument/2006/relationships/hyperlink" Target="https://www.infomoney.com.br/VIVT3" TargetMode="External"/><Relationship Id="rId33" Type="http://schemas.openxmlformats.org/officeDocument/2006/relationships/hyperlink" Target="https://www.infomoney.com.br/ITSA4" TargetMode="External"/><Relationship Id="rId38" Type="http://schemas.openxmlformats.org/officeDocument/2006/relationships/hyperlink" Target="https://www.infomoney.com.br/CSAN3" TargetMode="External"/><Relationship Id="rId46" Type="http://schemas.openxmlformats.org/officeDocument/2006/relationships/hyperlink" Target="https://www.infomoney.com.br/CPLE6" TargetMode="External"/><Relationship Id="rId20" Type="http://schemas.openxmlformats.org/officeDocument/2006/relationships/hyperlink" Target="https://www.infomoney.com.br/ARZZ3" TargetMode="External"/><Relationship Id="rId41" Type="http://schemas.openxmlformats.org/officeDocument/2006/relationships/hyperlink" Target="https://www.infomoney.com.br/MGLU3" TargetMode="External"/><Relationship Id="rId1" Type="http://schemas.openxmlformats.org/officeDocument/2006/relationships/hyperlink" Target="https://www.infomoney.com.br/USIM5" TargetMode="External"/><Relationship Id="rId6" Type="http://schemas.openxmlformats.org/officeDocument/2006/relationships/hyperlink" Target="https://www.infomoney.com.br/PRIO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zoomScale="70" zoomScaleNormal="70" workbookViewId="0">
      <pane ySplit="1" topLeftCell="A2" activePane="bottomLeft" state="frozen"/>
      <selection pane="bottomLeft" activeCell="K17" sqref="K17"/>
    </sheetView>
  </sheetViews>
  <sheetFormatPr defaultColWidth="12.5703125" defaultRowHeight="15" customHeight="1" x14ac:dyDescent="0.2"/>
  <cols>
    <col min="1" max="1" width="10.28515625" style="38" customWidth="1"/>
    <col min="2" max="2" width="15.42578125" style="38" bestFit="1" customWidth="1"/>
    <col min="3" max="3" width="16.85546875" style="38" bestFit="1" customWidth="1"/>
    <col min="4" max="4" width="17.28515625" style="38" bestFit="1" customWidth="1"/>
    <col min="5" max="5" width="19.85546875" style="38" bestFit="1" customWidth="1"/>
    <col min="6" max="6" width="18.85546875" style="38" bestFit="1" customWidth="1"/>
    <col min="7" max="8" width="18.42578125" style="38" bestFit="1" customWidth="1"/>
    <col min="9" max="9" width="13.5703125" style="38" bestFit="1" customWidth="1"/>
    <col min="10" max="10" width="14" style="38" bestFit="1" customWidth="1"/>
    <col min="11" max="11" width="13.42578125" style="38" bestFit="1" customWidth="1"/>
    <col min="12" max="12" width="26" style="38" bestFit="1" customWidth="1"/>
    <col min="13" max="13" width="25.42578125" style="38" bestFit="1" customWidth="1"/>
    <col min="14" max="14" width="10.85546875" style="38" bestFit="1" customWidth="1"/>
    <col min="15" max="15" width="23.140625" style="38" bestFit="1" customWidth="1"/>
    <col min="16" max="16" width="19.7109375" style="38" bestFit="1" customWidth="1"/>
    <col min="17" max="17" width="20.85546875" style="38" bestFit="1" customWidth="1"/>
    <col min="18" max="18" width="26.85546875" style="38" bestFit="1" customWidth="1"/>
    <col min="19" max="19" width="28.5703125" style="38" bestFit="1" customWidth="1"/>
    <col min="20" max="20" width="20" style="38" bestFit="1" customWidth="1"/>
    <col min="21" max="21" width="22.7109375" style="38" bestFit="1" customWidth="1"/>
    <col min="22" max="22" width="28.7109375" style="38" bestFit="1" customWidth="1"/>
    <col min="23" max="23" width="29.28515625" style="38" bestFit="1" customWidth="1"/>
    <col min="24" max="24" width="21.7109375" style="38" bestFit="1" customWidth="1"/>
    <col min="25" max="25" width="22.5703125" style="38" bestFit="1" customWidth="1"/>
    <col min="26" max="26" width="28.42578125" style="38" bestFit="1" customWidth="1"/>
    <col min="27" max="27" width="30.28515625" style="38" bestFit="1" customWidth="1"/>
    <col min="28" max="28" width="21.5703125" style="38" bestFit="1" customWidth="1"/>
    <col min="29" max="29" width="22.140625" style="38" bestFit="1" customWidth="1"/>
    <col min="30" max="30" width="28" style="38" bestFit="1" customWidth="1"/>
    <col min="31" max="31" width="30.28515625" style="38" bestFit="1" customWidth="1"/>
    <col min="32" max="32" width="21.140625" style="38" bestFit="1" customWidth="1"/>
    <col min="33" max="33" width="23.7109375" style="38" bestFit="1" customWidth="1"/>
    <col min="34" max="34" width="28" style="38" bestFit="1" customWidth="1"/>
    <col min="35" max="35" width="30.28515625" style="38" bestFit="1" customWidth="1"/>
    <col min="36" max="36" width="21.140625" style="38" bestFit="1" customWidth="1"/>
    <col min="37" max="16384" width="12.5703125" style="38"/>
  </cols>
  <sheetData>
    <row r="1" spans="1:36" s="37" customFormat="1" ht="14.25" customHeight="1" x14ac:dyDescent="0.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3" t="s">
        <v>12</v>
      </c>
      <c r="M1" s="33" t="s">
        <v>13</v>
      </c>
      <c r="N1" s="33" t="s">
        <v>14</v>
      </c>
      <c r="O1" s="33" t="s">
        <v>15</v>
      </c>
      <c r="P1" s="33" t="s">
        <v>1092</v>
      </c>
      <c r="Q1" s="34" t="s">
        <v>1090</v>
      </c>
      <c r="R1" s="34" t="s">
        <v>1091</v>
      </c>
      <c r="S1" s="34" t="s">
        <v>1093</v>
      </c>
      <c r="T1" s="34" t="s">
        <v>1094</v>
      </c>
      <c r="U1" s="35" t="s">
        <v>16</v>
      </c>
      <c r="V1" s="35" t="s">
        <v>1095</v>
      </c>
      <c r="W1" s="35" t="s">
        <v>1096</v>
      </c>
      <c r="X1" s="35" t="s">
        <v>1097</v>
      </c>
      <c r="Y1" s="36" t="s">
        <v>17</v>
      </c>
      <c r="Z1" s="36" t="s">
        <v>1098</v>
      </c>
      <c r="AA1" s="36" t="s">
        <v>1099</v>
      </c>
      <c r="AB1" s="36" t="s">
        <v>1100</v>
      </c>
      <c r="AC1" s="35" t="s">
        <v>18</v>
      </c>
      <c r="AD1" s="35" t="s">
        <v>1101</v>
      </c>
      <c r="AE1" s="35" t="s">
        <v>1102</v>
      </c>
      <c r="AF1" s="35" t="s">
        <v>1103</v>
      </c>
      <c r="AG1" s="36" t="s">
        <v>1104</v>
      </c>
      <c r="AH1" s="36" t="s">
        <v>1105</v>
      </c>
      <c r="AI1" s="36" t="s">
        <v>1106</v>
      </c>
      <c r="AJ1" s="36" t="s">
        <v>1107</v>
      </c>
    </row>
    <row r="2" spans="1:36" ht="14.25" customHeight="1" x14ac:dyDescent="0.25">
      <c r="A2" s="38" t="s">
        <v>19</v>
      </c>
      <c r="B2" s="39">
        <v>45317</v>
      </c>
      <c r="C2" s="40">
        <v>9.5</v>
      </c>
      <c r="D2" s="38">
        <v>5.2</v>
      </c>
      <c r="E2" s="38">
        <v>11.76</v>
      </c>
      <c r="F2" s="38">
        <v>2.2599999999999998</v>
      </c>
      <c r="G2" s="38">
        <v>2.2599999999999998</v>
      </c>
      <c r="H2" s="38">
        <v>15.97</v>
      </c>
      <c r="I2" s="38">
        <v>9.18</v>
      </c>
      <c r="J2" s="38">
        <v>9.56</v>
      </c>
      <c r="K2" s="38" t="s">
        <v>20</v>
      </c>
      <c r="L2" s="41" t="str">
        <f>VLOOKUP(A2,Ticker!A:B,2,0)</f>
        <v>Usiminas</v>
      </c>
      <c r="M2" s="41" t="str">
        <f>VLOOKUP(L2,Chatgpt!A:C,2,0)</f>
        <v>Siderurgia</v>
      </c>
      <c r="N2" s="41">
        <f>VLOOKUP(L2,Chatgpt!A:C,3,0)</f>
        <v>60</v>
      </c>
      <c r="O2" s="41" t="str">
        <f t="shared" ref="O2:O82" si="0">IF(N2&gt;100,"Mais de 100 anos",IF(N2&lt;50,"Menor de 50 anos","Entre 50 e 100 anos"))</f>
        <v>Entre 50 e 100 anos</v>
      </c>
      <c r="P2" s="42">
        <f>VLOOKUP(A2,Total_de_acoes!A:B,2,0)</f>
        <v>515117391</v>
      </c>
      <c r="Q2" s="43">
        <f t="shared" ref="Q2:Q82" si="1">D2/100</f>
        <v>5.2000000000000005E-2</v>
      </c>
      <c r="R2" s="44">
        <f t="shared" ref="R2:R82" si="2">C2/(Q2+1)</f>
        <v>9.0304182509505697</v>
      </c>
      <c r="S2" s="45">
        <f t="shared" ref="S2:S33" si="3">(C2-R2)*P2</f>
        <v>241889725.43155926</v>
      </c>
      <c r="T2" s="43" t="str">
        <f t="shared" ref="T2:T82" si="4">IF(S2&gt;0,"Subiu",IF(S2&lt;0,"Desceu","Estável"))</f>
        <v>Subiu</v>
      </c>
      <c r="U2" s="46">
        <f t="shared" ref="U2:U33" si="5">E2/100</f>
        <v>0.1176</v>
      </c>
      <c r="V2" s="47">
        <f t="shared" ref="V2:V33" si="6">C2/(U2+1)</f>
        <v>8.5003579098067288</v>
      </c>
      <c r="W2" s="48">
        <f t="shared" ref="W2:W33" si="7">($C2-V2)*$P2</f>
        <v>514933025.43414456</v>
      </c>
      <c r="X2" s="46" t="str">
        <f t="shared" ref="X2:X82" si="8">IF(W2&gt;0,"Subiu",IF(W2&lt;0,"Desceu","Estável"))</f>
        <v>Subiu</v>
      </c>
      <c r="Y2" s="43">
        <f t="shared" ref="Y2:Y33" si="9">F2/100</f>
        <v>2.2599999999999999E-2</v>
      </c>
      <c r="Z2" s="44">
        <f t="shared" ref="Z2:Z33" si="10">C2/(Y2+1)</f>
        <v>9.2900449833757097</v>
      </c>
      <c r="AA2" s="45">
        <f t="shared" ref="AA2:AA33" si="11">($C2-Z2)*$P2</f>
        <v>108151480.39086604</v>
      </c>
      <c r="AB2" s="43" t="str">
        <f t="shared" ref="AB2:AB82" si="12">IF(AA2&gt;0,"Subiu",IF(AA2&lt;0,"Desceu","Estável"))</f>
        <v>Subiu</v>
      </c>
      <c r="AC2" s="49">
        <f t="shared" ref="AC2:AC33" si="13">G2/100</f>
        <v>2.2599999999999999E-2</v>
      </c>
      <c r="AD2" s="50">
        <f t="shared" ref="AD2:AD33" si="14">C2/(AC2+1)</f>
        <v>9.2900449833757097</v>
      </c>
      <c r="AE2" s="48">
        <f t="shared" ref="AE2:AE33" si="15">($C2-AD2)*$P2</f>
        <v>108151480.39086604</v>
      </c>
      <c r="AF2" s="51" t="str">
        <f t="shared" ref="AF2:AF82" si="16">IF(AE2&gt;0,"Subiu",IF(AE2&lt;0,"Desceu","Estável"))</f>
        <v>Subiu</v>
      </c>
      <c r="AG2" s="52">
        <f t="shared" ref="AG2:AG33" si="17">H2/100</f>
        <v>0.15970000000000001</v>
      </c>
      <c r="AH2" s="53">
        <f t="shared" ref="AH2:AH33" si="18">C2/(AG2+1)</f>
        <v>8.1917737345865316</v>
      </c>
      <c r="AI2" s="45">
        <f t="shared" ref="AI2:AI33" si="19">($C2-AH2)*$P2</f>
        <v>673890100.67745936</v>
      </c>
      <c r="AJ2" s="54" t="str">
        <f t="shared" ref="AJ2:AJ82" si="20">IF(AI2&gt;0,"Subiu",IF(AI2&lt;0,"Desceu","Estável"))</f>
        <v>Subiu</v>
      </c>
    </row>
    <row r="3" spans="1:36" ht="14.25" customHeight="1" x14ac:dyDescent="0.25">
      <c r="A3" s="38" t="s">
        <v>21</v>
      </c>
      <c r="B3" s="39">
        <v>45317</v>
      </c>
      <c r="C3" s="40">
        <v>6.82</v>
      </c>
      <c r="D3" s="38">
        <v>2.4</v>
      </c>
      <c r="E3" s="38">
        <v>2.4</v>
      </c>
      <c r="F3" s="38">
        <v>-12.11</v>
      </c>
      <c r="G3" s="38">
        <v>-12.11</v>
      </c>
      <c r="H3" s="38">
        <v>50.56</v>
      </c>
      <c r="I3" s="38">
        <v>6.66</v>
      </c>
      <c r="J3" s="38">
        <v>6.86</v>
      </c>
      <c r="K3" s="38" t="s">
        <v>22</v>
      </c>
      <c r="L3" s="41" t="str">
        <f>VLOOKUP(A3,Ticker!A:B,2,0)</f>
        <v>CSN Mineração</v>
      </c>
      <c r="M3" s="41" t="str">
        <f>VLOOKUP(L3,Chatgpt!A:C,2,0)</f>
        <v>Mineração</v>
      </c>
      <c r="N3" s="41">
        <f>VLOOKUP(L3,Chatgpt!A:C,3,0)</f>
        <v>8</v>
      </c>
      <c r="O3" s="41" t="str">
        <f t="shared" si="0"/>
        <v>Menor de 50 anos</v>
      </c>
      <c r="P3" s="42">
        <f>VLOOKUP(A3,Total_de_acoes!A:B,2,0)</f>
        <v>1110559345</v>
      </c>
      <c r="Q3" s="43">
        <f t="shared" si="1"/>
        <v>2.4E-2</v>
      </c>
      <c r="R3" s="44">
        <f t="shared" si="2"/>
        <v>6.66015625</v>
      </c>
      <c r="S3" s="45">
        <f t="shared" si="3"/>
        <v>177515970.30234405</v>
      </c>
      <c r="T3" s="43" t="str">
        <f t="shared" si="4"/>
        <v>Subiu</v>
      </c>
      <c r="U3" s="46">
        <f t="shared" si="5"/>
        <v>2.4E-2</v>
      </c>
      <c r="V3" s="47">
        <f t="shared" si="6"/>
        <v>6.66015625</v>
      </c>
      <c r="W3" s="48">
        <f t="shared" si="7"/>
        <v>177515970.30234405</v>
      </c>
      <c r="X3" s="46" t="str">
        <f t="shared" si="8"/>
        <v>Subiu</v>
      </c>
      <c r="Y3" s="43">
        <f t="shared" si="9"/>
        <v>-0.1211</v>
      </c>
      <c r="Z3" s="44">
        <f t="shared" si="10"/>
        <v>7.7596996245306631</v>
      </c>
      <c r="AA3" s="45">
        <f t="shared" si="11"/>
        <v>-1043592199.5155188</v>
      </c>
      <c r="AB3" s="43" t="str">
        <f t="shared" si="12"/>
        <v>Desceu</v>
      </c>
      <c r="AC3" s="49">
        <f t="shared" si="13"/>
        <v>-0.1211</v>
      </c>
      <c r="AD3" s="50">
        <f t="shared" si="14"/>
        <v>7.7596996245306631</v>
      </c>
      <c r="AE3" s="48">
        <f t="shared" si="15"/>
        <v>-1043592199.5155188</v>
      </c>
      <c r="AF3" s="51" t="str">
        <f t="shared" si="16"/>
        <v>Desceu</v>
      </c>
      <c r="AG3" s="52">
        <f t="shared" si="17"/>
        <v>0.50560000000000005</v>
      </c>
      <c r="AH3" s="53">
        <f t="shared" si="18"/>
        <v>4.5297555791710948</v>
      </c>
      <c r="AI3" s="45">
        <f t="shared" si="19"/>
        <v>2543452343.8856535</v>
      </c>
      <c r="AJ3" s="54" t="str">
        <f t="shared" si="20"/>
        <v>Subiu</v>
      </c>
    </row>
    <row r="4" spans="1:36" ht="14.25" customHeight="1" x14ac:dyDescent="0.25">
      <c r="A4" s="38" t="s">
        <v>23</v>
      </c>
      <c r="B4" s="39">
        <v>45317</v>
      </c>
      <c r="C4" s="40">
        <v>41.96</v>
      </c>
      <c r="D4" s="38">
        <v>2.19</v>
      </c>
      <c r="E4" s="38">
        <v>7.73</v>
      </c>
      <c r="F4" s="38">
        <v>7.64</v>
      </c>
      <c r="G4" s="38">
        <v>7.64</v>
      </c>
      <c r="H4" s="38">
        <v>77.55</v>
      </c>
      <c r="I4" s="38">
        <v>40.81</v>
      </c>
      <c r="J4" s="38">
        <v>42.34</v>
      </c>
      <c r="K4" s="38" t="s">
        <v>24</v>
      </c>
      <c r="L4" s="41" t="str">
        <f>VLOOKUP(A4,Ticker!A:B,2,0)</f>
        <v>Petrobras</v>
      </c>
      <c r="M4" s="41" t="str">
        <f>VLOOKUP(L4,Chatgpt!A:C,2,0)</f>
        <v>Petróleo</v>
      </c>
      <c r="N4" s="41">
        <f>VLOOKUP(L4,Chatgpt!A:C,3,0)</f>
        <v>69</v>
      </c>
      <c r="O4" s="41" t="str">
        <f t="shared" si="0"/>
        <v>Entre 50 e 100 anos</v>
      </c>
      <c r="P4" s="42">
        <f>VLOOKUP(A4,Total_de_acoes!A:B,2,0)</f>
        <v>2379877655</v>
      </c>
      <c r="Q4" s="43">
        <f t="shared" si="1"/>
        <v>2.1899999999999999E-2</v>
      </c>
      <c r="R4" s="44">
        <f t="shared" si="2"/>
        <v>41.060769155494668</v>
      </c>
      <c r="S4" s="45">
        <f t="shared" si="3"/>
        <v>2140059393.5250204</v>
      </c>
      <c r="T4" s="43" t="str">
        <f t="shared" si="4"/>
        <v>Subiu</v>
      </c>
      <c r="U4" s="46">
        <f t="shared" si="5"/>
        <v>7.7300000000000008E-2</v>
      </c>
      <c r="V4" s="47">
        <f t="shared" si="6"/>
        <v>38.949224914137197</v>
      </c>
      <c r="W4" s="48">
        <f t="shared" si="7"/>
        <v>7165276351.075593</v>
      </c>
      <c r="X4" s="46" t="str">
        <f t="shared" si="8"/>
        <v>Subiu</v>
      </c>
      <c r="Y4" s="43">
        <f t="shared" si="9"/>
        <v>7.6399999999999996E-2</v>
      </c>
      <c r="Z4" s="44">
        <f t="shared" si="10"/>
        <v>38.981791155704201</v>
      </c>
      <c r="AA4" s="45">
        <f t="shared" si="11"/>
        <v>7087772680.4629488</v>
      </c>
      <c r="AB4" s="43" t="str">
        <f t="shared" si="12"/>
        <v>Subiu</v>
      </c>
      <c r="AC4" s="49">
        <f t="shared" si="13"/>
        <v>7.6399999999999996E-2</v>
      </c>
      <c r="AD4" s="50">
        <f t="shared" si="14"/>
        <v>38.981791155704201</v>
      </c>
      <c r="AE4" s="48">
        <f t="shared" si="15"/>
        <v>7087772680.4629488</v>
      </c>
      <c r="AF4" s="51" t="str">
        <f t="shared" si="16"/>
        <v>Subiu</v>
      </c>
      <c r="AG4" s="52">
        <f t="shared" si="17"/>
        <v>0.77549999999999997</v>
      </c>
      <c r="AH4" s="53">
        <f t="shared" si="18"/>
        <v>23.632779498732752</v>
      </c>
      <c r="AI4" s="45">
        <f t="shared" si="19"/>
        <v>43616542549.223824</v>
      </c>
      <c r="AJ4" s="54" t="str">
        <f t="shared" si="20"/>
        <v>Subiu</v>
      </c>
    </row>
    <row r="5" spans="1:36" ht="14.25" customHeight="1" x14ac:dyDescent="0.25">
      <c r="A5" s="38" t="s">
        <v>25</v>
      </c>
      <c r="B5" s="39">
        <v>45317</v>
      </c>
      <c r="C5" s="40">
        <v>52.91</v>
      </c>
      <c r="D5" s="38">
        <v>2.04</v>
      </c>
      <c r="E5" s="38">
        <v>2.14</v>
      </c>
      <c r="F5" s="38">
        <v>-4.8899999999999997</v>
      </c>
      <c r="G5" s="38">
        <v>-4.8899999999999997</v>
      </c>
      <c r="H5" s="38">
        <v>18.850000000000001</v>
      </c>
      <c r="I5" s="38">
        <v>51.89</v>
      </c>
      <c r="J5" s="38">
        <v>53.17</v>
      </c>
      <c r="K5" s="38" t="s">
        <v>26</v>
      </c>
      <c r="L5" s="41" t="str">
        <f>VLOOKUP(A5,Ticker!A:B,2,0)</f>
        <v>Suzano</v>
      </c>
      <c r="M5" s="41" t="str">
        <f>VLOOKUP(L5,Chatgpt!A:C,2,0)</f>
        <v>Papel e Celulose</v>
      </c>
      <c r="N5" s="41">
        <f>VLOOKUP(L5,Chatgpt!A:C,3,0)</f>
        <v>94</v>
      </c>
      <c r="O5" s="41" t="str">
        <f t="shared" si="0"/>
        <v>Entre 50 e 100 anos</v>
      </c>
      <c r="P5" s="42">
        <f>VLOOKUP(A5,Total_de_acoes!A:B,2,0)</f>
        <v>683452836</v>
      </c>
      <c r="Q5" s="43">
        <f t="shared" si="1"/>
        <v>2.0400000000000001E-2</v>
      </c>
      <c r="R5" s="44">
        <f t="shared" si="2"/>
        <v>51.85221481771854</v>
      </c>
      <c r="S5" s="45">
        <f t="shared" si="3"/>
        <v>722946282.7090385</v>
      </c>
      <c r="T5" s="43" t="str">
        <f t="shared" si="4"/>
        <v>Subiu</v>
      </c>
      <c r="U5" s="46">
        <f t="shared" si="5"/>
        <v>2.1400000000000002E-2</v>
      </c>
      <c r="V5" s="47">
        <f t="shared" si="6"/>
        <v>51.801448991580173</v>
      </c>
      <c r="W5" s="48">
        <f t="shared" si="7"/>
        <v>757642330.55518818</v>
      </c>
      <c r="X5" s="46" t="str">
        <f t="shared" si="8"/>
        <v>Subiu</v>
      </c>
      <c r="Y5" s="43">
        <f t="shared" si="9"/>
        <v>-4.8899999999999999E-2</v>
      </c>
      <c r="Z5" s="44">
        <f t="shared" si="10"/>
        <v>55.630322784144667</v>
      </c>
      <c r="AA5" s="45">
        <f t="shared" si="11"/>
        <v>-1859212321.6590908</v>
      </c>
      <c r="AB5" s="43" t="str">
        <f t="shared" si="12"/>
        <v>Desceu</v>
      </c>
      <c r="AC5" s="49">
        <f t="shared" si="13"/>
        <v>-4.8899999999999999E-2</v>
      </c>
      <c r="AD5" s="50">
        <f t="shared" si="14"/>
        <v>55.630322784144667</v>
      </c>
      <c r="AE5" s="48">
        <f t="shared" si="15"/>
        <v>-1859212321.6590908</v>
      </c>
      <c r="AF5" s="51" t="str">
        <f t="shared" si="16"/>
        <v>Desceu</v>
      </c>
      <c r="AG5" s="52">
        <f t="shared" si="17"/>
        <v>0.1885</v>
      </c>
      <c r="AH5" s="53">
        <f t="shared" si="18"/>
        <v>44.518300378628524</v>
      </c>
      <c r="AI5" s="45">
        <f t="shared" si="19"/>
        <v>5735330905.0864592</v>
      </c>
      <c r="AJ5" s="54" t="str">
        <f t="shared" si="20"/>
        <v>Subiu</v>
      </c>
    </row>
    <row r="6" spans="1:36" ht="14.25" customHeight="1" x14ac:dyDescent="0.25">
      <c r="A6" s="38" t="s">
        <v>27</v>
      </c>
      <c r="B6" s="39">
        <v>45317</v>
      </c>
      <c r="C6" s="40">
        <v>37.1</v>
      </c>
      <c r="D6" s="38">
        <v>2.0299999999999998</v>
      </c>
      <c r="E6" s="38">
        <v>2.4900000000000002</v>
      </c>
      <c r="F6" s="38">
        <v>-3.66</v>
      </c>
      <c r="G6" s="38">
        <v>-3.66</v>
      </c>
      <c r="H6" s="38">
        <v>20.7</v>
      </c>
      <c r="I6" s="38">
        <v>36.369999999999997</v>
      </c>
      <c r="J6" s="38">
        <v>37.32</v>
      </c>
      <c r="K6" s="38" t="s">
        <v>28</v>
      </c>
      <c r="L6" s="41" t="str">
        <f>VLOOKUP(A6,Ticker!A:B,2,0)</f>
        <v>CPFL Energia</v>
      </c>
      <c r="M6" s="41" t="str">
        <f>VLOOKUP(L6,Chatgpt!A:C,2,0)</f>
        <v>Energia</v>
      </c>
      <c r="N6" s="41">
        <f>VLOOKUP(L6,Chatgpt!A:C,3,0)</f>
        <v>109</v>
      </c>
      <c r="O6" s="41" t="str">
        <f t="shared" si="0"/>
        <v>Mais de 100 anos</v>
      </c>
      <c r="P6" s="42">
        <f>VLOOKUP(A6,Total_de_acoes!A:B,2,0)</f>
        <v>187732538</v>
      </c>
      <c r="Q6" s="43">
        <f t="shared" si="1"/>
        <v>2.0299999999999999E-2</v>
      </c>
      <c r="R6" s="44">
        <f t="shared" si="2"/>
        <v>36.3618543565618</v>
      </c>
      <c r="S6" s="45">
        <f t="shared" si="3"/>
        <v>138573955.05629665</v>
      </c>
      <c r="T6" s="43" t="str">
        <f t="shared" si="4"/>
        <v>Subiu</v>
      </c>
      <c r="U6" s="46">
        <f t="shared" si="5"/>
        <v>2.4900000000000002E-2</v>
      </c>
      <c r="V6" s="47">
        <f t="shared" si="6"/>
        <v>36.198653527173384</v>
      </c>
      <c r="W6" s="48">
        <f t="shared" si="7"/>
        <v>169212060.96108887</v>
      </c>
      <c r="X6" s="46" t="str">
        <f t="shared" si="8"/>
        <v>Subiu</v>
      </c>
      <c r="Y6" s="43">
        <f t="shared" si="9"/>
        <v>-3.6600000000000001E-2</v>
      </c>
      <c r="Z6" s="44">
        <f t="shared" si="10"/>
        <v>38.509445713099439</v>
      </c>
      <c r="AA6" s="45">
        <f t="shared" si="11"/>
        <v>-264598820.89337718</v>
      </c>
      <c r="AB6" s="43" t="str">
        <f t="shared" si="12"/>
        <v>Desceu</v>
      </c>
      <c r="AC6" s="49">
        <f t="shared" si="13"/>
        <v>-3.6600000000000001E-2</v>
      </c>
      <c r="AD6" s="50">
        <f t="shared" si="14"/>
        <v>38.509445713099439</v>
      </c>
      <c r="AE6" s="48">
        <f t="shared" si="15"/>
        <v>-264598820.89337718</v>
      </c>
      <c r="AF6" s="51" t="str">
        <f t="shared" si="16"/>
        <v>Desceu</v>
      </c>
      <c r="AG6" s="52">
        <f t="shared" si="17"/>
        <v>0.20699999999999999</v>
      </c>
      <c r="AH6" s="53">
        <f t="shared" si="18"/>
        <v>30.737365368682685</v>
      </c>
      <c r="AI6" s="45">
        <f t="shared" si="19"/>
        <v>1194473547.7038941</v>
      </c>
      <c r="AJ6" s="54" t="str">
        <f t="shared" si="20"/>
        <v>Subiu</v>
      </c>
    </row>
    <row r="7" spans="1:36" ht="14.25" customHeight="1" x14ac:dyDescent="0.25">
      <c r="A7" s="38" t="s">
        <v>29</v>
      </c>
      <c r="B7" s="39">
        <v>45317</v>
      </c>
      <c r="C7" s="40">
        <v>45.69</v>
      </c>
      <c r="D7" s="38">
        <v>1.98</v>
      </c>
      <c r="E7" s="38">
        <v>2.42</v>
      </c>
      <c r="F7" s="38">
        <v>-0.78</v>
      </c>
      <c r="G7" s="38">
        <v>-0.78</v>
      </c>
      <c r="H7" s="38">
        <v>8.08</v>
      </c>
      <c r="I7" s="38">
        <v>44.25</v>
      </c>
      <c r="J7" s="38">
        <v>45.69</v>
      </c>
      <c r="K7" s="38" t="s">
        <v>30</v>
      </c>
      <c r="L7" s="41" t="str">
        <f>VLOOKUP(A7,Ticker!A:B,2,0)</f>
        <v>PetroRio</v>
      </c>
      <c r="M7" s="41" t="str">
        <f>VLOOKUP(L7,Chatgpt!A:C,2,0)</f>
        <v>Petróleo</v>
      </c>
      <c r="N7" s="41">
        <f>VLOOKUP(L7,Chatgpt!A:C,3,0)</f>
        <v>9</v>
      </c>
      <c r="O7" s="41" t="str">
        <f t="shared" si="0"/>
        <v>Menor de 50 anos</v>
      </c>
      <c r="P7" s="42">
        <f>VLOOKUP(A7,Total_de_acoes!A:B,2,0)</f>
        <v>800010734</v>
      </c>
      <c r="Q7" s="43">
        <f t="shared" si="1"/>
        <v>1.9799999999999998E-2</v>
      </c>
      <c r="R7" s="44">
        <f t="shared" si="2"/>
        <v>44.802902529907819</v>
      </c>
      <c r="S7" s="45">
        <f t="shared" si="3"/>
        <v>709687498.17798734</v>
      </c>
      <c r="T7" s="43" t="str">
        <f t="shared" si="4"/>
        <v>Subiu</v>
      </c>
      <c r="U7" s="46">
        <f t="shared" si="5"/>
        <v>2.4199999999999999E-2</v>
      </c>
      <c r="V7" s="47">
        <f t="shared" si="6"/>
        <v>44.610427650849438</v>
      </c>
      <c r="W7" s="48">
        <f t="shared" si="7"/>
        <v>863669467.45004356</v>
      </c>
      <c r="X7" s="46" t="str">
        <f t="shared" si="8"/>
        <v>Subiu</v>
      </c>
      <c r="Y7" s="43">
        <f t="shared" si="9"/>
        <v>-7.8000000000000005E-3</v>
      </c>
      <c r="Z7" s="44">
        <f t="shared" si="10"/>
        <v>46.049183632332188</v>
      </c>
      <c r="AA7" s="45">
        <f t="shared" si="11"/>
        <v>-287350761.34286141</v>
      </c>
      <c r="AB7" s="43" t="str">
        <f t="shared" si="12"/>
        <v>Desceu</v>
      </c>
      <c r="AC7" s="49">
        <f t="shared" si="13"/>
        <v>-7.8000000000000005E-3</v>
      </c>
      <c r="AD7" s="50">
        <f t="shared" si="14"/>
        <v>46.049183632332188</v>
      </c>
      <c r="AE7" s="48">
        <f t="shared" si="15"/>
        <v>-287350761.34286141</v>
      </c>
      <c r="AF7" s="51" t="str">
        <f t="shared" si="16"/>
        <v>Desceu</v>
      </c>
      <c r="AG7" s="52">
        <f t="shared" si="17"/>
        <v>8.0799999999999997E-2</v>
      </c>
      <c r="AH7" s="53">
        <f t="shared" si="18"/>
        <v>42.274241302738709</v>
      </c>
      <c r="AI7" s="45">
        <f t="shared" si="19"/>
        <v>2732643622.5628877</v>
      </c>
      <c r="AJ7" s="54" t="str">
        <f t="shared" si="20"/>
        <v>Subiu</v>
      </c>
    </row>
    <row r="8" spans="1:36" ht="14.25" customHeight="1" x14ac:dyDescent="0.25">
      <c r="A8" s="38" t="s">
        <v>31</v>
      </c>
      <c r="B8" s="39">
        <v>45317</v>
      </c>
      <c r="C8" s="40">
        <v>39.96</v>
      </c>
      <c r="D8" s="38">
        <v>1.73</v>
      </c>
      <c r="E8" s="38">
        <v>6.47</v>
      </c>
      <c r="F8" s="38">
        <v>7.3</v>
      </c>
      <c r="G8" s="38">
        <v>7.3</v>
      </c>
      <c r="H8" s="38">
        <v>95.01</v>
      </c>
      <c r="I8" s="38">
        <v>38.909999999999997</v>
      </c>
      <c r="J8" s="38">
        <v>40.090000000000003</v>
      </c>
      <c r="K8" s="38" t="s">
        <v>32</v>
      </c>
      <c r="L8" s="41" t="str">
        <f>VLOOKUP(A8,Ticker!A:B,2,0)</f>
        <v>Petrobras</v>
      </c>
      <c r="M8" s="41" t="str">
        <f>VLOOKUP(L8,Chatgpt!A:C,2,0)</f>
        <v>Petróleo</v>
      </c>
      <c r="N8" s="41">
        <f>VLOOKUP(L8,Chatgpt!A:C,3,0)</f>
        <v>69</v>
      </c>
      <c r="O8" s="41" t="str">
        <f t="shared" si="0"/>
        <v>Entre 50 e 100 anos</v>
      </c>
      <c r="P8" s="42">
        <f>VLOOKUP(A8,Total_de_acoes!A:B,2,0)</f>
        <v>4566445852</v>
      </c>
      <c r="Q8" s="43">
        <f t="shared" si="1"/>
        <v>1.7299999999999999E-2</v>
      </c>
      <c r="R8" s="44">
        <f t="shared" si="2"/>
        <v>39.280448245355352</v>
      </c>
      <c r="S8" s="45">
        <f t="shared" si="3"/>
        <v>3103136291.2163792</v>
      </c>
      <c r="T8" s="43" t="str">
        <f t="shared" si="4"/>
        <v>Subiu</v>
      </c>
      <c r="U8" s="46">
        <f t="shared" si="5"/>
        <v>6.4699999999999994E-2</v>
      </c>
      <c r="V8" s="47">
        <f t="shared" si="6"/>
        <v>37.531699070160613</v>
      </c>
      <c r="W8" s="48">
        <f t="shared" si="7"/>
        <v>11088704708.472816</v>
      </c>
      <c r="X8" s="46" t="str">
        <f t="shared" si="8"/>
        <v>Subiu</v>
      </c>
      <c r="Y8" s="43">
        <f t="shared" si="9"/>
        <v>7.2999999999999995E-2</v>
      </c>
      <c r="Z8" s="44">
        <f t="shared" si="10"/>
        <v>37.241379310344833</v>
      </c>
      <c r="AA8" s="45">
        <f t="shared" si="11"/>
        <v>12414434171.437222</v>
      </c>
      <c r="AB8" s="43" t="str">
        <f t="shared" si="12"/>
        <v>Subiu</v>
      </c>
      <c r="AC8" s="49">
        <f t="shared" si="13"/>
        <v>7.2999999999999995E-2</v>
      </c>
      <c r="AD8" s="50">
        <f t="shared" si="14"/>
        <v>37.241379310344833</v>
      </c>
      <c r="AE8" s="48">
        <f t="shared" si="15"/>
        <v>12414434171.437222</v>
      </c>
      <c r="AF8" s="51" t="str">
        <f t="shared" si="16"/>
        <v>Subiu</v>
      </c>
      <c r="AG8" s="52">
        <f t="shared" si="17"/>
        <v>0.95010000000000006</v>
      </c>
      <c r="AH8" s="53">
        <f t="shared" si="18"/>
        <v>20.491256858622634</v>
      </c>
      <c r="AI8" s="45">
        <f t="shared" si="19"/>
        <v>88902961361.59613</v>
      </c>
      <c r="AJ8" s="54" t="str">
        <f t="shared" si="20"/>
        <v>Subiu</v>
      </c>
    </row>
    <row r="9" spans="1:36" ht="14.25" customHeight="1" x14ac:dyDescent="0.25">
      <c r="A9" s="38" t="s">
        <v>33</v>
      </c>
      <c r="B9" s="39">
        <v>45317</v>
      </c>
      <c r="C9" s="40">
        <v>69.5</v>
      </c>
      <c r="D9" s="38">
        <v>1.66</v>
      </c>
      <c r="E9" s="38">
        <v>2.06</v>
      </c>
      <c r="F9" s="38">
        <v>-9.9700000000000006</v>
      </c>
      <c r="G9" s="38">
        <v>-9.9700000000000006</v>
      </c>
      <c r="H9" s="38">
        <v>-23.49</v>
      </c>
      <c r="I9" s="38">
        <v>67.5</v>
      </c>
      <c r="J9" s="38">
        <v>69.81</v>
      </c>
      <c r="K9" s="38" t="s">
        <v>34</v>
      </c>
      <c r="L9" s="41" t="str">
        <f>VLOOKUP(A9,Ticker!A:B,2,0)</f>
        <v>Vale</v>
      </c>
      <c r="M9" s="41" t="str">
        <f>VLOOKUP(L9,Chatgpt!A:C,2,0)</f>
        <v>Mineração</v>
      </c>
      <c r="N9" s="41">
        <f>VLOOKUP(L9,Chatgpt!A:C,3,0)</f>
        <v>79</v>
      </c>
      <c r="O9" s="41" t="str">
        <f t="shared" si="0"/>
        <v>Entre 50 e 100 anos</v>
      </c>
      <c r="P9" s="42">
        <f>VLOOKUP(A9,Total_de_acoes!A:B,2,0)</f>
        <v>4196924316</v>
      </c>
      <c r="Q9" s="43">
        <f t="shared" si="1"/>
        <v>1.66E-2</v>
      </c>
      <c r="R9" s="44">
        <f t="shared" si="2"/>
        <v>68.365138697619514</v>
      </c>
      <c r="S9" s="45">
        <f t="shared" si="3"/>
        <v>4762926995.2480898</v>
      </c>
      <c r="T9" s="43" t="str">
        <f t="shared" si="4"/>
        <v>Subiu</v>
      </c>
      <c r="U9" s="46">
        <f t="shared" si="5"/>
        <v>2.06E-2</v>
      </c>
      <c r="V9" s="47">
        <f t="shared" si="6"/>
        <v>68.09719772682736</v>
      </c>
      <c r="W9" s="48">
        <f t="shared" si="7"/>
        <v>5887454970.818325</v>
      </c>
      <c r="X9" s="46" t="str">
        <f t="shared" si="8"/>
        <v>Subiu</v>
      </c>
      <c r="Y9" s="43">
        <f t="shared" si="9"/>
        <v>-9.9700000000000011E-2</v>
      </c>
      <c r="Z9" s="44">
        <f t="shared" si="10"/>
        <v>77.196490058869273</v>
      </c>
      <c r="AA9" s="45">
        <f t="shared" si="11"/>
        <v>-32301586275.920723</v>
      </c>
      <c r="AB9" s="43" t="str">
        <f t="shared" si="12"/>
        <v>Desceu</v>
      </c>
      <c r="AC9" s="49">
        <f t="shared" si="13"/>
        <v>-9.9700000000000011E-2</v>
      </c>
      <c r="AD9" s="50">
        <f t="shared" si="14"/>
        <v>77.196490058869273</v>
      </c>
      <c r="AE9" s="48">
        <f t="shared" si="15"/>
        <v>-32301586275.920723</v>
      </c>
      <c r="AF9" s="51" t="str">
        <f t="shared" si="16"/>
        <v>Desceu</v>
      </c>
      <c r="AG9" s="52">
        <f t="shared" si="17"/>
        <v>-0.2349</v>
      </c>
      <c r="AH9" s="53">
        <f t="shared" si="18"/>
        <v>90.83779898052542</v>
      </c>
      <c r="AI9" s="45">
        <f t="shared" si="19"/>
        <v>-89553127391.28714</v>
      </c>
      <c r="AJ9" s="54" t="str">
        <f t="shared" si="20"/>
        <v>Desceu</v>
      </c>
    </row>
    <row r="10" spans="1:36" ht="14.25" customHeight="1" x14ac:dyDescent="0.25">
      <c r="A10" s="38" t="s">
        <v>35</v>
      </c>
      <c r="B10" s="39">
        <v>45317</v>
      </c>
      <c r="C10" s="40">
        <v>28.19</v>
      </c>
      <c r="D10" s="38">
        <v>1.58</v>
      </c>
      <c r="E10" s="38">
        <v>2.0299999999999998</v>
      </c>
      <c r="F10" s="38">
        <v>-0.81</v>
      </c>
      <c r="G10" s="38">
        <v>-0.81</v>
      </c>
      <c r="H10" s="38">
        <v>24.02</v>
      </c>
      <c r="I10" s="38">
        <v>27.71</v>
      </c>
      <c r="J10" s="38">
        <v>28.36</v>
      </c>
      <c r="K10" s="38" t="s">
        <v>36</v>
      </c>
      <c r="L10" s="41" t="str">
        <f>VLOOKUP(A10,Ticker!A:B,2,0)</f>
        <v>Multiplan</v>
      </c>
      <c r="M10" s="41" t="str">
        <f>VLOOKUP(L10,Chatgpt!A:C,2,0)</f>
        <v>Shopping Centers</v>
      </c>
      <c r="N10" s="41">
        <f>VLOOKUP(L10,Chatgpt!A:C,3,0)</f>
        <v>48</v>
      </c>
      <c r="O10" s="41" t="str">
        <f t="shared" si="0"/>
        <v>Menor de 50 anos</v>
      </c>
      <c r="P10" s="42">
        <f>VLOOKUP(A10,Total_de_acoes!A:B,2,0)</f>
        <v>268505432</v>
      </c>
      <c r="Q10" s="43">
        <f t="shared" si="1"/>
        <v>1.5800000000000002E-2</v>
      </c>
      <c r="R10" s="44">
        <f t="shared" si="2"/>
        <v>27.751525890923411</v>
      </c>
      <c r="S10" s="45">
        <f t="shared" si="3"/>
        <v>117732680.07842509</v>
      </c>
      <c r="T10" s="43" t="str">
        <f t="shared" si="4"/>
        <v>Subiu</v>
      </c>
      <c r="U10" s="46">
        <f t="shared" si="5"/>
        <v>2.0299999999999999E-2</v>
      </c>
      <c r="V10" s="47">
        <f t="shared" si="6"/>
        <v>27.629128687640893</v>
      </c>
      <c r="W10" s="48">
        <f t="shared" si="7"/>
        <v>150596994.02138925</v>
      </c>
      <c r="X10" s="46" t="str">
        <f t="shared" si="8"/>
        <v>Subiu</v>
      </c>
      <c r="Y10" s="43">
        <f t="shared" si="9"/>
        <v>-8.1000000000000013E-3</v>
      </c>
      <c r="Z10" s="44">
        <f t="shared" si="10"/>
        <v>28.420203649561447</v>
      </c>
      <c r="AA10" s="45">
        <f t="shared" si="11"/>
        <v>-61810930.373472638</v>
      </c>
      <c r="AB10" s="43" t="str">
        <f t="shared" si="12"/>
        <v>Desceu</v>
      </c>
      <c r="AC10" s="49">
        <f t="shared" si="13"/>
        <v>-8.1000000000000013E-3</v>
      </c>
      <c r="AD10" s="50">
        <f t="shared" si="14"/>
        <v>28.420203649561447</v>
      </c>
      <c r="AE10" s="48">
        <f t="shared" si="15"/>
        <v>-61810930.373472638</v>
      </c>
      <c r="AF10" s="51" t="str">
        <f t="shared" si="16"/>
        <v>Desceu</v>
      </c>
      <c r="AG10" s="52">
        <f t="shared" si="17"/>
        <v>0.2402</v>
      </c>
      <c r="AH10" s="53">
        <f t="shared" si="18"/>
        <v>22.730204805676504</v>
      </c>
      <c r="AI10" s="45">
        <f t="shared" si="19"/>
        <v>1465984667.2833545</v>
      </c>
      <c r="AJ10" s="54" t="str">
        <f t="shared" si="20"/>
        <v>Subiu</v>
      </c>
    </row>
    <row r="11" spans="1:36" ht="14.25" customHeight="1" x14ac:dyDescent="0.25">
      <c r="A11" s="38" t="s">
        <v>37</v>
      </c>
      <c r="B11" s="39">
        <v>45317</v>
      </c>
      <c r="C11" s="40">
        <v>32.81</v>
      </c>
      <c r="D11" s="38">
        <v>1.48</v>
      </c>
      <c r="E11" s="38">
        <v>-0.39</v>
      </c>
      <c r="F11" s="38">
        <v>-3.36</v>
      </c>
      <c r="G11" s="38">
        <v>-3.36</v>
      </c>
      <c r="H11" s="38">
        <v>34.25</v>
      </c>
      <c r="I11" s="38">
        <v>32.35</v>
      </c>
      <c r="J11" s="38">
        <v>32.909999999999997</v>
      </c>
      <c r="K11" s="38" t="s">
        <v>38</v>
      </c>
      <c r="L11" s="41" t="str">
        <f>VLOOKUP(A11,Ticker!A:B,2,0)</f>
        <v>Itaú Unibanco</v>
      </c>
      <c r="M11" s="41" t="str">
        <f>VLOOKUP(L11,Chatgpt!A:C,2,0)</f>
        <v>Banco</v>
      </c>
      <c r="N11" s="41">
        <f>VLOOKUP(L11,Chatgpt!A:C,3,0)</f>
        <v>13</v>
      </c>
      <c r="O11" s="41" t="str">
        <f t="shared" si="0"/>
        <v>Menor de 50 anos</v>
      </c>
      <c r="P11" s="42">
        <f>VLOOKUP(A11,Total_de_acoes!A:B,2,0)</f>
        <v>4801593832</v>
      </c>
      <c r="Q11" s="43">
        <f t="shared" si="1"/>
        <v>1.4800000000000001E-2</v>
      </c>
      <c r="R11" s="44">
        <f t="shared" si="2"/>
        <v>32.331493890421761</v>
      </c>
      <c r="S11" s="45">
        <f t="shared" si="3"/>
        <v>2297591984.3251982</v>
      </c>
      <c r="T11" s="43" t="str">
        <f t="shared" si="4"/>
        <v>Subiu</v>
      </c>
      <c r="U11" s="46">
        <f t="shared" si="5"/>
        <v>-3.9000000000000003E-3</v>
      </c>
      <c r="V11" s="47">
        <f t="shared" si="6"/>
        <v>32.938459993976508</v>
      </c>
      <c r="W11" s="48">
        <f t="shared" si="7"/>
        <v>-616812714.73634779</v>
      </c>
      <c r="X11" s="46" t="str">
        <f t="shared" si="8"/>
        <v>Desceu</v>
      </c>
      <c r="Y11" s="43">
        <f t="shared" si="9"/>
        <v>-3.3599999999999998E-2</v>
      </c>
      <c r="Z11" s="44">
        <f t="shared" si="10"/>
        <v>33.950745033112582</v>
      </c>
      <c r="AA11" s="45">
        <f t="shared" si="11"/>
        <v>-5477394314.8780003</v>
      </c>
      <c r="AB11" s="43" t="str">
        <f t="shared" si="12"/>
        <v>Desceu</v>
      </c>
      <c r="AC11" s="49">
        <f t="shared" si="13"/>
        <v>-3.3599999999999998E-2</v>
      </c>
      <c r="AD11" s="50">
        <f t="shared" si="14"/>
        <v>33.950745033112582</v>
      </c>
      <c r="AE11" s="48">
        <f t="shared" si="15"/>
        <v>-5477394314.8780003</v>
      </c>
      <c r="AF11" s="51" t="str">
        <f t="shared" si="16"/>
        <v>Desceu</v>
      </c>
      <c r="AG11" s="52">
        <f t="shared" si="17"/>
        <v>0.34250000000000003</v>
      </c>
      <c r="AH11" s="53">
        <f t="shared" si="18"/>
        <v>24.439478584729983</v>
      </c>
      <c r="AI11" s="45">
        <f t="shared" si="19"/>
        <v>40191843998.184433</v>
      </c>
      <c r="AJ11" s="54" t="str">
        <f t="shared" si="20"/>
        <v>Subiu</v>
      </c>
    </row>
    <row r="12" spans="1:36" ht="14.25" customHeight="1" x14ac:dyDescent="0.25">
      <c r="A12" s="38" t="s">
        <v>39</v>
      </c>
      <c r="B12" s="39">
        <v>45317</v>
      </c>
      <c r="C12" s="40">
        <v>27.56</v>
      </c>
      <c r="D12" s="38">
        <v>1.43</v>
      </c>
      <c r="E12" s="38">
        <v>3.41</v>
      </c>
      <c r="F12" s="38">
        <v>-4.17</v>
      </c>
      <c r="G12" s="38">
        <v>-4.17</v>
      </c>
      <c r="H12" s="38">
        <v>-6.01</v>
      </c>
      <c r="I12" s="38">
        <v>26.9</v>
      </c>
      <c r="J12" s="38">
        <v>27.91</v>
      </c>
      <c r="K12" s="38" t="s">
        <v>40</v>
      </c>
      <c r="L12" s="41" t="str">
        <f>VLOOKUP(A12,Ticker!A:B,2,0)</f>
        <v>Rede D'Or</v>
      </c>
      <c r="M12" s="41" t="str">
        <f>VLOOKUP(L12,Chatgpt!A:C,2,0)</f>
        <v>Saúde</v>
      </c>
      <c r="N12" s="41">
        <f>VLOOKUP(L12,Chatgpt!A:C,3,0)</f>
        <v>48</v>
      </c>
      <c r="O12" s="41" t="str">
        <f t="shared" si="0"/>
        <v>Menor de 50 anos</v>
      </c>
      <c r="P12" s="42">
        <f>VLOOKUP(A12,Total_de_acoes!A:B,2,0)</f>
        <v>1168230366</v>
      </c>
      <c r="Q12" s="43">
        <f t="shared" si="1"/>
        <v>1.43E-2</v>
      </c>
      <c r="R12" s="44">
        <f t="shared" si="2"/>
        <v>27.171448289460709</v>
      </c>
      <c r="S12" s="45">
        <f t="shared" si="3"/>
        <v>453917907.01323998</v>
      </c>
      <c r="T12" s="43" t="str">
        <f t="shared" si="4"/>
        <v>Subiu</v>
      </c>
      <c r="U12" s="46">
        <f t="shared" si="5"/>
        <v>3.4099999999999998E-2</v>
      </c>
      <c r="V12" s="47">
        <f t="shared" si="6"/>
        <v>26.651194275215161</v>
      </c>
      <c r="W12" s="48">
        <f t="shared" si="7"/>
        <v>1061694444.488286</v>
      </c>
      <c r="X12" s="46" t="str">
        <f t="shared" si="8"/>
        <v>Subiu</v>
      </c>
      <c r="Y12" s="43">
        <f t="shared" si="9"/>
        <v>-4.1700000000000001E-2</v>
      </c>
      <c r="Z12" s="44">
        <f t="shared" si="10"/>
        <v>28.759261191693621</v>
      </c>
      <c r="AA12" s="45">
        <f t="shared" si="11"/>
        <v>-1401013340.9018369</v>
      </c>
      <c r="AB12" s="43" t="str">
        <f t="shared" si="12"/>
        <v>Desceu</v>
      </c>
      <c r="AC12" s="49">
        <f t="shared" si="13"/>
        <v>-4.1700000000000001E-2</v>
      </c>
      <c r="AD12" s="50">
        <f t="shared" si="14"/>
        <v>28.759261191693621</v>
      </c>
      <c r="AE12" s="48">
        <f t="shared" si="15"/>
        <v>-1401013340.9018369</v>
      </c>
      <c r="AF12" s="51" t="str">
        <f t="shared" si="16"/>
        <v>Desceu</v>
      </c>
      <c r="AG12" s="52">
        <f t="shared" si="17"/>
        <v>-6.0100000000000001E-2</v>
      </c>
      <c r="AH12" s="53">
        <f t="shared" si="18"/>
        <v>29.322268326417703</v>
      </c>
      <c r="AI12" s="45">
        <f t="shared" si="19"/>
        <v>-2058735371.9611621</v>
      </c>
      <c r="AJ12" s="54" t="str">
        <f t="shared" si="20"/>
        <v>Desceu</v>
      </c>
    </row>
    <row r="13" spans="1:36" ht="14.25" customHeight="1" x14ac:dyDescent="0.25">
      <c r="A13" s="38" t="s">
        <v>41</v>
      </c>
      <c r="B13" s="39">
        <v>45317</v>
      </c>
      <c r="C13" s="40">
        <v>18.55</v>
      </c>
      <c r="D13" s="38">
        <v>1.42</v>
      </c>
      <c r="E13" s="38">
        <v>5.0999999999999996</v>
      </c>
      <c r="F13" s="38">
        <v>-15.14</v>
      </c>
      <c r="G13" s="38">
        <v>-15.14</v>
      </c>
      <c r="H13" s="38">
        <v>-18.39</v>
      </c>
      <c r="I13" s="38">
        <v>18.29</v>
      </c>
      <c r="J13" s="38">
        <v>18.73</v>
      </c>
      <c r="K13" s="38" t="s">
        <v>42</v>
      </c>
      <c r="L13" s="41" t="str">
        <f>VLOOKUP(A13,Ticker!A:B,2,0)</f>
        <v>Braskem</v>
      </c>
      <c r="M13" s="41" t="str">
        <f>VLOOKUP(L13,Chatgpt!A:C,2,0)</f>
        <v>Química</v>
      </c>
      <c r="N13" s="41">
        <f>VLOOKUP(L13,Chatgpt!A:C,3,0)</f>
        <v>19</v>
      </c>
      <c r="O13" s="41" t="str">
        <f t="shared" si="0"/>
        <v>Menor de 50 anos</v>
      </c>
      <c r="P13" s="42">
        <f>VLOOKUP(A13,Total_de_acoes!A:B,2,0)</f>
        <v>265877867</v>
      </c>
      <c r="Q13" s="43">
        <f t="shared" si="1"/>
        <v>1.4199999999999999E-2</v>
      </c>
      <c r="R13" s="44">
        <f t="shared" si="2"/>
        <v>18.290278051666338</v>
      </c>
      <c r="S13" s="45">
        <f t="shared" si="3"/>
        <v>69054317.636038527</v>
      </c>
      <c r="T13" s="43" t="str">
        <f t="shared" si="4"/>
        <v>Subiu</v>
      </c>
      <c r="U13" s="46">
        <f t="shared" si="5"/>
        <v>5.0999999999999997E-2</v>
      </c>
      <c r="V13" s="47">
        <f t="shared" si="6"/>
        <v>17.649857278782115</v>
      </c>
      <c r="W13" s="48">
        <f t="shared" si="7"/>
        <v>239328026.71298718</v>
      </c>
      <c r="X13" s="46" t="str">
        <f t="shared" si="8"/>
        <v>Subiu</v>
      </c>
      <c r="Y13" s="43">
        <f t="shared" si="9"/>
        <v>-0.15140000000000001</v>
      </c>
      <c r="Z13" s="44">
        <f t="shared" si="10"/>
        <v>21.859533349045488</v>
      </c>
      <c r="AA13" s="45">
        <f t="shared" si="11"/>
        <v>-879931667.60958076</v>
      </c>
      <c r="AB13" s="43" t="str">
        <f t="shared" si="12"/>
        <v>Desceu</v>
      </c>
      <c r="AC13" s="49">
        <f t="shared" si="13"/>
        <v>-0.15140000000000001</v>
      </c>
      <c r="AD13" s="50">
        <f t="shared" si="14"/>
        <v>21.859533349045488</v>
      </c>
      <c r="AE13" s="48">
        <f t="shared" si="15"/>
        <v>-879931667.60958076</v>
      </c>
      <c r="AF13" s="51" t="str">
        <f t="shared" si="16"/>
        <v>Desceu</v>
      </c>
      <c r="AG13" s="52">
        <f t="shared" si="17"/>
        <v>-0.18390000000000001</v>
      </c>
      <c r="AH13" s="53">
        <f t="shared" si="18"/>
        <v>22.730057590981495</v>
      </c>
      <c r="AI13" s="45">
        <f t="shared" si="19"/>
        <v>-1111384796.2273183</v>
      </c>
      <c r="AJ13" s="54" t="str">
        <f t="shared" si="20"/>
        <v>Desceu</v>
      </c>
    </row>
    <row r="14" spans="1:36" ht="14.25" customHeight="1" x14ac:dyDescent="0.25">
      <c r="A14" s="38" t="s">
        <v>43</v>
      </c>
      <c r="B14" s="39">
        <v>45317</v>
      </c>
      <c r="C14" s="40">
        <v>14.27</v>
      </c>
      <c r="D14" s="38">
        <v>1.42</v>
      </c>
      <c r="E14" s="38">
        <v>8.85</v>
      </c>
      <c r="F14" s="38">
        <v>-10.87</v>
      </c>
      <c r="G14" s="38">
        <v>-10.87</v>
      </c>
      <c r="H14" s="38">
        <v>18.52</v>
      </c>
      <c r="I14" s="38">
        <v>13.8</v>
      </c>
      <c r="J14" s="38">
        <v>14.36</v>
      </c>
      <c r="K14" s="38" t="s">
        <v>44</v>
      </c>
      <c r="L14" s="41" t="str">
        <f>VLOOKUP(A14,Ticker!A:B,2,0)</f>
        <v>Azul</v>
      </c>
      <c r="M14" s="41" t="str">
        <f>VLOOKUP(L14,Chatgpt!A:C,2,0)</f>
        <v>Aviação</v>
      </c>
      <c r="N14" s="41">
        <f>VLOOKUP(L14,Chatgpt!A:C,3,0)</f>
        <v>13</v>
      </c>
      <c r="O14" s="41" t="str">
        <f t="shared" si="0"/>
        <v>Menor de 50 anos</v>
      </c>
      <c r="P14" s="42">
        <f>VLOOKUP(A14,Total_de_acoes!A:B,2,0)</f>
        <v>327593725</v>
      </c>
      <c r="Q14" s="43">
        <f t="shared" si="1"/>
        <v>1.4199999999999999E-2</v>
      </c>
      <c r="R14" s="44">
        <f t="shared" si="2"/>
        <v>14.070203115756261</v>
      </c>
      <c r="S14" s="45">
        <f t="shared" si="3"/>
        <v>65452205.552800186</v>
      </c>
      <c r="T14" s="43" t="str">
        <f t="shared" si="4"/>
        <v>Subiu</v>
      </c>
      <c r="U14" s="46">
        <f t="shared" si="5"/>
        <v>8.8499999999999995E-2</v>
      </c>
      <c r="V14" s="47">
        <f t="shared" si="6"/>
        <v>13.109784106568672</v>
      </c>
      <c r="W14" s="48">
        <f t="shared" si="7"/>
        <v>380079446.33337176</v>
      </c>
      <c r="X14" s="46" t="str">
        <f t="shared" si="8"/>
        <v>Subiu</v>
      </c>
      <c r="Y14" s="43">
        <f t="shared" si="9"/>
        <v>-0.10869999999999999</v>
      </c>
      <c r="Z14" s="44">
        <f t="shared" si="10"/>
        <v>16.010322001570739</v>
      </c>
      <c r="AA14" s="45">
        <f t="shared" si="11"/>
        <v>-570118567.19401419</v>
      </c>
      <c r="AB14" s="43" t="str">
        <f t="shared" si="12"/>
        <v>Desceu</v>
      </c>
      <c r="AC14" s="49">
        <f t="shared" si="13"/>
        <v>-0.10869999999999999</v>
      </c>
      <c r="AD14" s="50">
        <f t="shared" si="14"/>
        <v>16.010322001570739</v>
      </c>
      <c r="AE14" s="48">
        <f t="shared" si="15"/>
        <v>-570118567.19401419</v>
      </c>
      <c r="AF14" s="51" t="str">
        <f t="shared" si="16"/>
        <v>Desceu</v>
      </c>
      <c r="AG14" s="52">
        <f t="shared" si="17"/>
        <v>0.1852</v>
      </c>
      <c r="AH14" s="53">
        <f t="shared" si="18"/>
        <v>12.040161997975025</v>
      </c>
      <c r="AI14" s="45">
        <f t="shared" si="19"/>
        <v>730480937.22991908</v>
      </c>
      <c r="AJ14" s="54" t="str">
        <f t="shared" si="20"/>
        <v>Subiu</v>
      </c>
    </row>
    <row r="15" spans="1:36" ht="14.25" customHeight="1" x14ac:dyDescent="0.25">
      <c r="A15" s="38" t="s">
        <v>45</v>
      </c>
      <c r="B15" s="39">
        <v>45317</v>
      </c>
      <c r="C15" s="40">
        <v>28.75</v>
      </c>
      <c r="D15" s="38">
        <v>1.41</v>
      </c>
      <c r="E15" s="38">
        <v>-2.71</v>
      </c>
      <c r="F15" s="38">
        <v>9.4</v>
      </c>
      <c r="G15" s="38">
        <v>9.4</v>
      </c>
      <c r="H15" s="38">
        <v>-37.700000000000003</v>
      </c>
      <c r="I15" s="38">
        <v>28</v>
      </c>
      <c r="J15" s="38">
        <v>28.75</v>
      </c>
      <c r="K15" s="38" t="s">
        <v>46</v>
      </c>
      <c r="L15" s="41" t="str">
        <f>VLOOKUP(A15,Ticker!A:B,2,0)</f>
        <v>3R Petroleum</v>
      </c>
      <c r="M15" s="41" t="str">
        <f>VLOOKUP(L15,Chatgpt!A:C,2,0)</f>
        <v>Petróleo</v>
      </c>
      <c r="N15" s="41">
        <f>VLOOKUP(L15,Chatgpt!A:C,3,0)</f>
        <v>10</v>
      </c>
      <c r="O15" s="41" t="str">
        <f t="shared" si="0"/>
        <v>Menor de 50 anos</v>
      </c>
      <c r="P15" s="42">
        <f>VLOOKUP(A15,Total_de_acoes!A:B,2,0)</f>
        <v>235665566</v>
      </c>
      <c r="Q15" s="43">
        <f t="shared" si="1"/>
        <v>1.41E-2</v>
      </c>
      <c r="R15" s="44">
        <f t="shared" si="2"/>
        <v>28.350261315452126</v>
      </c>
      <c r="S15" s="45">
        <f t="shared" si="3"/>
        <v>94204643.346070096</v>
      </c>
      <c r="T15" s="43" t="str">
        <f t="shared" si="4"/>
        <v>Subiu</v>
      </c>
      <c r="U15" s="46">
        <f t="shared" si="5"/>
        <v>-2.7099999999999999E-2</v>
      </c>
      <c r="V15" s="47">
        <f t="shared" si="6"/>
        <v>29.550827423167849</v>
      </c>
      <c r="W15" s="48">
        <f t="shared" si="7"/>
        <v>-188727447.94917268</v>
      </c>
      <c r="X15" s="46" t="str">
        <f t="shared" si="8"/>
        <v>Desceu</v>
      </c>
      <c r="Y15" s="43">
        <f t="shared" si="9"/>
        <v>9.4E-2</v>
      </c>
      <c r="Z15" s="44">
        <f t="shared" si="10"/>
        <v>26.279707495429616</v>
      </c>
      <c r="AA15" s="45">
        <f t="shared" si="11"/>
        <v>582162881.27513719</v>
      </c>
      <c r="AB15" s="43" t="str">
        <f t="shared" si="12"/>
        <v>Subiu</v>
      </c>
      <c r="AC15" s="49">
        <f t="shared" si="13"/>
        <v>9.4E-2</v>
      </c>
      <c r="AD15" s="50">
        <f t="shared" si="14"/>
        <v>26.279707495429616</v>
      </c>
      <c r="AE15" s="48">
        <f t="shared" si="15"/>
        <v>582162881.27513719</v>
      </c>
      <c r="AF15" s="51" t="str">
        <f t="shared" si="16"/>
        <v>Subiu</v>
      </c>
      <c r="AG15" s="52">
        <f t="shared" si="17"/>
        <v>-0.377</v>
      </c>
      <c r="AH15" s="53">
        <f t="shared" si="18"/>
        <v>46.147672552166931</v>
      </c>
      <c r="AI15" s="45">
        <f t="shared" si="19"/>
        <v>-4100032349.0890841</v>
      </c>
      <c r="AJ15" s="54" t="str">
        <f t="shared" si="20"/>
        <v>Desceu</v>
      </c>
    </row>
    <row r="16" spans="1:36" ht="14.25" customHeight="1" x14ac:dyDescent="0.25">
      <c r="A16" s="38" t="s">
        <v>47</v>
      </c>
      <c r="B16" s="39">
        <v>45317</v>
      </c>
      <c r="C16" s="40">
        <v>35.32</v>
      </c>
      <c r="D16" s="38">
        <v>1.34</v>
      </c>
      <c r="E16" s="38">
        <v>2.76</v>
      </c>
      <c r="F16" s="38">
        <v>-1.1200000000000001</v>
      </c>
      <c r="G16" s="38">
        <v>-1.1200000000000001</v>
      </c>
      <c r="H16" s="38">
        <v>28.01</v>
      </c>
      <c r="I16" s="38">
        <v>34.85</v>
      </c>
      <c r="J16" s="38">
        <v>35.76</v>
      </c>
      <c r="K16" s="38" t="s">
        <v>48</v>
      </c>
      <c r="L16" s="41" t="str">
        <f>VLOOKUP(A16,Ticker!A:B,2,0)</f>
        <v>Equatorial Energia</v>
      </c>
      <c r="M16" s="41" t="str">
        <f>VLOOKUP(L16,Chatgpt!A:C,2,0)</f>
        <v>Energia</v>
      </c>
      <c r="N16" s="41">
        <f>VLOOKUP(L16,Chatgpt!A:C,3,0)</f>
        <v>23</v>
      </c>
      <c r="O16" s="41" t="str">
        <f t="shared" si="0"/>
        <v>Menor de 50 anos</v>
      </c>
      <c r="P16" s="42">
        <f>VLOOKUP(A16,Total_de_acoes!A:B,2,0)</f>
        <v>1095587251</v>
      </c>
      <c r="Q16" s="43">
        <f t="shared" si="1"/>
        <v>1.34E-2</v>
      </c>
      <c r="R16" s="44">
        <f t="shared" si="2"/>
        <v>34.852970199328986</v>
      </c>
      <c r="S16" s="45">
        <f t="shared" si="3"/>
        <v>511671895.45223427</v>
      </c>
      <c r="T16" s="43" t="str">
        <f t="shared" si="4"/>
        <v>Subiu</v>
      </c>
      <c r="U16" s="46">
        <f t="shared" si="5"/>
        <v>2.76E-2</v>
      </c>
      <c r="V16" s="47">
        <f t="shared" si="6"/>
        <v>34.37135072012456</v>
      </c>
      <c r="W16" s="48">
        <f t="shared" si="7"/>
        <v>1039328056.7018627</v>
      </c>
      <c r="X16" s="46" t="str">
        <f t="shared" si="8"/>
        <v>Subiu</v>
      </c>
      <c r="Y16" s="43">
        <f t="shared" si="9"/>
        <v>-1.1200000000000002E-2</v>
      </c>
      <c r="Z16" s="44">
        <f t="shared" si="10"/>
        <v>35.720064724919091</v>
      </c>
      <c r="AA16" s="45">
        <f t="shared" si="11"/>
        <v>-438305812.19617754</v>
      </c>
      <c r="AB16" s="43" t="str">
        <f t="shared" si="12"/>
        <v>Desceu</v>
      </c>
      <c r="AC16" s="49">
        <f t="shared" si="13"/>
        <v>-1.1200000000000002E-2</v>
      </c>
      <c r="AD16" s="50">
        <f t="shared" si="14"/>
        <v>35.720064724919091</v>
      </c>
      <c r="AE16" s="48">
        <f t="shared" si="15"/>
        <v>-438305812.19617754</v>
      </c>
      <c r="AF16" s="51" t="str">
        <f t="shared" si="16"/>
        <v>Desceu</v>
      </c>
      <c r="AG16" s="52">
        <f t="shared" si="17"/>
        <v>0.28010000000000002</v>
      </c>
      <c r="AH16" s="53">
        <f t="shared" si="18"/>
        <v>27.591594406686976</v>
      </c>
      <c r="AI16" s="45">
        <f t="shared" si="19"/>
        <v>8467142638.5908403</v>
      </c>
      <c r="AJ16" s="54" t="str">
        <f t="shared" si="20"/>
        <v>Subiu</v>
      </c>
    </row>
    <row r="17" spans="1:36" ht="14.25" customHeight="1" x14ac:dyDescent="0.25">
      <c r="A17" s="38" t="s">
        <v>49</v>
      </c>
      <c r="B17" s="39">
        <v>45317</v>
      </c>
      <c r="C17" s="40">
        <v>18.16</v>
      </c>
      <c r="D17" s="38">
        <v>1.33</v>
      </c>
      <c r="E17" s="38">
        <v>4.79</v>
      </c>
      <c r="F17" s="38">
        <v>-7.63</v>
      </c>
      <c r="G17" s="38">
        <v>-7.63</v>
      </c>
      <c r="H17" s="38">
        <v>12.45</v>
      </c>
      <c r="I17" s="38">
        <v>18</v>
      </c>
      <c r="J17" s="38">
        <v>18.489999999999998</v>
      </c>
      <c r="K17" s="38" t="s">
        <v>50</v>
      </c>
      <c r="L17" s="41" t="str">
        <f>VLOOKUP(A17,Ticker!A:B,2,0)</f>
        <v>Siderúrgica Nacional</v>
      </c>
      <c r="M17" s="41" t="str">
        <f>VLOOKUP(L17,Chatgpt!A:C,2,0)</f>
        <v>Siderurgia</v>
      </c>
      <c r="N17" s="41">
        <f>VLOOKUP(L17,Chatgpt!A:C,3,0)</f>
        <v>80</v>
      </c>
      <c r="O17" s="41" t="str">
        <f t="shared" si="0"/>
        <v>Entre 50 e 100 anos</v>
      </c>
      <c r="P17" s="42">
        <f>VLOOKUP(A17,Total_de_acoes!A:B,2,0)</f>
        <v>600865451</v>
      </c>
      <c r="Q17" s="43">
        <f t="shared" si="1"/>
        <v>1.3300000000000001E-2</v>
      </c>
      <c r="R17" s="44">
        <f t="shared" si="2"/>
        <v>17.921642159281554</v>
      </c>
      <c r="S17" s="45">
        <f t="shared" si="3"/>
        <v>143220991.46267557</v>
      </c>
      <c r="T17" s="43" t="str">
        <f t="shared" si="4"/>
        <v>Subiu</v>
      </c>
      <c r="U17" s="46">
        <f t="shared" si="5"/>
        <v>4.7899999999999998E-2</v>
      </c>
      <c r="V17" s="47">
        <f t="shared" si="6"/>
        <v>17.329897891020135</v>
      </c>
      <c r="W17" s="48">
        <f t="shared" si="7"/>
        <v>498779678.08823788</v>
      </c>
      <c r="X17" s="46" t="str">
        <f t="shared" si="8"/>
        <v>Subiu</v>
      </c>
      <c r="Y17" s="43">
        <f t="shared" si="9"/>
        <v>-7.6299999999999993E-2</v>
      </c>
      <c r="Z17" s="44">
        <f t="shared" si="10"/>
        <v>19.660062790949443</v>
      </c>
      <c r="AA17" s="45">
        <f t="shared" si="11"/>
        <v>-901335905.41215551</v>
      </c>
      <c r="AB17" s="43" t="str">
        <f t="shared" si="12"/>
        <v>Desceu</v>
      </c>
      <c r="AC17" s="49">
        <f t="shared" si="13"/>
        <v>-7.6299999999999993E-2</v>
      </c>
      <c r="AD17" s="50">
        <f t="shared" si="14"/>
        <v>19.660062790949443</v>
      </c>
      <c r="AE17" s="48">
        <f t="shared" si="15"/>
        <v>-901335905.41215551</v>
      </c>
      <c r="AF17" s="51" t="str">
        <f t="shared" si="16"/>
        <v>Desceu</v>
      </c>
      <c r="AG17" s="52">
        <f t="shared" si="17"/>
        <v>0.1245</v>
      </c>
      <c r="AH17" s="53">
        <f t="shared" si="18"/>
        <v>16.149399733214761</v>
      </c>
      <c r="AI17" s="45">
        <f t="shared" si="19"/>
        <v>1208100236.0826333</v>
      </c>
      <c r="AJ17" s="54" t="str">
        <f t="shared" si="20"/>
        <v>Subiu</v>
      </c>
    </row>
    <row r="18" spans="1:36" ht="14.25" customHeight="1" x14ac:dyDescent="0.25">
      <c r="A18" s="38" t="s">
        <v>51</v>
      </c>
      <c r="B18" s="39">
        <v>45317</v>
      </c>
      <c r="C18" s="40">
        <v>19.77</v>
      </c>
      <c r="D18" s="38">
        <v>1.28</v>
      </c>
      <c r="E18" s="38">
        <v>-5.9</v>
      </c>
      <c r="F18" s="38">
        <v>-11.82</v>
      </c>
      <c r="G18" s="38">
        <v>-11.82</v>
      </c>
      <c r="H18" s="38">
        <v>108.45</v>
      </c>
      <c r="I18" s="38">
        <v>18.989999999999998</v>
      </c>
      <c r="J18" s="38">
        <v>19.78</v>
      </c>
      <c r="K18" s="38" t="s">
        <v>52</v>
      </c>
      <c r="L18" s="41" t="str">
        <f>VLOOKUP(A18,Ticker!A:B,2,0)</f>
        <v>YDUQS</v>
      </c>
      <c r="M18" s="41" t="str">
        <f>VLOOKUP(L18,Chatgpt!A:C,2,0)</f>
        <v>Educação</v>
      </c>
      <c r="N18" s="41">
        <f>VLOOKUP(L18,Chatgpt!A:C,3,0)</f>
        <v>59</v>
      </c>
      <c r="O18" s="41" t="str">
        <f t="shared" si="0"/>
        <v>Entre 50 e 100 anos</v>
      </c>
      <c r="P18" s="42">
        <f>VLOOKUP(A18,Total_de_acoes!A:B,2,0)</f>
        <v>289347914</v>
      </c>
      <c r="Q18" s="43">
        <f t="shared" si="1"/>
        <v>1.2800000000000001E-2</v>
      </c>
      <c r="R18" s="44">
        <f t="shared" si="2"/>
        <v>19.520142180094787</v>
      </c>
      <c r="S18" s="45">
        <f t="shared" si="3"/>
        <v>72295838.986160949</v>
      </c>
      <c r="T18" s="43" t="str">
        <f t="shared" si="4"/>
        <v>Subiu</v>
      </c>
      <c r="U18" s="46">
        <f t="shared" si="5"/>
        <v>-5.9000000000000004E-2</v>
      </c>
      <c r="V18" s="47">
        <f t="shared" si="6"/>
        <v>21.009564293304994</v>
      </c>
      <c r="W18" s="48">
        <f t="shared" si="7"/>
        <v>-358665342.53668422</v>
      </c>
      <c r="X18" s="46" t="str">
        <f t="shared" si="8"/>
        <v>Desceu</v>
      </c>
      <c r="Y18" s="43">
        <f t="shared" si="9"/>
        <v>-0.1182</v>
      </c>
      <c r="Z18" s="44">
        <f t="shared" si="10"/>
        <v>22.420049897936039</v>
      </c>
      <c r="AA18" s="45">
        <f t="shared" si="11"/>
        <v>-766786409.9637059</v>
      </c>
      <c r="AB18" s="43" t="str">
        <f t="shared" si="12"/>
        <v>Desceu</v>
      </c>
      <c r="AC18" s="49">
        <f t="shared" si="13"/>
        <v>-0.1182</v>
      </c>
      <c r="AD18" s="50">
        <f t="shared" si="14"/>
        <v>22.420049897936039</v>
      </c>
      <c r="AE18" s="48">
        <f t="shared" si="15"/>
        <v>-766786409.9637059</v>
      </c>
      <c r="AF18" s="51" t="str">
        <f t="shared" si="16"/>
        <v>Desceu</v>
      </c>
      <c r="AG18" s="52">
        <f t="shared" si="17"/>
        <v>1.0845</v>
      </c>
      <c r="AH18" s="53">
        <f t="shared" si="18"/>
        <v>9.4842887982729653</v>
      </c>
      <c r="AI18" s="45">
        <f t="shared" si="19"/>
        <v>2976149080.2261505</v>
      </c>
      <c r="AJ18" s="54" t="str">
        <f t="shared" si="20"/>
        <v>Subiu</v>
      </c>
    </row>
    <row r="19" spans="1:36" ht="14.25" customHeight="1" x14ac:dyDescent="0.25">
      <c r="A19" s="38" t="s">
        <v>53</v>
      </c>
      <c r="B19" s="39">
        <v>45317</v>
      </c>
      <c r="C19" s="40">
        <v>28.31</v>
      </c>
      <c r="D19" s="38">
        <v>1.28</v>
      </c>
      <c r="E19" s="38">
        <v>2.35</v>
      </c>
      <c r="F19" s="38">
        <v>6.79</v>
      </c>
      <c r="G19" s="38">
        <v>6.79</v>
      </c>
      <c r="H19" s="38">
        <v>119.82</v>
      </c>
      <c r="I19" s="38">
        <v>27.84</v>
      </c>
      <c r="J19" s="38">
        <v>28.39</v>
      </c>
      <c r="K19" s="38" t="s">
        <v>54</v>
      </c>
      <c r="L19" s="41" t="str">
        <f>VLOOKUP(A19,Ticker!A:B,2,0)</f>
        <v>Ultrapar</v>
      </c>
      <c r="M19" s="41" t="str">
        <f>VLOOKUP(L19,Chatgpt!A:C,2,0)</f>
        <v>Energia</v>
      </c>
      <c r="N19" s="41">
        <f>VLOOKUP(L19,Chatgpt!A:C,3,0)</f>
        <v>83</v>
      </c>
      <c r="O19" s="41" t="str">
        <f t="shared" si="0"/>
        <v>Entre 50 e 100 anos</v>
      </c>
      <c r="P19" s="42">
        <f>VLOOKUP(A19,Total_de_acoes!A:B,2,0)</f>
        <v>1086411192</v>
      </c>
      <c r="Q19" s="43">
        <f t="shared" si="1"/>
        <v>1.2800000000000001E-2</v>
      </c>
      <c r="R19" s="44">
        <f t="shared" si="2"/>
        <v>27.952211690363349</v>
      </c>
      <c r="S19" s="45">
        <f t="shared" si="3"/>
        <v>388705223.95601785</v>
      </c>
      <c r="T19" s="43" t="str">
        <f t="shared" si="4"/>
        <v>Subiu</v>
      </c>
      <c r="U19" s="46">
        <f t="shared" si="5"/>
        <v>2.35E-2</v>
      </c>
      <c r="V19" s="47">
        <f t="shared" si="6"/>
        <v>27.659990229604297</v>
      </c>
      <c r="W19" s="48">
        <f t="shared" si="7"/>
        <v>706177889.46724069</v>
      </c>
      <c r="X19" s="46" t="str">
        <f t="shared" si="8"/>
        <v>Subiu</v>
      </c>
      <c r="Y19" s="43">
        <f t="shared" si="9"/>
        <v>6.7900000000000002E-2</v>
      </c>
      <c r="Z19" s="44">
        <f t="shared" si="10"/>
        <v>26.509972843899238</v>
      </c>
      <c r="AA19" s="45">
        <f t="shared" si="11"/>
        <v>1955569648.2917976</v>
      </c>
      <c r="AB19" s="43" t="str">
        <f t="shared" si="12"/>
        <v>Subiu</v>
      </c>
      <c r="AC19" s="49">
        <f t="shared" si="13"/>
        <v>6.7900000000000002E-2</v>
      </c>
      <c r="AD19" s="50">
        <f t="shared" si="14"/>
        <v>26.509972843899238</v>
      </c>
      <c r="AE19" s="48">
        <f t="shared" si="15"/>
        <v>1955569648.2917976</v>
      </c>
      <c r="AF19" s="51" t="str">
        <f t="shared" si="16"/>
        <v>Subiu</v>
      </c>
      <c r="AG19" s="52">
        <f t="shared" si="17"/>
        <v>1.1981999999999999</v>
      </c>
      <c r="AH19" s="53">
        <f t="shared" si="18"/>
        <v>12.878718951869711</v>
      </c>
      <c r="AI19" s="45">
        <f t="shared" si="19"/>
        <v>16764716437.586235</v>
      </c>
      <c r="AJ19" s="54" t="str">
        <f t="shared" si="20"/>
        <v>Subiu</v>
      </c>
    </row>
    <row r="20" spans="1:36" ht="14.25" customHeight="1" x14ac:dyDescent="0.25">
      <c r="A20" s="38" t="s">
        <v>55</v>
      </c>
      <c r="B20" s="39">
        <v>45317</v>
      </c>
      <c r="C20" s="40">
        <v>8.08</v>
      </c>
      <c r="D20" s="38">
        <v>1.25</v>
      </c>
      <c r="E20" s="38">
        <v>1.38</v>
      </c>
      <c r="F20" s="38">
        <v>-28.05</v>
      </c>
      <c r="G20" s="38">
        <v>-28.05</v>
      </c>
      <c r="H20" s="38">
        <v>14.12</v>
      </c>
      <c r="I20" s="38">
        <v>7.93</v>
      </c>
      <c r="J20" s="38">
        <v>8.23</v>
      </c>
      <c r="K20" s="38" t="s">
        <v>56</v>
      </c>
      <c r="L20" s="41" t="str">
        <f>VLOOKUP(A20,Ticker!A:B,2,0)</f>
        <v>MRV</v>
      </c>
      <c r="M20" s="41" t="str">
        <f>VLOOKUP(L20,Chatgpt!A:C,2,0)</f>
        <v>Construção</v>
      </c>
      <c r="N20" s="41">
        <f>VLOOKUP(L20,Chatgpt!A:C,3,0)</f>
        <v>41</v>
      </c>
      <c r="O20" s="41" t="str">
        <f t="shared" si="0"/>
        <v>Menor de 50 anos</v>
      </c>
      <c r="P20" s="42">
        <f>VLOOKUP(A20,Total_de_acoes!A:B,2,0)</f>
        <v>376187582</v>
      </c>
      <c r="Q20" s="43">
        <f t="shared" si="1"/>
        <v>1.2500000000000001E-2</v>
      </c>
      <c r="R20" s="44">
        <f t="shared" si="2"/>
        <v>7.9802469135802472</v>
      </c>
      <c r="S20" s="45">
        <f t="shared" si="3"/>
        <v>37525872.377283879</v>
      </c>
      <c r="T20" s="43" t="str">
        <f t="shared" si="4"/>
        <v>Subiu</v>
      </c>
      <c r="U20" s="46">
        <f t="shared" si="5"/>
        <v>1.38E-2</v>
      </c>
      <c r="V20" s="47">
        <f t="shared" si="6"/>
        <v>7.9700138094298678</v>
      </c>
      <c r="W20" s="48">
        <f t="shared" si="7"/>
        <v>41375439.083969258</v>
      </c>
      <c r="X20" s="46" t="str">
        <f t="shared" si="8"/>
        <v>Subiu</v>
      </c>
      <c r="Y20" s="43">
        <f t="shared" si="9"/>
        <v>-0.28050000000000003</v>
      </c>
      <c r="Z20" s="44">
        <f t="shared" si="10"/>
        <v>11.23002084781098</v>
      </c>
      <c r="AA20" s="45">
        <f t="shared" si="11"/>
        <v>-1184998725.9876027</v>
      </c>
      <c r="AB20" s="43" t="str">
        <f t="shared" si="12"/>
        <v>Desceu</v>
      </c>
      <c r="AC20" s="49">
        <f t="shared" si="13"/>
        <v>-0.28050000000000003</v>
      </c>
      <c r="AD20" s="50">
        <f t="shared" si="14"/>
        <v>11.23002084781098</v>
      </c>
      <c r="AE20" s="48">
        <f t="shared" si="15"/>
        <v>-1184998725.9876027</v>
      </c>
      <c r="AF20" s="51" t="str">
        <f t="shared" si="16"/>
        <v>Desceu</v>
      </c>
      <c r="AG20" s="52">
        <f t="shared" si="17"/>
        <v>0.14119999999999999</v>
      </c>
      <c r="AH20" s="53">
        <f t="shared" si="18"/>
        <v>7.0802663862600772</v>
      </c>
      <c r="AI20" s="45">
        <f t="shared" si="19"/>
        <v>376087370.79694355</v>
      </c>
      <c r="AJ20" s="54" t="str">
        <f t="shared" si="20"/>
        <v>Subiu</v>
      </c>
    </row>
    <row r="21" spans="1:36" ht="14.25" customHeight="1" x14ac:dyDescent="0.25">
      <c r="A21" s="38" t="s">
        <v>57</v>
      </c>
      <c r="B21" s="39">
        <v>45317</v>
      </c>
      <c r="C21" s="40">
        <v>57.91</v>
      </c>
      <c r="D21" s="38">
        <v>1.1499999999999999</v>
      </c>
      <c r="E21" s="38">
        <v>-1.03</v>
      </c>
      <c r="F21" s="38">
        <v>-10.26</v>
      </c>
      <c r="G21" s="38">
        <v>-10.26</v>
      </c>
      <c r="H21" s="38">
        <v>-28.97</v>
      </c>
      <c r="I21" s="38">
        <v>56.22</v>
      </c>
      <c r="J21" s="38">
        <v>59.29</v>
      </c>
      <c r="K21" s="38" t="s">
        <v>58</v>
      </c>
      <c r="L21" s="41" t="str">
        <f>VLOOKUP(A21,Ticker!A:B,2,0)</f>
        <v>Arezzo</v>
      </c>
      <c r="M21" s="41" t="str">
        <f>VLOOKUP(L21,Chatgpt!A:C,2,0)</f>
        <v>Moda</v>
      </c>
      <c r="N21" s="41">
        <f>VLOOKUP(L21,Chatgpt!A:C,3,0)</f>
        <v>50</v>
      </c>
      <c r="O21" s="41" t="str">
        <f t="shared" si="0"/>
        <v>Entre 50 e 100 anos</v>
      </c>
      <c r="P21" s="42">
        <f>VLOOKUP(A21,Total_de_acoes!A:B,2,0)</f>
        <v>62305891</v>
      </c>
      <c r="Q21" s="43">
        <f t="shared" si="1"/>
        <v>1.15E-2</v>
      </c>
      <c r="R21" s="44">
        <f t="shared" si="2"/>
        <v>57.251606524962916</v>
      </c>
      <c r="S21" s="45">
        <f t="shared" si="3"/>
        <v>41021792.090771534</v>
      </c>
      <c r="T21" s="43" t="str">
        <f t="shared" si="4"/>
        <v>Subiu</v>
      </c>
      <c r="U21" s="46">
        <f t="shared" si="5"/>
        <v>-1.03E-2</v>
      </c>
      <c r="V21" s="47">
        <f t="shared" si="6"/>
        <v>58.51268061028594</v>
      </c>
      <c r="W21" s="48">
        <f t="shared" si="7"/>
        <v>-37550552.4122895</v>
      </c>
      <c r="X21" s="46" t="str">
        <f t="shared" si="8"/>
        <v>Desceu</v>
      </c>
      <c r="Y21" s="43">
        <f t="shared" si="9"/>
        <v>-0.1026</v>
      </c>
      <c r="Z21" s="44">
        <f t="shared" si="10"/>
        <v>64.530866948963677</v>
      </c>
      <c r="AA21" s="45">
        <f t="shared" si="11"/>
        <v>-412519014.44763362</v>
      </c>
      <c r="AB21" s="43" t="str">
        <f t="shared" si="12"/>
        <v>Desceu</v>
      </c>
      <c r="AC21" s="49">
        <f t="shared" si="13"/>
        <v>-0.1026</v>
      </c>
      <c r="AD21" s="50">
        <f t="shared" si="14"/>
        <v>64.530866948963677</v>
      </c>
      <c r="AE21" s="48">
        <f t="shared" si="15"/>
        <v>-412519014.44763362</v>
      </c>
      <c r="AF21" s="51" t="str">
        <f t="shared" si="16"/>
        <v>Desceu</v>
      </c>
      <c r="AG21" s="52">
        <f t="shared" si="17"/>
        <v>-0.28970000000000001</v>
      </c>
      <c r="AH21" s="53">
        <f t="shared" si="18"/>
        <v>81.528931437420809</v>
      </c>
      <c r="AI21" s="45">
        <f t="shared" si="19"/>
        <v>-1471598567.6764145</v>
      </c>
      <c r="AJ21" s="54" t="str">
        <f t="shared" si="20"/>
        <v>Desceu</v>
      </c>
    </row>
    <row r="22" spans="1:36" ht="14.25" customHeight="1" x14ac:dyDescent="0.25">
      <c r="A22" s="38" t="s">
        <v>59</v>
      </c>
      <c r="B22" s="39">
        <v>45317</v>
      </c>
      <c r="C22" s="40">
        <v>15.52</v>
      </c>
      <c r="D22" s="38">
        <v>1.04</v>
      </c>
      <c r="E22" s="38">
        <v>-0.77</v>
      </c>
      <c r="F22" s="38">
        <v>-9.08</v>
      </c>
      <c r="G22" s="38">
        <v>-9.08</v>
      </c>
      <c r="H22" s="38">
        <v>16.11</v>
      </c>
      <c r="I22" s="38">
        <v>15.35</v>
      </c>
      <c r="J22" s="38">
        <v>15.62</v>
      </c>
      <c r="K22" s="38" t="s">
        <v>60</v>
      </c>
      <c r="L22" s="41" t="str">
        <f>VLOOKUP(A22,Ticker!A:B,2,0)</f>
        <v>Banco Bradesco</v>
      </c>
      <c r="M22" s="41" t="str">
        <f>VLOOKUP(L22,Chatgpt!A:C,2,0)</f>
        <v>Banco</v>
      </c>
      <c r="N22" s="41">
        <f>VLOOKUP(L22,Chatgpt!A:C,3,0)</f>
        <v>78</v>
      </c>
      <c r="O22" s="41" t="str">
        <f t="shared" si="0"/>
        <v>Entre 50 e 100 anos</v>
      </c>
      <c r="P22" s="42">
        <f>VLOOKUP(A22,Total_de_acoes!A:B,2,0)</f>
        <v>5146576868</v>
      </c>
      <c r="Q22" s="43">
        <f t="shared" si="1"/>
        <v>1.04E-2</v>
      </c>
      <c r="R22" s="44">
        <f t="shared" si="2"/>
        <v>15.36025336500396</v>
      </c>
      <c r="S22" s="45">
        <f t="shared" si="3"/>
        <v>822148336.41145825</v>
      </c>
      <c r="T22" s="43" t="str">
        <f t="shared" si="4"/>
        <v>Subiu</v>
      </c>
      <c r="U22" s="46">
        <f t="shared" si="5"/>
        <v>-7.7000000000000002E-3</v>
      </c>
      <c r="V22" s="47">
        <f t="shared" si="6"/>
        <v>15.640431321173033</v>
      </c>
      <c r="W22" s="48">
        <f t="shared" si="7"/>
        <v>-619809051.73181033</v>
      </c>
      <c r="X22" s="46" t="str">
        <f t="shared" si="8"/>
        <v>Desceu</v>
      </c>
      <c r="Y22" s="43">
        <f t="shared" si="9"/>
        <v>-9.0800000000000006E-2</v>
      </c>
      <c r="Z22" s="44">
        <f t="shared" si="10"/>
        <v>17.069951605807301</v>
      </c>
      <c r="AA22" s="45">
        <f t="shared" si="11"/>
        <v>-7976945080.9673109</v>
      </c>
      <c r="AB22" s="43" t="str">
        <f t="shared" si="12"/>
        <v>Desceu</v>
      </c>
      <c r="AC22" s="49">
        <f t="shared" si="13"/>
        <v>-9.0800000000000006E-2</v>
      </c>
      <c r="AD22" s="50">
        <f t="shared" si="14"/>
        <v>17.069951605807301</v>
      </c>
      <c r="AE22" s="48">
        <f t="shared" si="15"/>
        <v>-7976945080.9673109</v>
      </c>
      <c r="AF22" s="51" t="str">
        <f t="shared" si="16"/>
        <v>Desceu</v>
      </c>
      <c r="AG22" s="52">
        <f t="shared" si="17"/>
        <v>0.16109999999999999</v>
      </c>
      <c r="AH22" s="53">
        <f t="shared" si="18"/>
        <v>13.366635087417103</v>
      </c>
      <c r="AI22" s="45">
        <f t="shared" si="19"/>
        <v>11082458047.461975</v>
      </c>
      <c r="AJ22" s="54" t="str">
        <f t="shared" si="20"/>
        <v>Subiu</v>
      </c>
    </row>
    <row r="23" spans="1:36" ht="14.25" customHeight="1" x14ac:dyDescent="0.25">
      <c r="A23" s="38" t="s">
        <v>61</v>
      </c>
      <c r="B23" s="39">
        <v>45317</v>
      </c>
      <c r="C23" s="40">
        <v>7.19</v>
      </c>
      <c r="D23" s="38">
        <v>0.98</v>
      </c>
      <c r="E23" s="38">
        <v>6.05</v>
      </c>
      <c r="F23" s="38">
        <v>-3.75</v>
      </c>
      <c r="G23" s="38">
        <v>-3.75</v>
      </c>
      <c r="H23" s="38">
        <v>-48.31</v>
      </c>
      <c r="I23" s="38">
        <v>7.11</v>
      </c>
      <c r="J23" s="38">
        <v>7.24</v>
      </c>
      <c r="K23" s="38" t="s">
        <v>62</v>
      </c>
      <c r="L23" s="41" t="str">
        <f>VLOOKUP(A23,Ticker!A:B,2,0)</f>
        <v>Minerva</v>
      </c>
      <c r="M23" s="41" t="str">
        <f>VLOOKUP(L23,Chatgpt!A:C,2,0)</f>
        <v>Alimentos</v>
      </c>
      <c r="N23" s="41">
        <f>VLOOKUP(L23,Chatgpt!A:C,3,0)</f>
        <v>29</v>
      </c>
      <c r="O23" s="41" t="str">
        <f t="shared" si="0"/>
        <v>Menor de 50 anos</v>
      </c>
      <c r="P23" s="42">
        <f>VLOOKUP(A23,Total_de_acoes!A:B,2,0)</f>
        <v>261036182</v>
      </c>
      <c r="Q23" s="43">
        <f t="shared" si="1"/>
        <v>9.7999999999999997E-3</v>
      </c>
      <c r="R23" s="44">
        <f t="shared" si="2"/>
        <v>7.1202218261041796</v>
      </c>
      <c r="S23" s="45">
        <f t="shared" si="3"/>
        <v>18214628.100697115</v>
      </c>
      <c r="T23" s="43" t="str">
        <f t="shared" si="4"/>
        <v>Subiu</v>
      </c>
      <c r="U23" s="46">
        <f t="shared" si="5"/>
        <v>6.0499999999999998E-2</v>
      </c>
      <c r="V23" s="47">
        <f t="shared" si="6"/>
        <v>6.7798208392267805</v>
      </c>
      <c r="W23" s="48">
        <f t="shared" si="7"/>
        <v>107071602.0642055</v>
      </c>
      <c r="X23" s="46" t="str">
        <f t="shared" si="8"/>
        <v>Subiu</v>
      </c>
      <c r="Y23" s="43">
        <f t="shared" si="9"/>
        <v>-3.7499999999999999E-2</v>
      </c>
      <c r="Z23" s="44">
        <f t="shared" si="10"/>
        <v>7.4701298701298704</v>
      </c>
      <c r="AA23" s="45">
        <f t="shared" si="11"/>
        <v>-73124031.762857109</v>
      </c>
      <c r="AB23" s="43" t="str">
        <f t="shared" si="12"/>
        <v>Desceu</v>
      </c>
      <c r="AC23" s="49">
        <f t="shared" si="13"/>
        <v>-3.7499999999999999E-2</v>
      </c>
      <c r="AD23" s="50">
        <f t="shared" si="14"/>
        <v>7.4701298701298704</v>
      </c>
      <c r="AE23" s="48">
        <f t="shared" si="15"/>
        <v>-73124031.762857109</v>
      </c>
      <c r="AF23" s="51" t="str">
        <f t="shared" si="16"/>
        <v>Desceu</v>
      </c>
      <c r="AG23" s="52">
        <f t="shared" si="17"/>
        <v>-0.48310000000000003</v>
      </c>
      <c r="AH23" s="53">
        <f t="shared" si="18"/>
        <v>13.909847165796094</v>
      </c>
      <c r="AI23" s="45">
        <f t="shared" si="19"/>
        <v>-1754123247.7829332</v>
      </c>
      <c r="AJ23" s="54" t="str">
        <f t="shared" si="20"/>
        <v>Desceu</v>
      </c>
    </row>
    <row r="24" spans="1:36" ht="14.25" customHeight="1" x14ac:dyDescent="0.25">
      <c r="A24" s="38" t="s">
        <v>63</v>
      </c>
      <c r="B24" s="39">
        <v>45317</v>
      </c>
      <c r="C24" s="40">
        <v>4.1399999999999997</v>
      </c>
      <c r="D24" s="38">
        <v>0.97</v>
      </c>
      <c r="E24" s="38">
        <v>-6.33</v>
      </c>
      <c r="F24" s="38">
        <v>1.97</v>
      </c>
      <c r="G24" s="38">
        <v>1.97</v>
      </c>
      <c r="H24" s="38">
        <v>-51.18</v>
      </c>
      <c r="I24" s="38">
        <v>4.08</v>
      </c>
      <c r="J24" s="38">
        <v>4.2</v>
      </c>
      <c r="K24" s="38" t="s">
        <v>64</v>
      </c>
      <c r="L24" s="41" t="str">
        <f>VLOOKUP(A24,Ticker!A:B,2,0)</f>
        <v>Grupo Pão de Açúcar</v>
      </c>
      <c r="M24" s="41" t="str">
        <f>VLOOKUP(L24,Chatgpt!A:C,2,0)</f>
        <v>Varejo</v>
      </c>
      <c r="N24" s="41">
        <f>VLOOKUP(L24,Chatgpt!A:C,3,0)</f>
        <v>72</v>
      </c>
      <c r="O24" s="41" t="str">
        <f t="shared" si="0"/>
        <v>Entre 50 e 100 anos</v>
      </c>
      <c r="P24" s="42">
        <f>VLOOKUP(A24,Total_de_acoes!A:B,2,0)</f>
        <v>159430826</v>
      </c>
      <c r="Q24" s="43">
        <f t="shared" si="1"/>
        <v>9.7000000000000003E-3</v>
      </c>
      <c r="R24" s="44">
        <f t="shared" si="2"/>
        <v>4.1002277904328013</v>
      </c>
      <c r="S24" s="45">
        <f t="shared" si="3"/>
        <v>6340916.223143544</v>
      </c>
      <c r="T24" s="43" t="str">
        <f t="shared" si="4"/>
        <v>Subiu</v>
      </c>
      <c r="U24" s="46">
        <f t="shared" si="5"/>
        <v>-6.3299999999999995E-2</v>
      </c>
      <c r="V24" s="47">
        <f t="shared" si="6"/>
        <v>4.4197715383794165</v>
      </c>
      <c r="W24" s="48">
        <f t="shared" si="7"/>
        <v>-44604207.455121122</v>
      </c>
      <c r="X24" s="46" t="str">
        <f t="shared" si="8"/>
        <v>Desceu</v>
      </c>
      <c r="Y24" s="43">
        <f t="shared" si="9"/>
        <v>1.9699999999999999E-2</v>
      </c>
      <c r="Z24" s="44">
        <f t="shared" si="10"/>
        <v>4.0600176522506617</v>
      </c>
      <c r="AA24" s="45">
        <f t="shared" si="11"/>
        <v>12751651.767096197</v>
      </c>
      <c r="AB24" s="43" t="str">
        <f t="shared" si="12"/>
        <v>Subiu</v>
      </c>
      <c r="AC24" s="49">
        <f t="shared" si="13"/>
        <v>1.9699999999999999E-2</v>
      </c>
      <c r="AD24" s="50">
        <f t="shared" si="14"/>
        <v>4.0600176522506617</v>
      </c>
      <c r="AE24" s="48">
        <f t="shared" si="15"/>
        <v>12751651.767096197</v>
      </c>
      <c r="AF24" s="51" t="str">
        <f t="shared" si="16"/>
        <v>Subiu</v>
      </c>
      <c r="AG24" s="52">
        <f t="shared" si="17"/>
        <v>-0.51180000000000003</v>
      </c>
      <c r="AH24" s="53">
        <f t="shared" si="18"/>
        <v>8.4801310938140109</v>
      </c>
      <c r="AI24" s="45">
        <f t="shared" si="19"/>
        <v>-691950685.23505127</v>
      </c>
      <c r="AJ24" s="54" t="str">
        <f t="shared" si="20"/>
        <v>Desceu</v>
      </c>
    </row>
    <row r="25" spans="1:36" ht="14.25" customHeight="1" x14ac:dyDescent="0.25">
      <c r="A25" s="38" t="s">
        <v>65</v>
      </c>
      <c r="B25" s="39">
        <v>45317</v>
      </c>
      <c r="C25" s="40">
        <v>14.61</v>
      </c>
      <c r="D25" s="38">
        <v>0.96</v>
      </c>
      <c r="E25" s="38">
        <v>12.38</v>
      </c>
      <c r="F25" s="38">
        <v>5.79</v>
      </c>
      <c r="G25" s="38">
        <v>5.79</v>
      </c>
      <c r="H25" s="38">
        <v>78.17</v>
      </c>
      <c r="I25" s="38">
        <v>14.46</v>
      </c>
      <c r="J25" s="38">
        <v>14.93</v>
      </c>
      <c r="K25" s="38" t="s">
        <v>66</v>
      </c>
      <c r="L25" s="41" t="str">
        <f>VLOOKUP(A25,Ticker!A:B,2,0)</f>
        <v>BRF</v>
      </c>
      <c r="M25" s="41" t="str">
        <f>VLOOKUP(L25,Chatgpt!A:C,2,0)</f>
        <v>Alimentos</v>
      </c>
      <c r="N25" s="41">
        <f>VLOOKUP(L25,Chatgpt!A:C,3,0)</f>
        <v>11</v>
      </c>
      <c r="O25" s="41" t="str">
        <f t="shared" si="0"/>
        <v>Menor de 50 anos</v>
      </c>
      <c r="P25" s="42">
        <f>VLOOKUP(A25,Total_de_acoes!A:B,2,0)</f>
        <v>1677525446</v>
      </c>
      <c r="Q25" s="43">
        <f t="shared" si="1"/>
        <v>9.5999999999999992E-3</v>
      </c>
      <c r="R25" s="44">
        <f t="shared" si="2"/>
        <v>14.471077654516639</v>
      </c>
      <c r="S25" s="45">
        <f t="shared" si="3"/>
        <v>233045769.56633979</v>
      </c>
      <c r="T25" s="43" t="str">
        <f t="shared" si="4"/>
        <v>Subiu</v>
      </c>
      <c r="U25" s="46">
        <f t="shared" si="5"/>
        <v>0.12380000000000001</v>
      </c>
      <c r="V25" s="47">
        <f t="shared" si="6"/>
        <v>13.000533902829686</v>
      </c>
      <c r="W25" s="48">
        <f t="shared" si="7"/>
        <v>2699920332.47751</v>
      </c>
      <c r="X25" s="46" t="str">
        <f t="shared" si="8"/>
        <v>Subiu</v>
      </c>
      <c r="Y25" s="43">
        <f t="shared" si="9"/>
        <v>5.79E-2</v>
      </c>
      <c r="Z25" s="44">
        <f t="shared" si="10"/>
        <v>13.810379052840531</v>
      </c>
      <c r="AA25" s="45">
        <f t="shared" si="11"/>
        <v>1341384486.0146294</v>
      </c>
      <c r="AB25" s="43" t="str">
        <f t="shared" si="12"/>
        <v>Subiu</v>
      </c>
      <c r="AC25" s="49">
        <f t="shared" si="13"/>
        <v>5.79E-2</v>
      </c>
      <c r="AD25" s="50">
        <f t="shared" si="14"/>
        <v>13.810379052840531</v>
      </c>
      <c r="AE25" s="48">
        <f t="shared" si="15"/>
        <v>1341384486.0146294</v>
      </c>
      <c r="AF25" s="51" t="str">
        <f t="shared" si="16"/>
        <v>Subiu</v>
      </c>
      <c r="AG25" s="52">
        <f t="shared" si="17"/>
        <v>0.78170000000000006</v>
      </c>
      <c r="AH25" s="53">
        <f t="shared" si="18"/>
        <v>8.2000336757029793</v>
      </c>
      <c r="AI25" s="45">
        <f t="shared" si="19"/>
        <v>10752881617.011339</v>
      </c>
      <c r="AJ25" s="54" t="str">
        <f t="shared" si="20"/>
        <v>Subiu</v>
      </c>
    </row>
    <row r="26" spans="1:36" ht="14.25" customHeight="1" x14ac:dyDescent="0.25">
      <c r="A26" s="38" t="s">
        <v>67</v>
      </c>
      <c r="B26" s="39">
        <v>45317</v>
      </c>
      <c r="C26" s="40">
        <v>51.2</v>
      </c>
      <c r="D26" s="38">
        <v>0.88</v>
      </c>
      <c r="E26" s="38">
        <v>1.0900000000000001</v>
      </c>
      <c r="F26" s="38">
        <v>-4.1900000000000004</v>
      </c>
      <c r="G26" s="38">
        <v>-4.1900000000000004</v>
      </c>
      <c r="H26" s="38">
        <v>32.78</v>
      </c>
      <c r="I26" s="38">
        <v>50.62</v>
      </c>
      <c r="J26" s="38">
        <v>51.26</v>
      </c>
      <c r="K26" s="38" t="s">
        <v>68</v>
      </c>
      <c r="L26" s="41" t="str">
        <f>VLOOKUP(A26,Ticker!A:B,2,0)</f>
        <v>Vivo</v>
      </c>
      <c r="M26" s="41" t="str">
        <f>VLOOKUP(L26,Chatgpt!A:C,2,0)</f>
        <v>Telecomunicações</v>
      </c>
      <c r="N26" s="41">
        <f>VLOOKUP(L26,Chatgpt!A:C,3,0)</f>
        <v>18</v>
      </c>
      <c r="O26" s="41" t="str">
        <f t="shared" si="0"/>
        <v>Menor de 50 anos</v>
      </c>
      <c r="P26" s="42">
        <f>VLOOKUP(A26,Total_de_acoes!A:B,2,0)</f>
        <v>423091712</v>
      </c>
      <c r="Q26" s="43">
        <f t="shared" si="1"/>
        <v>8.8000000000000005E-3</v>
      </c>
      <c r="R26" s="44">
        <f t="shared" si="2"/>
        <v>50.753370340999211</v>
      </c>
      <c r="S26" s="45">
        <f t="shared" si="3"/>
        <v>188965307.05662104</v>
      </c>
      <c r="T26" s="43" t="str">
        <f t="shared" si="4"/>
        <v>Subiu</v>
      </c>
      <c r="U26" s="46">
        <f t="shared" si="5"/>
        <v>1.09E-2</v>
      </c>
      <c r="V26" s="47">
        <f t="shared" si="6"/>
        <v>50.647937481452182</v>
      </c>
      <c r="W26" s="48">
        <f t="shared" si="7"/>
        <v>233573076.10342932</v>
      </c>
      <c r="X26" s="46" t="str">
        <f t="shared" si="8"/>
        <v>Subiu</v>
      </c>
      <c r="Y26" s="43">
        <f t="shared" si="9"/>
        <v>-4.1900000000000007E-2</v>
      </c>
      <c r="Z26" s="44">
        <f t="shared" si="10"/>
        <v>53.439098215217626</v>
      </c>
      <c r="AA26" s="45">
        <f t="shared" si="11"/>
        <v>-947343897.21256876</v>
      </c>
      <c r="AB26" s="43" t="str">
        <f t="shared" si="12"/>
        <v>Desceu</v>
      </c>
      <c r="AC26" s="49">
        <f t="shared" si="13"/>
        <v>-4.1900000000000007E-2</v>
      </c>
      <c r="AD26" s="50">
        <f t="shared" si="14"/>
        <v>53.439098215217626</v>
      </c>
      <c r="AE26" s="48">
        <f t="shared" si="15"/>
        <v>-947343897.21256876</v>
      </c>
      <c r="AF26" s="51" t="str">
        <f t="shared" si="16"/>
        <v>Desceu</v>
      </c>
      <c r="AG26" s="52">
        <f t="shared" si="17"/>
        <v>0.32780000000000004</v>
      </c>
      <c r="AH26" s="53">
        <f t="shared" si="18"/>
        <v>38.560024100015063</v>
      </c>
      <c r="AI26" s="45">
        <f t="shared" si="19"/>
        <v>5347869043.1633692</v>
      </c>
      <c r="AJ26" s="54" t="str">
        <f t="shared" si="20"/>
        <v>Subiu</v>
      </c>
    </row>
    <row r="27" spans="1:36" ht="14.25" customHeight="1" x14ac:dyDescent="0.25">
      <c r="A27" s="38" t="s">
        <v>69</v>
      </c>
      <c r="B27" s="39">
        <v>45317</v>
      </c>
      <c r="C27" s="40">
        <v>22.64</v>
      </c>
      <c r="D27" s="38">
        <v>0.84</v>
      </c>
      <c r="E27" s="38">
        <v>1.07</v>
      </c>
      <c r="F27" s="38">
        <v>-1.35</v>
      </c>
      <c r="G27" s="38">
        <v>-1.35</v>
      </c>
      <c r="H27" s="38">
        <v>20.93</v>
      </c>
      <c r="I27" s="38">
        <v>22.32</v>
      </c>
      <c r="J27" s="38">
        <v>22.83</v>
      </c>
      <c r="K27" s="38" t="s">
        <v>70</v>
      </c>
      <c r="L27" s="41" t="str">
        <f>VLOOKUP(A27,Ticker!A:B,2,0)</f>
        <v>Rumo</v>
      </c>
      <c r="M27" s="41" t="str">
        <f>VLOOKUP(L27,Chatgpt!A:C,2,0)</f>
        <v>Logística</v>
      </c>
      <c r="N27" s="41">
        <f>VLOOKUP(L27,Chatgpt!A:C,3,0)</f>
        <v>12</v>
      </c>
      <c r="O27" s="41" t="str">
        <f t="shared" si="0"/>
        <v>Menor de 50 anos</v>
      </c>
      <c r="P27" s="42">
        <f>VLOOKUP(A27,Total_de_acoes!A:B,2,0)</f>
        <v>1218352541</v>
      </c>
      <c r="Q27" s="43">
        <f t="shared" si="1"/>
        <v>8.3999999999999995E-3</v>
      </c>
      <c r="R27" s="44">
        <f t="shared" si="2"/>
        <v>22.451408171360573</v>
      </c>
      <c r="S27" s="45">
        <f t="shared" si="3"/>
        <v>229771333.63468358</v>
      </c>
      <c r="T27" s="43" t="str">
        <f t="shared" si="4"/>
        <v>Subiu</v>
      </c>
      <c r="U27" s="46">
        <f t="shared" si="5"/>
        <v>1.0700000000000001E-2</v>
      </c>
      <c r="V27" s="47">
        <f t="shared" si="6"/>
        <v>22.40031661224894</v>
      </c>
      <c r="W27" s="48">
        <f t="shared" si="7"/>
        <v>292018864.50199336</v>
      </c>
      <c r="X27" s="46" t="str">
        <f t="shared" si="8"/>
        <v>Subiu</v>
      </c>
      <c r="Y27" s="43">
        <f t="shared" si="9"/>
        <v>-1.3500000000000002E-2</v>
      </c>
      <c r="Z27" s="44">
        <f t="shared" si="10"/>
        <v>22.949822605169793</v>
      </c>
      <c r="AA27" s="45">
        <f t="shared" si="11"/>
        <v>-377473158.26785594</v>
      </c>
      <c r="AB27" s="43" t="str">
        <f t="shared" si="12"/>
        <v>Desceu</v>
      </c>
      <c r="AC27" s="49">
        <f t="shared" si="13"/>
        <v>-1.3500000000000002E-2</v>
      </c>
      <c r="AD27" s="50">
        <f t="shared" si="14"/>
        <v>22.949822605169793</v>
      </c>
      <c r="AE27" s="48">
        <f t="shared" si="15"/>
        <v>-377473158.26785594</v>
      </c>
      <c r="AF27" s="51" t="str">
        <f t="shared" si="16"/>
        <v>Desceu</v>
      </c>
      <c r="AG27" s="52">
        <f t="shared" si="17"/>
        <v>0.20929999999999999</v>
      </c>
      <c r="AH27" s="53">
        <f t="shared" si="18"/>
        <v>18.721574464566277</v>
      </c>
      <c r="AI27" s="45">
        <f t="shared" si="19"/>
        <v>4774023707.8149624</v>
      </c>
      <c r="AJ27" s="54" t="str">
        <f t="shared" si="20"/>
        <v>Subiu</v>
      </c>
    </row>
    <row r="28" spans="1:36" ht="14.25" customHeight="1" x14ac:dyDescent="0.25">
      <c r="A28" s="38" t="s">
        <v>71</v>
      </c>
      <c r="B28" s="39">
        <v>45317</v>
      </c>
      <c r="C28" s="40">
        <v>4.9000000000000004</v>
      </c>
      <c r="D28" s="38">
        <v>0.82</v>
      </c>
      <c r="E28" s="38">
        <v>9.3800000000000008</v>
      </c>
      <c r="F28" s="38">
        <v>5.83</v>
      </c>
      <c r="G28" s="38">
        <v>5.83</v>
      </c>
      <c r="H28" s="38">
        <v>-2.19</v>
      </c>
      <c r="I28" s="38">
        <v>4.82</v>
      </c>
      <c r="J28" s="38">
        <v>4.97</v>
      </c>
      <c r="K28" s="38" t="s">
        <v>72</v>
      </c>
      <c r="L28" s="41" t="str">
        <f>VLOOKUP(A28,Ticker!A:B,2,0)</f>
        <v>Cielo</v>
      </c>
      <c r="M28" s="41" t="str">
        <f>VLOOKUP(L28,Chatgpt!A:C,2,0)</f>
        <v>Meios de Pagamento</v>
      </c>
      <c r="N28" s="41">
        <f>VLOOKUP(L28,Chatgpt!A:C,3,0)</f>
        <v>24</v>
      </c>
      <c r="O28" s="41" t="str">
        <f t="shared" si="0"/>
        <v>Menor de 50 anos</v>
      </c>
      <c r="P28" s="42">
        <f>VLOOKUP(A28,Total_de_acoes!A:B,2,0)</f>
        <v>1095462329</v>
      </c>
      <c r="Q28" s="43">
        <f t="shared" si="1"/>
        <v>8.199999999999999E-3</v>
      </c>
      <c r="R28" s="44">
        <f t="shared" si="2"/>
        <v>4.8601467962705813</v>
      </c>
      <c r="S28" s="45">
        <f t="shared" si="3"/>
        <v>43657683.375540853</v>
      </c>
      <c r="T28" s="43" t="str">
        <f t="shared" si="4"/>
        <v>Subiu</v>
      </c>
      <c r="U28" s="46">
        <f t="shared" si="5"/>
        <v>9.3800000000000008E-2</v>
      </c>
      <c r="V28" s="47">
        <f t="shared" si="6"/>
        <v>4.4797952093618578</v>
      </c>
      <c r="W28" s="48">
        <f t="shared" si="7"/>
        <v>460318518.60941702</v>
      </c>
      <c r="X28" s="46" t="str">
        <f t="shared" si="8"/>
        <v>Subiu</v>
      </c>
      <c r="Y28" s="43">
        <f t="shared" si="9"/>
        <v>5.8299999999999998E-2</v>
      </c>
      <c r="Z28" s="44">
        <f t="shared" si="10"/>
        <v>4.6300670887272046</v>
      </c>
      <c r="AA28" s="45">
        <f t="shared" si="11"/>
        <v>295701335.65664715</v>
      </c>
      <c r="AB28" s="43" t="str">
        <f t="shared" si="12"/>
        <v>Subiu</v>
      </c>
      <c r="AC28" s="49">
        <f t="shared" si="13"/>
        <v>5.8299999999999998E-2</v>
      </c>
      <c r="AD28" s="50">
        <f t="shared" si="14"/>
        <v>4.6300670887272046</v>
      </c>
      <c r="AE28" s="48">
        <f t="shared" si="15"/>
        <v>295701335.65664715</v>
      </c>
      <c r="AF28" s="51" t="str">
        <f t="shared" si="16"/>
        <v>Subiu</v>
      </c>
      <c r="AG28" s="52">
        <f t="shared" si="17"/>
        <v>-2.1899999999999999E-2</v>
      </c>
      <c r="AH28" s="53">
        <f t="shared" si="18"/>
        <v>5.0097127083120343</v>
      </c>
      <c r="AI28" s="45">
        <f t="shared" si="19"/>
        <v>-120186138.96839836</v>
      </c>
      <c r="AJ28" s="54" t="str">
        <f t="shared" si="20"/>
        <v>Desceu</v>
      </c>
    </row>
    <row r="29" spans="1:36" ht="14.25" customHeight="1" x14ac:dyDescent="0.25">
      <c r="A29" s="38" t="s">
        <v>73</v>
      </c>
      <c r="B29" s="39">
        <v>45317</v>
      </c>
      <c r="C29" s="40">
        <v>7.81</v>
      </c>
      <c r="D29" s="38">
        <v>0.77</v>
      </c>
      <c r="E29" s="38">
        <v>3.17</v>
      </c>
      <c r="F29" s="38">
        <v>-3.22</v>
      </c>
      <c r="G29" s="38">
        <v>-3.22</v>
      </c>
      <c r="H29" s="38">
        <v>9.94</v>
      </c>
      <c r="I29" s="38">
        <v>7.7</v>
      </c>
      <c r="J29" s="38">
        <v>7.85</v>
      </c>
      <c r="K29" s="38" t="s">
        <v>74</v>
      </c>
      <c r="L29" s="41" t="str">
        <f>VLOOKUP(A29,Ticker!A:B,2,0)</f>
        <v>Dexco</v>
      </c>
      <c r="M29" s="41" t="str">
        <f>VLOOKUP(L29,Chatgpt!A:C,2,0)</f>
        <v>Imobiliário</v>
      </c>
      <c r="N29" s="41">
        <f>VLOOKUP(L29,Chatgpt!A:C,3,0)</f>
        <v>8</v>
      </c>
      <c r="O29" s="41" t="str">
        <f t="shared" si="0"/>
        <v>Menor de 50 anos</v>
      </c>
      <c r="P29" s="42">
        <f>VLOOKUP(A29,Total_de_acoes!A:B,2,0)</f>
        <v>302768240</v>
      </c>
      <c r="Q29" s="43">
        <f t="shared" si="1"/>
        <v>7.7000000000000002E-3</v>
      </c>
      <c r="R29" s="44">
        <f t="shared" si="2"/>
        <v>7.7503225166220098</v>
      </c>
      <c r="S29" s="45">
        <f t="shared" si="3"/>
        <v>18068446.609983239</v>
      </c>
      <c r="T29" s="43" t="str">
        <f t="shared" si="4"/>
        <v>Subiu</v>
      </c>
      <c r="U29" s="46">
        <f t="shared" si="5"/>
        <v>3.1699999999999999E-2</v>
      </c>
      <c r="V29" s="47">
        <f t="shared" si="6"/>
        <v>7.5700300474944262</v>
      </c>
      <c r="W29" s="48">
        <f t="shared" si="7"/>
        <v>72655280.172996044</v>
      </c>
      <c r="X29" s="46" t="str">
        <f t="shared" si="8"/>
        <v>Subiu</v>
      </c>
      <c r="Y29" s="43">
        <f t="shared" si="9"/>
        <v>-3.2199999999999999E-2</v>
      </c>
      <c r="Z29" s="44">
        <f t="shared" si="10"/>
        <v>8.0698491423847898</v>
      </c>
      <c r="AA29" s="45">
        <f t="shared" si="11"/>
        <v>-78674067.505352318</v>
      </c>
      <c r="AB29" s="43" t="str">
        <f t="shared" si="12"/>
        <v>Desceu</v>
      </c>
      <c r="AC29" s="49">
        <f t="shared" si="13"/>
        <v>-3.2199999999999999E-2</v>
      </c>
      <c r="AD29" s="50">
        <f t="shared" si="14"/>
        <v>8.0698491423847898</v>
      </c>
      <c r="AE29" s="48">
        <f t="shared" si="15"/>
        <v>-78674067.505352318</v>
      </c>
      <c r="AF29" s="51" t="str">
        <f t="shared" si="16"/>
        <v>Desceu</v>
      </c>
      <c r="AG29" s="52">
        <f t="shared" si="17"/>
        <v>9.9399999999999988E-2</v>
      </c>
      <c r="AH29" s="53">
        <f t="shared" si="18"/>
        <v>7.1038748408222672</v>
      </c>
      <c r="AI29" s="45">
        <f t="shared" si="19"/>
        <v>213792271.66396189</v>
      </c>
      <c r="AJ29" s="54" t="str">
        <f t="shared" si="20"/>
        <v>Subiu</v>
      </c>
    </row>
    <row r="30" spans="1:36" ht="14.25" customHeight="1" x14ac:dyDescent="0.25">
      <c r="A30" s="38" t="s">
        <v>75</v>
      </c>
      <c r="B30" s="39">
        <v>45317</v>
      </c>
      <c r="C30" s="40">
        <v>17.52</v>
      </c>
      <c r="D30" s="38">
        <v>0.74</v>
      </c>
      <c r="E30" s="38">
        <v>-0.56999999999999995</v>
      </c>
      <c r="F30" s="38">
        <v>-2.29</v>
      </c>
      <c r="G30" s="38">
        <v>-2.29</v>
      </c>
      <c r="H30" s="38">
        <v>56.87</v>
      </c>
      <c r="I30" s="38">
        <v>17.36</v>
      </c>
      <c r="J30" s="38">
        <v>17.579999999999998</v>
      </c>
      <c r="K30" s="38" t="s">
        <v>76</v>
      </c>
      <c r="L30" s="41" t="str">
        <f>VLOOKUP(A30,Ticker!A:B,2,0)</f>
        <v>TIM</v>
      </c>
      <c r="M30" s="41" t="str">
        <f>VLOOKUP(L30,Chatgpt!A:C,2,0)</f>
        <v>Telecomunicações</v>
      </c>
      <c r="N30" s="41">
        <f>VLOOKUP(L30,Chatgpt!A:C,3,0)</f>
        <v>25</v>
      </c>
      <c r="O30" s="41" t="str">
        <f t="shared" si="0"/>
        <v>Menor de 50 anos</v>
      </c>
      <c r="P30" s="42">
        <f>VLOOKUP(A30,Total_de_acoes!A:B,2,0)</f>
        <v>807896814</v>
      </c>
      <c r="Q30" s="43">
        <f t="shared" si="1"/>
        <v>7.4000000000000003E-3</v>
      </c>
      <c r="R30" s="44">
        <f t="shared" si="2"/>
        <v>17.391304347826086</v>
      </c>
      <c r="S30" s="45">
        <f t="shared" si="3"/>
        <v>103972807.36695692</v>
      </c>
      <c r="T30" s="43" t="str">
        <f t="shared" si="4"/>
        <v>Subiu</v>
      </c>
      <c r="U30" s="46">
        <f t="shared" si="5"/>
        <v>-5.6999999999999993E-3</v>
      </c>
      <c r="V30" s="47">
        <f t="shared" si="6"/>
        <v>17.620436487981493</v>
      </c>
      <c r="W30" s="48">
        <f t="shared" si="7"/>
        <v>-81142318.649597988</v>
      </c>
      <c r="X30" s="46" t="str">
        <f t="shared" si="8"/>
        <v>Desceu</v>
      </c>
      <c r="Y30" s="43">
        <f t="shared" si="9"/>
        <v>-2.29E-2</v>
      </c>
      <c r="Z30" s="44">
        <f t="shared" si="10"/>
        <v>17.930610991710164</v>
      </c>
      <c r="AA30" s="45">
        <f t="shared" si="11"/>
        <v>-331731311.99602252</v>
      </c>
      <c r="AB30" s="43" t="str">
        <f t="shared" si="12"/>
        <v>Desceu</v>
      </c>
      <c r="AC30" s="49">
        <f t="shared" si="13"/>
        <v>-2.29E-2</v>
      </c>
      <c r="AD30" s="50">
        <f t="shared" si="14"/>
        <v>17.930610991710164</v>
      </c>
      <c r="AE30" s="48">
        <f t="shared" si="15"/>
        <v>-331731311.99602252</v>
      </c>
      <c r="AF30" s="51" t="str">
        <f t="shared" si="16"/>
        <v>Desceu</v>
      </c>
      <c r="AG30" s="52">
        <f t="shared" si="17"/>
        <v>0.56869999999999998</v>
      </c>
      <c r="AH30" s="53">
        <f t="shared" si="18"/>
        <v>11.168483457640084</v>
      </c>
      <c r="AI30" s="45">
        <f t="shared" si="19"/>
        <v>5131369978.640872</v>
      </c>
      <c r="AJ30" s="54" t="str">
        <f t="shared" si="20"/>
        <v>Subiu</v>
      </c>
    </row>
    <row r="31" spans="1:36" ht="14.25" customHeight="1" x14ac:dyDescent="0.25">
      <c r="A31" s="38" t="s">
        <v>77</v>
      </c>
      <c r="B31" s="39">
        <v>45317</v>
      </c>
      <c r="C31" s="40">
        <v>23.22</v>
      </c>
      <c r="D31" s="38">
        <v>0.73</v>
      </c>
      <c r="E31" s="38">
        <v>1.93</v>
      </c>
      <c r="F31" s="38">
        <v>-9.51</v>
      </c>
      <c r="G31" s="38">
        <v>-9.51</v>
      </c>
      <c r="H31" s="38">
        <v>-20.399999999999999</v>
      </c>
      <c r="I31" s="38">
        <v>22.69</v>
      </c>
      <c r="J31" s="38">
        <v>23.28</v>
      </c>
      <c r="K31" s="38" t="s">
        <v>78</v>
      </c>
      <c r="L31" s="41" t="str">
        <f>VLOOKUP(A31,Ticker!A:B,2,0)</f>
        <v>Bradespar</v>
      </c>
      <c r="M31" s="41" t="str">
        <f>VLOOKUP(L31,Chatgpt!A:C,2,0)</f>
        <v>Holding</v>
      </c>
      <c r="N31" s="41">
        <f>VLOOKUP(L31,Chatgpt!A:C,3,0)</f>
        <v>40</v>
      </c>
      <c r="O31" s="41" t="str">
        <f t="shared" si="0"/>
        <v>Menor de 50 anos</v>
      </c>
      <c r="P31" s="42">
        <f>VLOOKUP(A31,Total_de_acoes!A:B,2,0)</f>
        <v>251003438</v>
      </c>
      <c r="Q31" s="43">
        <f t="shared" si="1"/>
        <v>7.3000000000000001E-3</v>
      </c>
      <c r="R31" s="44">
        <f t="shared" si="2"/>
        <v>23.051722426288094</v>
      </c>
      <c r="S31" s="45">
        <f t="shared" si="3"/>
        <v>42238249.539986439</v>
      </c>
      <c r="T31" s="43" t="str">
        <f t="shared" si="4"/>
        <v>Subiu</v>
      </c>
      <c r="U31" s="46">
        <f t="shared" si="5"/>
        <v>1.9299999999999998E-2</v>
      </c>
      <c r="V31" s="47">
        <f t="shared" si="6"/>
        <v>22.780339448641222</v>
      </c>
      <c r="W31" s="48">
        <f t="shared" si="7"/>
        <v>110356309.94402866</v>
      </c>
      <c r="X31" s="46" t="str">
        <f t="shared" si="8"/>
        <v>Subiu</v>
      </c>
      <c r="Y31" s="43">
        <f t="shared" si="9"/>
        <v>-9.5100000000000004E-2</v>
      </c>
      <c r="Z31" s="44">
        <f t="shared" si="10"/>
        <v>25.660293955133163</v>
      </c>
      <c r="AA31" s="45">
        <f t="shared" si="11"/>
        <v>-612522172.46904194</v>
      </c>
      <c r="AB31" s="43" t="str">
        <f t="shared" si="12"/>
        <v>Desceu</v>
      </c>
      <c r="AC31" s="49">
        <f t="shared" si="13"/>
        <v>-9.5100000000000004E-2</v>
      </c>
      <c r="AD31" s="50">
        <f t="shared" si="14"/>
        <v>25.660293955133163</v>
      </c>
      <c r="AE31" s="48">
        <f t="shared" si="15"/>
        <v>-612522172.46904194</v>
      </c>
      <c r="AF31" s="51" t="str">
        <f t="shared" si="16"/>
        <v>Desceu</v>
      </c>
      <c r="AG31" s="52">
        <f t="shared" si="17"/>
        <v>-0.20399999999999999</v>
      </c>
      <c r="AH31" s="53">
        <f t="shared" si="18"/>
        <v>29.170854271356781</v>
      </c>
      <c r="AI31" s="45">
        <f t="shared" si="19"/>
        <v>-1493684881.1475372</v>
      </c>
      <c r="AJ31" s="54" t="str">
        <f t="shared" si="20"/>
        <v>Desceu</v>
      </c>
    </row>
    <row r="32" spans="1:36" ht="14.25" customHeight="1" x14ac:dyDescent="0.25">
      <c r="A32" s="38" t="s">
        <v>79</v>
      </c>
      <c r="B32" s="39">
        <v>45317</v>
      </c>
      <c r="C32" s="40">
        <v>5.55</v>
      </c>
      <c r="D32" s="38">
        <v>0.72</v>
      </c>
      <c r="E32" s="38">
        <v>-3.65</v>
      </c>
      <c r="F32" s="38">
        <v>-7.65</v>
      </c>
      <c r="G32" s="38">
        <v>-7.65</v>
      </c>
      <c r="H32" s="38">
        <v>-14.03</v>
      </c>
      <c r="I32" s="38">
        <v>5.46</v>
      </c>
      <c r="J32" s="38">
        <v>5.6</v>
      </c>
      <c r="K32" s="38" t="s">
        <v>80</v>
      </c>
      <c r="L32" s="41" t="str">
        <f>VLOOKUP(A32,Ticker!A:B,2,0)</f>
        <v>Locaweb</v>
      </c>
      <c r="M32" s="41" t="str">
        <f>VLOOKUP(L32,Chatgpt!A:C,2,0)</f>
        <v>Tecnologia</v>
      </c>
      <c r="N32" s="41">
        <f>VLOOKUP(L32,Chatgpt!A:C,3,0)</f>
        <v>24</v>
      </c>
      <c r="O32" s="41" t="str">
        <f t="shared" si="0"/>
        <v>Menor de 50 anos</v>
      </c>
      <c r="P32" s="42">
        <f>VLOOKUP(A32,Total_de_acoes!A:B,2,0)</f>
        <v>393173139</v>
      </c>
      <c r="Q32" s="43">
        <f t="shared" si="1"/>
        <v>7.1999999999999998E-3</v>
      </c>
      <c r="R32" s="44">
        <f t="shared" si="2"/>
        <v>5.510325655281969</v>
      </c>
      <c r="S32" s="45">
        <f t="shared" si="3"/>
        <v>15598886.650556229</v>
      </c>
      <c r="T32" s="43" t="str">
        <f t="shared" si="4"/>
        <v>Subiu</v>
      </c>
      <c r="U32" s="46">
        <f t="shared" si="5"/>
        <v>-3.6499999999999998E-2</v>
      </c>
      <c r="V32" s="47">
        <f t="shared" si="6"/>
        <v>5.7602490918526206</v>
      </c>
      <c r="W32" s="48">
        <f t="shared" si="7"/>
        <v>-82664295.41559422</v>
      </c>
      <c r="X32" s="46" t="str">
        <f t="shared" si="8"/>
        <v>Desceu</v>
      </c>
      <c r="Y32" s="43">
        <f t="shared" si="9"/>
        <v>-7.6499999999999999E-2</v>
      </c>
      <c r="Z32" s="44">
        <f t="shared" si="10"/>
        <v>6.0097455332972389</v>
      </c>
      <c r="AA32" s="45">
        <f t="shared" si="11"/>
        <v>-180759594.4677045</v>
      </c>
      <c r="AB32" s="43" t="str">
        <f t="shared" si="12"/>
        <v>Desceu</v>
      </c>
      <c r="AC32" s="49">
        <f t="shared" si="13"/>
        <v>-7.6499999999999999E-2</v>
      </c>
      <c r="AD32" s="50">
        <f t="shared" si="14"/>
        <v>6.0097455332972389</v>
      </c>
      <c r="AE32" s="48">
        <f t="shared" si="15"/>
        <v>-180759594.4677045</v>
      </c>
      <c r="AF32" s="51" t="str">
        <f t="shared" si="16"/>
        <v>Desceu</v>
      </c>
      <c r="AG32" s="52">
        <f t="shared" si="17"/>
        <v>-0.14029999999999998</v>
      </c>
      <c r="AH32" s="53">
        <f t="shared" si="18"/>
        <v>6.4557403745492614</v>
      </c>
      <c r="AI32" s="45">
        <f t="shared" si="19"/>
        <v>-356112786.18056887</v>
      </c>
      <c r="AJ32" s="54" t="str">
        <f t="shared" si="20"/>
        <v>Desceu</v>
      </c>
    </row>
    <row r="33" spans="1:36" ht="14.25" customHeight="1" x14ac:dyDescent="0.25">
      <c r="A33" s="38" t="s">
        <v>81</v>
      </c>
      <c r="B33" s="39">
        <v>45317</v>
      </c>
      <c r="C33" s="40">
        <v>23.83</v>
      </c>
      <c r="D33" s="38">
        <v>0.71</v>
      </c>
      <c r="E33" s="38">
        <v>1.49</v>
      </c>
      <c r="F33" s="38">
        <v>9.7100000000000009</v>
      </c>
      <c r="G33" s="38">
        <v>9.7100000000000009</v>
      </c>
      <c r="H33" s="38">
        <v>-26.61</v>
      </c>
      <c r="I33" s="38">
        <v>23.36</v>
      </c>
      <c r="J33" s="38">
        <v>23.99</v>
      </c>
      <c r="K33" s="38" t="s">
        <v>82</v>
      </c>
      <c r="L33" s="41" t="str">
        <f>VLOOKUP(A33,Ticker!A:B,2,0)</f>
        <v>PetroRecôncavo</v>
      </c>
      <c r="M33" s="41" t="str">
        <f>VLOOKUP(L33,Chatgpt!A:C,2,0)</f>
        <v>Petróleo</v>
      </c>
      <c r="N33" s="41">
        <f>VLOOKUP(L33,Chatgpt!A:C,3,0)</f>
        <v>11</v>
      </c>
      <c r="O33" s="41" t="str">
        <f t="shared" si="0"/>
        <v>Menor de 50 anos</v>
      </c>
      <c r="P33" s="42">
        <f>VLOOKUP(A33,Total_de_acoes!A:B,2,0)</f>
        <v>275005663</v>
      </c>
      <c r="Q33" s="43">
        <f t="shared" si="1"/>
        <v>7.0999999999999995E-3</v>
      </c>
      <c r="R33" s="44">
        <f t="shared" si="2"/>
        <v>23.661999801409983</v>
      </c>
      <c r="S33" s="45">
        <f t="shared" si="3"/>
        <v>46201005.997378685</v>
      </c>
      <c r="T33" s="43" t="str">
        <f t="shared" si="4"/>
        <v>Subiu</v>
      </c>
      <c r="U33" s="46">
        <f t="shared" si="5"/>
        <v>1.49E-2</v>
      </c>
      <c r="V33" s="47">
        <f t="shared" si="6"/>
        <v>23.480145827175093</v>
      </c>
      <c r="W33" s="48">
        <f t="shared" si="7"/>
        <v>96211878.751029626</v>
      </c>
      <c r="X33" s="46" t="str">
        <f t="shared" si="8"/>
        <v>Subiu</v>
      </c>
      <c r="Y33" s="43">
        <f t="shared" si="9"/>
        <v>9.7100000000000006E-2</v>
      </c>
      <c r="Z33" s="44">
        <f t="shared" si="10"/>
        <v>21.720900556011301</v>
      </c>
      <c r="AA33" s="45">
        <f t="shared" si="11"/>
        <v>580014290.92704296</v>
      </c>
      <c r="AB33" s="43" t="str">
        <f t="shared" si="12"/>
        <v>Subiu</v>
      </c>
      <c r="AC33" s="49">
        <f t="shared" si="13"/>
        <v>9.7100000000000006E-2</v>
      </c>
      <c r="AD33" s="50">
        <f t="shared" si="14"/>
        <v>21.720900556011301</v>
      </c>
      <c r="AE33" s="48">
        <f t="shared" si="15"/>
        <v>580014290.92704296</v>
      </c>
      <c r="AF33" s="51" t="str">
        <f t="shared" si="16"/>
        <v>Subiu</v>
      </c>
      <c r="AG33" s="52">
        <f t="shared" si="17"/>
        <v>-0.2661</v>
      </c>
      <c r="AH33" s="53">
        <f t="shared" si="18"/>
        <v>32.47036380978335</v>
      </c>
      <c r="AI33" s="45">
        <f t="shared" si="19"/>
        <v>-2376148978.0706768</v>
      </c>
      <c r="AJ33" s="54" t="str">
        <f t="shared" si="20"/>
        <v>Desceu</v>
      </c>
    </row>
    <row r="34" spans="1:36" ht="14.25" customHeight="1" x14ac:dyDescent="0.25">
      <c r="A34" s="38" t="s">
        <v>83</v>
      </c>
      <c r="B34" s="39">
        <v>45317</v>
      </c>
      <c r="C34" s="40">
        <v>10.01</v>
      </c>
      <c r="D34" s="38">
        <v>0.7</v>
      </c>
      <c r="E34" s="38">
        <v>-0.3</v>
      </c>
      <c r="F34" s="38">
        <v>-3.47</v>
      </c>
      <c r="G34" s="38">
        <v>-3.47</v>
      </c>
      <c r="H34" s="38">
        <v>29</v>
      </c>
      <c r="I34" s="38">
        <v>9.93</v>
      </c>
      <c r="J34" s="38">
        <v>10.06</v>
      </c>
      <c r="K34" s="38" t="s">
        <v>84</v>
      </c>
      <c r="L34" s="41" t="str">
        <f>VLOOKUP(A34,Ticker!A:B,2,0)</f>
        <v>Itaúsa</v>
      </c>
      <c r="M34" s="41" t="str">
        <f>VLOOKUP(L34,Chatgpt!A:C,2,0)</f>
        <v>Holding</v>
      </c>
      <c r="N34" s="41">
        <f>VLOOKUP(L34,Chatgpt!A:C,3,0)</f>
        <v>54</v>
      </c>
      <c r="O34" s="41" t="str">
        <f t="shared" si="0"/>
        <v>Entre 50 e 100 anos</v>
      </c>
      <c r="P34" s="42">
        <f>VLOOKUP(A34,Total_de_acoes!A:B,2,0)</f>
        <v>5372783971</v>
      </c>
      <c r="Q34" s="43">
        <f t="shared" si="1"/>
        <v>6.9999999999999993E-3</v>
      </c>
      <c r="R34" s="44">
        <f t="shared" si="2"/>
        <v>9.9404170804369425</v>
      </c>
      <c r="S34" s="45">
        <f t="shared" ref="S34:S65" si="21">(C34-R34)*P34</f>
        <v>373853994.88377655</v>
      </c>
      <c r="T34" s="43" t="str">
        <f t="shared" si="4"/>
        <v>Subiu</v>
      </c>
      <c r="U34" s="46">
        <f t="shared" ref="U34:U65" si="22">E34/100</f>
        <v>-3.0000000000000001E-3</v>
      </c>
      <c r="V34" s="47">
        <f t="shared" ref="V34:V65" si="23">C34/(U34+1)</f>
        <v>10.04012036108325</v>
      </c>
      <c r="W34" s="48">
        <f t="shared" ref="W34:W65" si="24">($C34-V34)*$P34</f>
        <v>-161830193.2288208</v>
      </c>
      <c r="X34" s="46" t="str">
        <f t="shared" si="8"/>
        <v>Desceu</v>
      </c>
      <c r="Y34" s="43">
        <f t="shared" ref="Y34:Y65" si="25">F34/100</f>
        <v>-3.4700000000000002E-2</v>
      </c>
      <c r="Z34" s="44">
        <f t="shared" ref="Z34:Z65" si="26">C34/(Y34+1)</f>
        <v>10.369833212472805</v>
      </c>
      <c r="AA34" s="45">
        <f t="shared" ref="AA34:AA65" si="27">($C34-Z34)*$P34</f>
        <v>-1933306116.2073274</v>
      </c>
      <c r="AB34" s="43" t="str">
        <f t="shared" si="12"/>
        <v>Desceu</v>
      </c>
      <c r="AC34" s="49">
        <f t="shared" ref="AC34:AC65" si="28">G34/100</f>
        <v>-3.4700000000000002E-2</v>
      </c>
      <c r="AD34" s="50">
        <f t="shared" ref="AD34:AD65" si="29">C34/(AC34+1)</f>
        <v>10.369833212472805</v>
      </c>
      <c r="AE34" s="48">
        <f t="shared" ref="AE34:AE65" si="30">($C34-AD34)*$P34</f>
        <v>-1933306116.2073274</v>
      </c>
      <c r="AF34" s="51" t="str">
        <f t="shared" si="16"/>
        <v>Desceu</v>
      </c>
      <c r="AG34" s="52">
        <f t="shared" ref="AG34:AG65" si="31">H34/100</f>
        <v>0.28999999999999998</v>
      </c>
      <c r="AH34" s="53">
        <f t="shared" ref="AH34:AH65" si="32">C34/(AG34+1)</f>
        <v>7.7596899224806197</v>
      </c>
      <c r="AI34" s="45">
        <f t="shared" ref="AI34:AI65" si="33">($C34-AH34)*$P34</f>
        <v>12090429914.275892</v>
      </c>
      <c r="AJ34" s="54" t="str">
        <f t="shared" si="20"/>
        <v>Subiu</v>
      </c>
    </row>
    <row r="35" spans="1:36" ht="14.25" customHeight="1" x14ac:dyDescent="0.25">
      <c r="A35" s="38" t="s">
        <v>85</v>
      </c>
      <c r="B35" s="39">
        <v>45317</v>
      </c>
      <c r="C35" s="40">
        <v>56.97</v>
      </c>
      <c r="D35" s="38">
        <v>0.68</v>
      </c>
      <c r="E35" s="38">
        <v>1.88</v>
      </c>
      <c r="F35" s="38">
        <v>2.85</v>
      </c>
      <c r="G35" s="38">
        <v>2.85</v>
      </c>
      <c r="H35" s="38">
        <v>52.87</v>
      </c>
      <c r="I35" s="38">
        <v>56.55</v>
      </c>
      <c r="J35" s="38">
        <v>56.99</v>
      </c>
      <c r="K35" s="38" t="s">
        <v>86</v>
      </c>
      <c r="L35" s="41" t="str">
        <f>VLOOKUP(A35,Ticker!A:B,2,0)</f>
        <v>Banco do Brasil</v>
      </c>
      <c r="M35" s="41" t="str">
        <f>VLOOKUP(L35,Chatgpt!A:C,2,0)</f>
        <v>Banco</v>
      </c>
      <c r="N35" s="41">
        <f>VLOOKUP(L35,Chatgpt!A:C,3,0)</f>
        <v>213</v>
      </c>
      <c r="O35" s="41" t="str">
        <f t="shared" si="0"/>
        <v>Mais de 100 anos</v>
      </c>
      <c r="P35" s="42">
        <f>VLOOKUP(A35,Total_de_acoes!A:B,2,0)</f>
        <v>1420949112</v>
      </c>
      <c r="Q35" s="43">
        <f t="shared" si="1"/>
        <v>6.8000000000000005E-3</v>
      </c>
      <c r="R35" s="44">
        <f t="shared" si="2"/>
        <v>56.585220500595952</v>
      </c>
      <c r="S35" s="45">
        <f t="shared" si="21"/>
        <v>546752087.99398506</v>
      </c>
      <c r="T35" s="43" t="str">
        <f t="shared" si="4"/>
        <v>Subiu</v>
      </c>
      <c r="U35" s="46">
        <f t="shared" si="22"/>
        <v>1.8799999999999997E-2</v>
      </c>
      <c r="V35" s="47">
        <f t="shared" si="23"/>
        <v>55.918727915194346</v>
      </c>
      <c r="W35" s="48">
        <f t="shared" si="24"/>
        <v>1493804135.3749816</v>
      </c>
      <c r="X35" s="46" t="str">
        <f t="shared" si="8"/>
        <v>Subiu</v>
      </c>
      <c r="Y35" s="43">
        <f t="shared" si="25"/>
        <v>2.8500000000000001E-2</v>
      </c>
      <c r="Z35" s="44">
        <f t="shared" si="26"/>
        <v>55.391346621293145</v>
      </c>
      <c r="AA35" s="45">
        <f t="shared" si="27"/>
        <v>2243186116.629303</v>
      </c>
      <c r="AB35" s="43" t="str">
        <f t="shared" si="12"/>
        <v>Subiu</v>
      </c>
      <c r="AC35" s="49">
        <f t="shared" si="28"/>
        <v>2.8500000000000001E-2</v>
      </c>
      <c r="AD35" s="50">
        <f t="shared" si="29"/>
        <v>55.391346621293145</v>
      </c>
      <c r="AE35" s="48">
        <f t="shared" si="30"/>
        <v>2243186116.629303</v>
      </c>
      <c r="AF35" s="51" t="str">
        <f t="shared" si="16"/>
        <v>Subiu</v>
      </c>
      <c r="AG35" s="52">
        <f t="shared" si="31"/>
        <v>0.52869999999999995</v>
      </c>
      <c r="AH35" s="53">
        <f t="shared" si="32"/>
        <v>37.266958853928173</v>
      </c>
      <c r="AI35" s="45">
        <f t="shared" si="33"/>
        <v>27997018820.210224</v>
      </c>
      <c r="AJ35" s="54" t="str">
        <f t="shared" si="20"/>
        <v>Subiu</v>
      </c>
    </row>
    <row r="36" spans="1:36" ht="14.25" customHeight="1" x14ac:dyDescent="0.25">
      <c r="A36" s="38" t="s">
        <v>87</v>
      </c>
      <c r="B36" s="39">
        <v>45317</v>
      </c>
      <c r="C36" s="40">
        <v>26.16</v>
      </c>
      <c r="D36" s="38">
        <v>0.61</v>
      </c>
      <c r="E36" s="38">
        <v>-2.75</v>
      </c>
      <c r="F36" s="38">
        <v>-11.02</v>
      </c>
      <c r="G36" s="38">
        <v>-11.02</v>
      </c>
      <c r="H36" s="38">
        <v>10.07</v>
      </c>
      <c r="I36" s="38">
        <v>25.87</v>
      </c>
      <c r="J36" s="38">
        <v>26.38</v>
      </c>
      <c r="K36" s="38" t="s">
        <v>88</v>
      </c>
      <c r="L36" s="41" t="str">
        <f>VLOOKUP(A36,Ticker!A:B,2,0)</f>
        <v>RaiaDrogasil</v>
      </c>
      <c r="M36" s="41" t="str">
        <f>VLOOKUP(L36,Chatgpt!A:C,2,0)</f>
        <v>Varejo</v>
      </c>
      <c r="N36" s="41">
        <f>VLOOKUP(L36,Chatgpt!A:C,3,0)</f>
        <v>117</v>
      </c>
      <c r="O36" s="41" t="str">
        <f t="shared" si="0"/>
        <v>Mais de 100 anos</v>
      </c>
      <c r="P36" s="42">
        <f>VLOOKUP(A36,Total_de_acoes!A:B,2,0)</f>
        <v>1275798515</v>
      </c>
      <c r="Q36" s="43">
        <f t="shared" si="1"/>
        <v>6.0999999999999995E-3</v>
      </c>
      <c r="R36" s="44">
        <f t="shared" si="2"/>
        <v>26.001391511778152</v>
      </c>
      <c r="S36" s="45">
        <f t="shared" si="21"/>
        <v>202352473.73982856</v>
      </c>
      <c r="T36" s="43" t="str">
        <f t="shared" si="4"/>
        <v>Subiu</v>
      </c>
      <c r="U36" s="46">
        <f t="shared" si="22"/>
        <v>-2.75E-2</v>
      </c>
      <c r="V36" s="47">
        <f t="shared" si="23"/>
        <v>26.899742930591259</v>
      </c>
      <c r="W36" s="48">
        <f t="shared" si="24"/>
        <v>-943762932.3300761</v>
      </c>
      <c r="X36" s="46" t="str">
        <f t="shared" si="8"/>
        <v>Desceu</v>
      </c>
      <c r="Y36" s="43">
        <f t="shared" si="25"/>
        <v>-0.11019999999999999</v>
      </c>
      <c r="Z36" s="44">
        <f t="shared" si="26"/>
        <v>29.399865138233309</v>
      </c>
      <c r="AA36" s="45">
        <f t="shared" si="27"/>
        <v>-4133415132.1583257</v>
      </c>
      <c r="AB36" s="43" t="str">
        <f t="shared" si="12"/>
        <v>Desceu</v>
      </c>
      <c r="AC36" s="49">
        <f t="shared" si="28"/>
        <v>-0.11019999999999999</v>
      </c>
      <c r="AD36" s="50">
        <f t="shared" si="29"/>
        <v>29.399865138233309</v>
      </c>
      <c r="AE36" s="48">
        <f t="shared" si="30"/>
        <v>-4133415132.1583257</v>
      </c>
      <c r="AF36" s="51" t="str">
        <f t="shared" si="16"/>
        <v>Desceu</v>
      </c>
      <c r="AG36" s="52">
        <f t="shared" si="31"/>
        <v>0.1007</v>
      </c>
      <c r="AH36" s="53">
        <f t="shared" si="32"/>
        <v>23.766693922049605</v>
      </c>
      <c r="AI36" s="45">
        <f t="shared" si="33"/>
        <v>3053376340.1895885</v>
      </c>
      <c r="AJ36" s="54" t="str">
        <f t="shared" si="20"/>
        <v>Subiu</v>
      </c>
    </row>
    <row r="37" spans="1:36" ht="14.25" customHeight="1" x14ac:dyDescent="0.25">
      <c r="A37" s="38" t="s">
        <v>89</v>
      </c>
      <c r="B37" s="39">
        <v>45317</v>
      </c>
      <c r="C37" s="40">
        <v>10.08</v>
      </c>
      <c r="D37" s="38">
        <v>0.59</v>
      </c>
      <c r="E37" s="38">
        <v>3.28</v>
      </c>
      <c r="F37" s="38">
        <v>-7.18</v>
      </c>
      <c r="G37" s="38">
        <v>-7.18</v>
      </c>
      <c r="H37" s="38">
        <v>-21.14</v>
      </c>
      <c r="I37" s="38">
        <v>10.029999999999999</v>
      </c>
      <c r="J37" s="38">
        <v>10.14</v>
      </c>
      <c r="K37" s="38" t="s">
        <v>90</v>
      </c>
      <c r="L37" s="41" t="str">
        <f>VLOOKUP(A37,Ticker!A:B,2,0)</f>
        <v>Metalúrgica Gerdau</v>
      </c>
      <c r="M37" s="41" t="str">
        <f>VLOOKUP(L37,Chatgpt!A:C,2,0)</f>
        <v>Siderurgia</v>
      </c>
      <c r="N37" s="41">
        <f>VLOOKUP(L37,Chatgpt!A:C,3,0)</f>
        <v>121</v>
      </c>
      <c r="O37" s="41" t="str">
        <f t="shared" si="0"/>
        <v>Mais de 100 anos</v>
      </c>
      <c r="P37" s="42">
        <f>VLOOKUP(A37,Total_de_acoes!A:B,2,0)</f>
        <v>660411219</v>
      </c>
      <c r="Q37" s="43">
        <f t="shared" si="1"/>
        <v>5.8999999999999999E-3</v>
      </c>
      <c r="R37" s="44">
        <f t="shared" si="2"/>
        <v>10.020876826722338</v>
      </c>
      <c r="S37" s="45">
        <f t="shared" si="21"/>
        <v>39045606.935449012</v>
      </c>
      <c r="T37" s="43" t="str">
        <f t="shared" si="4"/>
        <v>Subiu</v>
      </c>
      <c r="U37" s="46">
        <f t="shared" si="22"/>
        <v>3.2799999999999996E-2</v>
      </c>
      <c r="V37" s="47">
        <f t="shared" si="23"/>
        <v>9.7598760650658409</v>
      </c>
      <c r="W37" s="48">
        <f t="shared" si="24"/>
        <v>211413438.10094473</v>
      </c>
      <c r="X37" s="46" t="str">
        <f t="shared" si="8"/>
        <v>Subiu</v>
      </c>
      <c r="Y37" s="43">
        <f t="shared" si="25"/>
        <v>-7.1800000000000003E-2</v>
      </c>
      <c r="Z37" s="44">
        <f t="shared" si="26"/>
        <v>10.859728506787331</v>
      </c>
      <c r="AA37" s="45">
        <f t="shared" si="27"/>
        <v>-514941453.65647089</v>
      </c>
      <c r="AB37" s="43" t="str">
        <f t="shared" si="12"/>
        <v>Desceu</v>
      </c>
      <c r="AC37" s="49">
        <f t="shared" si="28"/>
        <v>-7.1800000000000003E-2</v>
      </c>
      <c r="AD37" s="50">
        <f t="shared" si="29"/>
        <v>10.859728506787331</v>
      </c>
      <c r="AE37" s="48">
        <f t="shared" si="30"/>
        <v>-514941453.65647089</v>
      </c>
      <c r="AF37" s="51" t="str">
        <f t="shared" si="16"/>
        <v>Desceu</v>
      </c>
      <c r="AG37" s="52">
        <f t="shared" si="31"/>
        <v>-0.2114</v>
      </c>
      <c r="AH37" s="53">
        <f t="shared" si="32"/>
        <v>12.78214557443571</v>
      </c>
      <c r="AI37" s="45">
        <f t="shared" si="33"/>
        <v>-1784527252.7285421</v>
      </c>
      <c r="AJ37" s="54" t="str">
        <f t="shared" si="20"/>
        <v>Desceu</v>
      </c>
    </row>
    <row r="38" spans="1:36" ht="14.25" customHeight="1" x14ac:dyDescent="0.25">
      <c r="A38" s="38" t="s">
        <v>91</v>
      </c>
      <c r="B38" s="39">
        <v>45317</v>
      </c>
      <c r="C38" s="40">
        <v>18.57</v>
      </c>
      <c r="D38" s="38">
        <v>0.59</v>
      </c>
      <c r="E38" s="38">
        <v>2.65</v>
      </c>
      <c r="F38" s="38">
        <v>-4.08</v>
      </c>
      <c r="G38" s="38">
        <v>-4.08</v>
      </c>
      <c r="H38" s="38">
        <v>13.35</v>
      </c>
      <c r="I38" s="38">
        <v>18.3</v>
      </c>
      <c r="J38" s="38">
        <v>18.66</v>
      </c>
      <c r="K38" s="38" t="s">
        <v>92</v>
      </c>
      <c r="L38" s="41" t="str">
        <f>VLOOKUP(A38,Ticker!A:B,2,0)</f>
        <v>Cosan</v>
      </c>
      <c r="M38" s="41" t="str">
        <f>VLOOKUP(L38,Chatgpt!A:C,2,0)</f>
        <v>Energia</v>
      </c>
      <c r="N38" s="41">
        <f>VLOOKUP(L38,Chatgpt!A:C,3,0)</f>
        <v>84</v>
      </c>
      <c r="O38" s="41" t="str">
        <f t="shared" si="0"/>
        <v>Entre 50 e 100 anos</v>
      </c>
      <c r="P38" s="42">
        <f>VLOOKUP(A38,Total_de_acoes!A:B,2,0)</f>
        <v>1168097881</v>
      </c>
      <c r="Q38" s="43">
        <f t="shared" si="1"/>
        <v>5.8999999999999999E-3</v>
      </c>
      <c r="R38" s="44">
        <f t="shared" si="2"/>
        <v>18.461079630181928</v>
      </c>
      <c r="S38" s="45">
        <f t="shared" si="21"/>
        <v>127229653.18222687</v>
      </c>
      <c r="T38" s="43" t="str">
        <f t="shared" si="4"/>
        <v>Subiu</v>
      </c>
      <c r="U38" s="46">
        <f t="shared" si="22"/>
        <v>2.6499999999999999E-2</v>
      </c>
      <c r="V38" s="47">
        <f t="shared" si="23"/>
        <v>18.090599123234291</v>
      </c>
      <c r="W38" s="48">
        <f t="shared" si="24"/>
        <v>559987148.29956675</v>
      </c>
      <c r="X38" s="46" t="str">
        <f t="shared" si="8"/>
        <v>Subiu</v>
      </c>
      <c r="Y38" s="43">
        <f t="shared" si="25"/>
        <v>-4.0800000000000003E-2</v>
      </c>
      <c r="Z38" s="44">
        <f t="shared" si="26"/>
        <v>19.359883236030026</v>
      </c>
      <c r="AA38" s="45">
        <f t="shared" si="27"/>
        <v>-922660934.24409556</v>
      </c>
      <c r="AB38" s="43" t="str">
        <f t="shared" si="12"/>
        <v>Desceu</v>
      </c>
      <c r="AC38" s="49">
        <f t="shared" si="28"/>
        <v>-4.0800000000000003E-2</v>
      </c>
      <c r="AD38" s="50">
        <f t="shared" si="29"/>
        <v>19.359883236030026</v>
      </c>
      <c r="AE38" s="48">
        <f t="shared" si="30"/>
        <v>-922660934.24409556</v>
      </c>
      <c r="AF38" s="51" t="str">
        <f t="shared" si="16"/>
        <v>Desceu</v>
      </c>
      <c r="AG38" s="52">
        <f t="shared" si="31"/>
        <v>0.13350000000000001</v>
      </c>
      <c r="AH38" s="53">
        <f t="shared" si="32"/>
        <v>16.382884869872079</v>
      </c>
      <c r="AI38" s="45">
        <f t="shared" si="33"/>
        <v>2554764549.0054641</v>
      </c>
      <c r="AJ38" s="54" t="str">
        <f t="shared" si="20"/>
        <v>Subiu</v>
      </c>
    </row>
    <row r="39" spans="1:36" ht="14.25" customHeight="1" x14ac:dyDescent="0.25">
      <c r="A39" s="38" t="s">
        <v>93</v>
      </c>
      <c r="B39" s="39">
        <v>45317</v>
      </c>
      <c r="C39" s="40">
        <v>24.34</v>
      </c>
      <c r="D39" s="38">
        <v>0.56999999999999995</v>
      </c>
      <c r="E39" s="38">
        <v>2.48</v>
      </c>
      <c r="F39" s="38">
        <v>-2.29</v>
      </c>
      <c r="G39" s="38">
        <v>-2.29</v>
      </c>
      <c r="H39" s="38">
        <v>17.29</v>
      </c>
      <c r="I39" s="38">
        <v>24.17</v>
      </c>
      <c r="J39" s="38">
        <v>24.56</v>
      </c>
      <c r="K39" s="38" t="s">
        <v>94</v>
      </c>
      <c r="L39" s="41" t="str">
        <f>VLOOKUP(A39,Ticker!A:B,2,0)</f>
        <v>JBS</v>
      </c>
      <c r="M39" s="41" t="str">
        <f>VLOOKUP(L39,Chatgpt!A:C,2,0)</f>
        <v>Alimentos</v>
      </c>
      <c r="N39" s="41">
        <f>VLOOKUP(L39,Chatgpt!A:C,3,0)</f>
        <v>64</v>
      </c>
      <c r="O39" s="41" t="str">
        <f t="shared" si="0"/>
        <v>Entre 50 e 100 anos</v>
      </c>
      <c r="P39" s="42">
        <f>VLOOKUP(A39,Total_de_acoes!A:B,2,0)</f>
        <v>1134986472</v>
      </c>
      <c r="Q39" s="43">
        <f t="shared" si="1"/>
        <v>5.6999999999999993E-3</v>
      </c>
      <c r="R39" s="44">
        <f t="shared" si="2"/>
        <v>24.202048324550063</v>
      </c>
      <c r="S39" s="45">
        <f t="shared" si="21"/>
        <v>156573285.42541304</v>
      </c>
      <c r="T39" s="43" t="str">
        <f t="shared" si="4"/>
        <v>Subiu</v>
      </c>
      <c r="U39" s="46">
        <f t="shared" si="22"/>
        <v>2.4799999999999999E-2</v>
      </c>
      <c r="V39" s="47">
        <f t="shared" si="23"/>
        <v>23.75097580015613</v>
      </c>
      <c r="W39" s="48">
        <f t="shared" si="24"/>
        <v>668534498.50341654</v>
      </c>
      <c r="X39" s="46" t="str">
        <f t="shared" si="8"/>
        <v>Subiu</v>
      </c>
      <c r="Y39" s="43">
        <f t="shared" si="25"/>
        <v>-2.29E-2</v>
      </c>
      <c r="Z39" s="44">
        <f t="shared" si="26"/>
        <v>24.910449288711494</v>
      </c>
      <c r="AA39" s="45">
        <f t="shared" si="27"/>
        <v>-647452225.64956772</v>
      </c>
      <c r="AB39" s="43" t="str">
        <f t="shared" si="12"/>
        <v>Desceu</v>
      </c>
      <c r="AC39" s="49">
        <f t="shared" si="28"/>
        <v>-2.29E-2</v>
      </c>
      <c r="AD39" s="50">
        <f t="shared" si="29"/>
        <v>24.910449288711494</v>
      </c>
      <c r="AE39" s="48">
        <f t="shared" si="30"/>
        <v>-647452225.64956772</v>
      </c>
      <c r="AF39" s="51" t="str">
        <f t="shared" si="16"/>
        <v>Desceu</v>
      </c>
      <c r="AG39" s="52">
        <f t="shared" si="31"/>
        <v>0.1729</v>
      </c>
      <c r="AH39" s="53">
        <f t="shared" si="32"/>
        <v>20.751982266177848</v>
      </c>
      <c r="AI39" s="45">
        <f t="shared" si="33"/>
        <v>4072351589.1842394</v>
      </c>
      <c r="AJ39" s="54" t="str">
        <f t="shared" si="20"/>
        <v>Subiu</v>
      </c>
    </row>
    <row r="40" spans="1:36" ht="14.25" customHeight="1" x14ac:dyDescent="0.25">
      <c r="A40" s="38" t="s">
        <v>95</v>
      </c>
      <c r="B40" s="39">
        <v>45317</v>
      </c>
      <c r="C40" s="40">
        <v>2.08</v>
      </c>
      <c r="D40" s="38">
        <v>0.48</v>
      </c>
      <c r="E40" s="38">
        <v>2.46</v>
      </c>
      <c r="F40" s="38">
        <v>-3.7</v>
      </c>
      <c r="G40" s="38">
        <v>-3.7</v>
      </c>
      <c r="H40" s="38">
        <v>-51.4</v>
      </c>
      <c r="I40" s="38">
        <v>2.02</v>
      </c>
      <c r="J40" s="38">
        <v>2.1</v>
      </c>
      <c r="K40" s="38" t="s">
        <v>96</v>
      </c>
      <c r="L40" s="41" t="str">
        <f>VLOOKUP(A40,Ticker!A:B,2,0)</f>
        <v>Magazine Luiza</v>
      </c>
      <c r="M40" s="41" t="str">
        <f>VLOOKUP(L40,Chatgpt!A:C,2,0)</f>
        <v>Varejo</v>
      </c>
      <c r="N40" s="41">
        <f>VLOOKUP(L40,Chatgpt!A:C,3,0)</f>
        <v>64</v>
      </c>
      <c r="O40" s="41" t="str">
        <f t="shared" si="0"/>
        <v>Entre 50 e 100 anos</v>
      </c>
      <c r="P40" s="42">
        <f>VLOOKUP(A40,Total_de_acoes!A:B,2,0)</f>
        <v>2867627068</v>
      </c>
      <c r="Q40" s="43">
        <f t="shared" si="1"/>
        <v>4.7999999999999996E-3</v>
      </c>
      <c r="R40" s="44">
        <f t="shared" si="2"/>
        <v>2.0700636942675161</v>
      </c>
      <c r="S40" s="45">
        <f t="shared" si="21"/>
        <v>28493619.274394516</v>
      </c>
      <c r="T40" s="43" t="str">
        <f t="shared" si="4"/>
        <v>Subiu</v>
      </c>
      <c r="U40" s="46">
        <f t="shared" si="22"/>
        <v>2.46E-2</v>
      </c>
      <c r="V40" s="47">
        <f t="shared" si="23"/>
        <v>2.0300605114190904</v>
      </c>
      <c r="W40" s="48">
        <f t="shared" si="24"/>
        <v>143207829.21669352</v>
      </c>
      <c r="X40" s="46" t="str">
        <f t="shared" si="8"/>
        <v>Subiu</v>
      </c>
      <c r="Y40" s="43">
        <f t="shared" si="25"/>
        <v>-3.7000000000000005E-2</v>
      </c>
      <c r="Z40" s="44">
        <f t="shared" si="26"/>
        <v>2.1599169262720666</v>
      </c>
      <c r="AA40" s="45">
        <f t="shared" si="27"/>
        <v>-229171940.96913818</v>
      </c>
      <c r="AB40" s="43" t="str">
        <f t="shared" si="12"/>
        <v>Desceu</v>
      </c>
      <c r="AC40" s="49">
        <f t="shared" si="28"/>
        <v>-3.7000000000000005E-2</v>
      </c>
      <c r="AD40" s="50">
        <f t="shared" si="29"/>
        <v>2.1599169262720666</v>
      </c>
      <c r="AE40" s="48">
        <f t="shared" si="30"/>
        <v>-229171940.96913818</v>
      </c>
      <c r="AF40" s="51" t="str">
        <f t="shared" si="16"/>
        <v>Desceu</v>
      </c>
      <c r="AG40" s="52">
        <f t="shared" si="31"/>
        <v>-0.51400000000000001</v>
      </c>
      <c r="AH40" s="53">
        <f t="shared" si="32"/>
        <v>4.2798353909465021</v>
      </c>
      <c r="AI40" s="45">
        <f t="shared" si="33"/>
        <v>-6308307512.2225513</v>
      </c>
      <c r="AJ40" s="54" t="str">
        <f t="shared" si="20"/>
        <v>Desceu</v>
      </c>
    </row>
    <row r="41" spans="1:36" ht="14.25" customHeight="1" x14ac:dyDescent="0.25">
      <c r="A41" s="38" t="s">
        <v>97</v>
      </c>
      <c r="B41" s="39">
        <v>45317</v>
      </c>
      <c r="C41" s="40">
        <v>13.75</v>
      </c>
      <c r="D41" s="38">
        <v>0.36</v>
      </c>
      <c r="E41" s="38">
        <v>-0.72</v>
      </c>
      <c r="F41" s="38">
        <v>-9.9499999999999993</v>
      </c>
      <c r="G41" s="38">
        <v>-9.9499999999999993</v>
      </c>
      <c r="H41" s="38">
        <v>15.78</v>
      </c>
      <c r="I41" s="38">
        <v>13.67</v>
      </c>
      <c r="J41" s="38">
        <v>13.9</v>
      </c>
      <c r="K41" s="38" t="s">
        <v>98</v>
      </c>
      <c r="L41" s="41" t="str">
        <f>VLOOKUP(A41,Ticker!A:B,2,0)</f>
        <v>Banco Bradesco</v>
      </c>
      <c r="M41" s="41" t="str">
        <f>VLOOKUP(L41,Chatgpt!A:C,2,0)</f>
        <v>Banco</v>
      </c>
      <c r="N41" s="41">
        <f>VLOOKUP(L41,Chatgpt!A:C,3,0)</f>
        <v>78</v>
      </c>
      <c r="O41" s="41" t="str">
        <f t="shared" si="0"/>
        <v>Entre 50 e 100 anos</v>
      </c>
      <c r="P41" s="42">
        <f>VLOOKUP(A41,Total_de_acoes!A:B,2,0)</f>
        <v>1500728902</v>
      </c>
      <c r="Q41" s="43">
        <f t="shared" si="1"/>
        <v>3.5999999999999999E-3</v>
      </c>
      <c r="R41" s="44">
        <f t="shared" si="2"/>
        <v>13.700677560781187</v>
      </c>
      <c r="S41" s="45">
        <f t="shared" si="21"/>
        <v>74019610.052810252</v>
      </c>
      <c r="T41" s="43" t="str">
        <f t="shared" si="4"/>
        <v>Subiu</v>
      </c>
      <c r="U41" s="46">
        <f t="shared" si="22"/>
        <v>-7.1999999999999998E-3</v>
      </c>
      <c r="V41" s="47">
        <f t="shared" si="23"/>
        <v>13.849717969379533</v>
      </c>
      <c r="W41" s="48">
        <f t="shared" si="24"/>
        <v>-149649638.69661641</v>
      </c>
      <c r="X41" s="46" t="str">
        <f t="shared" si="8"/>
        <v>Desceu</v>
      </c>
      <c r="Y41" s="43">
        <f t="shared" si="25"/>
        <v>-9.9499999999999991E-2</v>
      </c>
      <c r="Z41" s="44">
        <f t="shared" si="26"/>
        <v>15.269294836202111</v>
      </c>
      <c r="AA41" s="45">
        <f t="shared" si="27"/>
        <v>-2280049671.3478632</v>
      </c>
      <c r="AB41" s="43" t="str">
        <f t="shared" si="12"/>
        <v>Desceu</v>
      </c>
      <c r="AC41" s="49">
        <f t="shared" si="28"/>
        <v>-9.9499999999999991E-2</v>
      </c>
      <c r="AD41" s="50">
        <f t="shared" si="29"/>
        <v>15.269294836202111</v>
      </c>
      <c r="AE41" s="48">
        <f t="shared" si="30"/>
        <v>-2280049671.3478632</v>
      </c>
      <c r="AF41" s="51" t="str">
        <f t="shared" si="16"/>
        <v>Desceu</v>
      </c>
      <c r="AG41" s="52">
        <f t="shared" si="31"/>
        <v>0.1578</v>
      </c>
      <c r="AH41" s="53">
        <f t="shared" si="32"/>
        <v>11.875971670409397</v>
      </c>
      <c r="AI41" s="45">
        <f t="shared" si="33"/>
        <v>2812408477.3833995</v>
      </c>
      <c r="AJ41" s="54" t="str">
        <f t="shared" si="20"/>
        <v>Subiu</v>
      </c>
    </row>
    <row r="42" spans="1:36" ht="14.25" customHeight="1" x14ac:dyDescent="0.25">
      <c r="A42" s="38" t="s">
        <v>99</v>
      </c>
      <c r="B42" s="39">
        <v>45317</v>
      </c>
      <c r="C42" s="40">
        <v>21.84</v>
      </c>
      <c r="D42" s="38">
        <v>0.27</v>
      </c>
      <c r="E42" s="38">
        <v>3.65</v>
      </c>
      <c r="F42" s="38">
        <v>-8.08</v>
      </c>
      <c r="G42" s="38">
        <v>-8.08</v>
      </c>
      <c r="H42" s="38">
        <v>-26.1</v>
      </c>
      <c r="I42" s="38">
        <v>21.7</v>
      </c>
      <c r="J42" s="38">
        <v>21.94</v>
      </c>
      <c r="K42" s="38" t="s">
        <v>100</v>
      </c>
      <c r="L42" s="41" t="str">
        <f>VLOOKUP(A42,Ticker!A:B,2,0)</f>
        <v>Gerdau</v>
      </c>
      <c r="M42" s="41" t="str">
        <f>VLOOKUP(L42,Chatgpt!A:C,2,0)</f>
        <v>Siderurgia</v>
      </c>
      <c r="N42" s="41">
        <f>VLOOKUP(L42,Chatgpt!A:C,3,0)</f>
        <v>121</v>
      </c>
      <c r="O42" s="41" t="str">
        <f t="shared" si="0"/>
        <v>Mais de 100 anos</v>
      </c>
      <c r="P42" s="42">
        <f>VLOOKUP(A42,Total_de_acoes!A:B,2,0)</f>
        <v>1118525506</v>
      </c>
      <c r="Q42" s="43">
        <f t="shared" si="1"/>
        <v>2.7000000000000001E-3</v>
      </c>
      <c r="R42" s="44">
        <f t="shared" si="2"/>
        <v>21.781190784880824</v>
      </c>
      <c r="S42" s="45">
        <f t="shared" si="21"/>
        <v>65779607.098639093</v>
      </c>
      <c r="T42" s="43" t="str">
        <f t="shared" si="4"/>
        <v>Subiu</v>
      </c>
      <c r="U42" s="46">
        <f t="shared" si="22"/>
        <v>3.6499999999999998E-2</v>
      </c>
      <c r="V42" s="47">
        <f t="shared" si="23"/>
        <v>21.070911722141823</v>
      </c>
      <c r="W42" s="48">
        <f t="shared" si="24"/>
        <v>860244855.14998639</v>
      </c>
      <c r="X42" s="46" t="str">
        <f t="shared" si="8"/>
        <v>Subiu</v>
      </c>
      <c r="Y42" s="43">
        <f t="shared" si="25"/>
        <v>-8.0799999999999997E-2</v>
      </c>
      <c r="Z42" s="44">
        <f t="shared" si="26"/>
        <v>23.759791122715406</v>
      </c>
      <c r="AA42" s="45">
        <f t="shared" si="27"/>
        <v>-2147335336.9495575</v>
      </c>
      <c r="AB42" s="43" t="str">
        <f t="shared" si="12"/>
        <v>Desceu</v>
      </c>
      <c r="AC42" s="49">
        <f t="shared" si="28"/>
        <v>-8.0799999999999997E-2</v>
      </c>
      <c r="AD42" s="50">
        <f t="shared" si="29"/>
        <v>23.759791122715406</v>
      </c>
      <c r="AE42" s="48">
        <f t="shared" si="30"/>
        <v>-2147335336.9495575</v>
      </c>
      <c r="AF42" s="51" t="str">
        <f t="shared" si="16"/>
        <v>Desceu</v>
      </c>
      <c r="AG42" s="52">
        <f t="shared" si="31"/>
        <v>-0.26100000000000001</v>
      </c>
      <c r="AH42" s="53">
        <f t="shared" si="32"/>
        <v>29.553450608930987</v>
      </c>
      <c r="AI42" s="45">
        <f t="shared" si="33"/>
        <v>-8627691245.3605404</v>
      </c>
      <c r="AJ42" s="54" t="str">
        <f t="shared" si="20"/>
        <v>Desceu</v>
      </c>
    </row>
    <row r="43" spans="1:36" ht="14.25" customHeight="1" x14ac:dyDescent="0.25">
      <c r="A43" s="38" t="s">
        <v>101</v>
      </c>
      <c r="B43" s="39">
        <v>45317</v>
      </c>
      <c r="C43" s="40">
        <v>3.74</v>
      </c>
      <c r="D43" s="38">
        <v>0.26</v>
      </c>
      <c r="E43" s="38">
        <v>0</v>
      </c>
      <c r="F43" s="38">
        <v>-7.2</v>
      </c>
      <c r="G43" s="38">
        <v>-7.2</v>
      </c>
      <c r="H43" s="38">
        <v>15.46</v>
      </c>
      <c r="I43" s="38">
        <v>3.71</v>
      </c>
      <c r="J43" s="38">
        <v>3.78</v>
      </c>
      <c r="K43" s="38" t="s">
        <v>102</v>
      </c>
      <c r="L43" s="41" t="str">
        <f>VLOOKUP(A43,Ticker!A:B,2,0)</f>
        <v>Raízen</v>
      </c>
      <c r="M43" s="41" t="str">
        <f>VLOOKUP(L43,Chatgpt!A:C,2,0)</f>
        <v>Energia</v>
      </c>
      <c r="N43" s="41">
        <f>VLOOKUP(L43,Chatgpt!A:C,3,0)</f>
        <v>8</v>
      </c>
      <c r="O43" s="41" t="str">
        <f t="shared" si="0"/>
        <v>Menor de 50 anos</v>
      </c>
      <c r="P43" s="42">
        <f>VLOOKUP(A43,Total_de_acoes!A:B,2,0)</f>
        <v>1193047233</v>
      </c>
      <c r="Q43" s="43">
        <f t="shared" si="1"/>
        <v>2.5999999999999999E-3</v>
      </c>
      <c r="R43" s="44">
        <f t="shared" si="2"/>
        <v>3.7303012168362262</v>
      </c>
      <c r="S43" s="45">
        <f t="shared" si="21"/>
        <v>11571106.417007603</v>
      </c>
      <c r="T43" s="43" t="str">
        <f t="shared" si="4"/>
        <v>Subiu</v>
      </c>
      <c r="U43" s="46">
        <f t="shared" si="22"/>
        <v>0</v>
      </c>
      <c r="V43" s="47">
        <f t="shared" si="23"/>
        <v>3.74</v>
      </c>
      <c r="W43" s="48">
        <f t="shared" si="24"/>
        <v>0</v>
      </c>
      <c r="X43" s="46" t="str">
        <f t="shared" si="8"/>
        <v>Estável</v>
      </c>
      <c r="Y43" s="43">
        <f t="shared" si="25"/>
        <v>-7.2000000000000008E-2</v>
      </c>
      <c r="Z43" s="44">
        <f t="shared" si="26"/>
        <v>4.0301724137931041</v>
      </c>
      <c r="AA43" s="45">
        <f t="shared" si="27"/>
        <v>-346189395.36879361</v>
      </c>
      <c r="AB43" s="43" t="str">
        <f t="shared" si="12"/>
        <v>Desceu</v>
      </c>
      <c r="AC43" s="49">
        <f t="shared" si="28"/>
        <v>-7.2000000000000008E-2</v>
      </c>
      <c r="AD43" s="50">
        <f t="shared" si="29"/>
        <v>4.0301724137931041</v>
      </c>
      <c r="AE43" s="48">
        <f t="shared" si="30"/>
        <v>-346189395.36879361</v>
      </c>
      <c r="AF43" s="51" t="str">
        <f t="shared" si="16"/>
        <v>Desceu</v>
      </c>
      <c r="AG43" s="52">
        <f t="shared" si="31"/>
        <v>0.15460000000000002</v>
      </c>
      <c r="AH43" s="53">
        <f t="shared" si="32"/>
        <v>3.2392170448640223</v>
      </c>
      <c r="AI43" s="45">
        <f t="shared" si="33"/>
        <v>597457718.95854163</v>
      </c>
      <c r="AJ43" s="54" t="str">
        <f t="shared" si="20"/>
        <v>Subiu</v>
      </c>
    </row>
    <row r="44" spans="1:36" ht="14.25" customHeight="1" x14ac:dyDescent="0.25">
      <c r="A44" s="38" t="s">
        <v>103</v>
      </c>
      <c r="B44" s="39">
        <v>45317</v>
      </c>
      <c r="C44" s="40">
        <v>10.07</v>
      </c>
      <c r="D44" s="38">
        <v>0.19</v>
      </c>
      <c r="E44" s="38">
        <v>0.9</v>
      </c>
      <c r="F44" s="38">
        <v>-2.8</v>
      </c>
      <c r="G44" s="38">
        <v>-2.8</v>
      </c>
      <c r="H44" s="38">
        <v>32.08</v>
      </c>
      <c r="I44" s="38">
        <v>9.9600000000000009</v>
      </c>
      <c r="J44" s="38">
        <v>10.130000000000001</v>
      </c>
      <c r="K44" s="38" t="s">
        <v>104</v>
      </c>
      <c r="L44" s="41" t="str">
        <f>VLOOKUP(A44,Ticker!A:B,2,0)</f>
        <v>Copel</v>
      </c>
      <c r="M44" s="41" t="str">
        <f>VLOOKUP(L44,Chatgpt!A:C,2,0)</f>
        <v>Energia</v>
      </c>
      <c r="N44" s="41">
        <f>VLOOKUP(L44,Chatgpt!A:C,3,0)</f>
        <v>67</v>
      </c>
      <c r="O44" s="41" t="str">
        <f t="shared" si="0"/>
        <v>Entre 50 e 100 anos</v>
      </c>
      <c r="P44" s="42">
        <f>VLOOKUP(A44,Total_de_acoes!A:B,2,0)</f>
        <v>1679335290</v>
      </c>
      <c r="Q44" s="43">
        <f t="shared" si="1"/>
        <v>1.9E-3</v>
      </c>
      <c r="R44" s="44">
        <f t="shared" si="2"/>
        <v>10.050903283760855</v>
      </c>
      <c r="S44" s="45">
        <f t="shared" si="21"/>
        <v>32069789.503513202</v>
      </c>
      <c r="T44" s="43" t="str">
        <f t="shared" si="4"/>
        <v>Subiu</v>
      </c>
      <c r="U44" s="46">
        <f t="shared" si="22"/>
        <v>9.0000000000000011E-3</v>
      </c>
      <c r="V44" s="47">
        <f t="shared" si="23"/>
        <v>9.9801783944499523</v>
      </c>
      <c r="W44" s="48">
        <f t="shared" si="24"/>
        <v>150840592.00465551</v>
      </c>
      <c r="X44" s="46" t="str">
        <f t="shared" si="8"/>
        <v>Subiu</v>
      </c>
      <c r="Y44" s="43">
        <f t="shared" si="25"/>
        <v>-2.7999999999999997E-2</v>
      </c>
      <c r="Z44" s="44">
        <f t="shared" si="26"/>
        <v>10.360082304526749</v>
      </c>
      <c r="AA44" s="45">
        <f t="shared" si="27"/>
        <v>-487145450.99629575</v>
      </c>
      <c r="AB44" s="43" t="str">
        <f t="shared" si="12"/>
        <v>Desceu</v>
      </c>
      <c r="AC44" s="49">
        <f t="shared" si="28"/>
        <v>-2.7999999999999997E-2</v>
      </c>
      <c r="AD44" s="50">
        <f t="shared" si="29"/>
        <v>10.360082304526749</v>
      </c>
      <c r="AE44" s="48">
        <f t="shared" si="30"/>
        <v>-487145450.99629575</v>
      </c>
      <c r="AF44" s="51" t="str">
        <f t="shared" si="16"/>
        <v>Desceu</v>
      </c>
      <c r="AG44" s="52">
        <f t="shared" si="31"/>
        <v>0.32079999999999997</v>
      </c>
      <c r="AH44" s="53">
        <f t="shared" si="32"/>
        <v>7.6241671714112664</v>
      </c>
      <c r="AI44" s="45">
        <f t="shared" si="33"/>
        <v>4107373382.4895816</v>
      </c>
      <c r="AJ44" s="54" t="str">
        <f t="shared" si="20"/>
        <v>Subiu</v>
      </c>
    </row>
    <row r="45" spans="1:36" ht="14.25" customHeight="1" x14ac:dyDescent="0.25">
      <c r="A45" s="38" t="s">
        <v>105</v>
      </c>
      <c r="B45" s="39">
        <v>45317</v>
      </c>
      <c r="C45" s="40">
        <v>8.18</v>
      </c>
      <c r="D45" s="38">
        <v>0.12</v>
      </c>
      <c r="E45" s="38">
        <v>-3.76</v>
      </c>
      <c r="F45" s="38">
        <v>-18.77</v>
      </c>
      <c r="G45" s="38">
        <v>-18.77</v>
      </c>
      <c r="H45" s="38">
        <v>-40.74</v>
      </c>
      <c r="I45" s="38">
        <v>8.11</v>
      </c>
      <c r="J45" s="38">
        <v>8.27</v>
      </c>
      <c r="K45" s="38" t="s">
        <v>106</v>
      </c>
      <c r="L45" s="41" t="str">
        <f>VLOOKUP(A45,Ticker!A:B,2,0)</f>
        <v>Grupo Vamos</v>
      </c>
      <c r="M45" s="41" t="str">
        <f>VLOOKUP(L45,Chatgpt!A:C,2,0)</f>
        <v>Logística</v>
      </c>
      <c r="N45" s="41">
        <f>VLOOKUP(L45,Chatgpt!A:C,3,0)</f>
        <v>57</v>
      </c>
      <c r="O45" s="41" t="str">
        <f t="shared" si="0"/>
        <v>Entre 50 e 100 anos</v>
      </c>
      <c r="P45" s="42">
        <f>VLOOKUP(A45,Total_de_acoes!A:B,2,0)</f>
        <v>421383330</v>
      </c>
      <c r="Q45" s="43">
        <f t="shared" si="1"/>
        <v>1.1999999999999999E-3</v>
      </c>
      <c r="R45" s="44">
        <f t="shared" si="2"/>
        <v>8.1701957650819015</v>
      </c>
      <c r="S45" s="45">
        <f t="shared" si="21"/>
        <v>4131341.1578905098</v>
      </c>
      <c r="T45" s="43" t="str">
        <f t="shared" si="4"/>
        <v>Subiu</v>
      </c>
      <c r="U45" s="46">
        <f t="shared" si="22"/>
        <v>-3.7599999999999995E-2</v>
      </c>
      <c r="V45" s="47">
        <f t="shared" si="23"/>
        <v>8.4995843724023263</v>
      </c>
      <c r="W45" s="48">
        <f t="shared" si="24"/>
        <v>-134667527.05885249</v>
      </c>
      <c r="X45" s="46" t="str">
        <f t="shared" si="8"/>
        <v>Desceu</v>
      </c>
      <c r="Y45" s="43">
        <f t="shared" si="25"/>
        <v>-0.18770000000000001</v>
      </c>
      <c r="Z45" s="44">
        <f t="shared" si="26"/>
        <v>10.070171119044687</v>
      </c>
      <c r="AA45" s="45">
        <f t="shared" si="27"/>
        <v>-796486600.41287684</v>
      </c>
      <c r="AB45" s="43" t="str">
        <f t="shared" si="12"/>
        <v>Desceu</v>
      </c>
      <c r="AC45" s="49">
        <f t="shared" si="28"/>
        <v>-0.18770000000000001</v>
      </c>
      <c r="AD45" s="50">
        <f t="shared" si="29"/>
        <v>10.070171119044687</v>
      </c>
      <c r="AE45" s="48">
        <f t="shared" si="30"/>
        <v>-796486600.41287684</v>
      </c>
      <c r="AF45" s="51" t="str">
        <f t="shared" si="16"/>
        <v>Desceu</v>
      </c>
      <c r="AG45" s="52">
        <f t="shared" si="31"/>
        <v>-0.40740000000000004</v>
      </c>
      <c r="AH45" s="53">
        <f t="shared" si="32"/>
        <v>13.803577455281808</v>
      </c>
      <c r="AI45" s="45">
        <f t="shared" si="33"/>
        <v>-2369681794.6195741</v>
      </c>
      <c r="AJ45" s="54" t="str">
        <f t="shared" si="20"/>
        <v>Desceu</v>
      </c>
    </row>
    <row r="46" spans="1:36" ht="14.25" customHeight="1" x14ac:dyDescent="0.25">
      <c r="A46" s="38" t="s">
        <v>107</v>
      </c>
      <c r="B46" s="39">
        <v>45317</v>
      </c>
      <c r="C46" s="40">
        <v>9.74</v>
      </c>
      <c r="D46" s="38">
        <v>0</v>
      </c>
      <c r="E46" s="38">
        <v>5.3</v>
      </c>
      <c r="F46" s="38">
        <v>0.41</v>
      </c>
      <c r="G46" s="38">
        <v>0.41</v>
      </c>
      <c r="H46" s="38">
        <v>17.989999999999998</v>
      </c>
      <c r="I46" s="38">
        <v>9.61</v>
      </c>
      <c r="J46" s="38">
        <v>9.86</v>
      </c>
      <c r="K46" s="38" t="s">
        <v>108</v>
      </c>
      <c r="L46" s="41" t="str">
        <f>VLOOKUP(A46,Ticker!A:B,2,0)</f>
        <v>Marfrig</v>
      </c>
      <c r="M46" s="41" t="str">
        <f>VLOOKUP(L46,Chatgpt!A:C,2,0)</f>
        <v>Alimentos</v>
      </c>
      <c r="N46" s="41">
        <f>VLOOKUP(L46,Chatgpt!A:C,3,0)</f>
        <v>16</v>
      </c>
      <c r="O46" s="41" t="str">
        <f t="shared" si="0"/>
        <v>Menor de 50 anos</v>
      </c>
      <c r="P46" s="42">
        <f>VLOOKUP(A46,Total_de_acoes!A:B,2,0)</f>
        <v>331799687</v>
      </c>
      <c r="Q46" s="43">
        <f t="shared" si="1"/>
        <v>0</v>
      </c>
      <c r="R46" s="44">
        <f t="shared" si="2"/>
        <v>9.74</v>
      </c>
      <c r="S46" s="45">
        <f t="shared" si="21"/>
        <v>0</v>
      </c>
      <c r="T46" s="43" t="str">
        <f t="shared" si="4"/>
        <v>Estável</v>
      </c>
      <c r="U46" s="46">
        <f t="shared" si="22"/>
        <v>5.2999999999999999E-2</v>
      </c>
      <c r="V46" s="47">
        <f t="shared" si="23"/>
        <v>9.2497625830959169</v>
      </c>
      <c r="W46" s="48">
        <f t="shared" si="24"/>
        <v>162660621.48446333</v>
      </c>
      <c r="X46" s="46" t="str">
        <f t="shared" si="8"/>
        <v>Subiu</v>
      </c>
      <c r="Y46" s="43">
        <f t="shared" si="25"/>
        <v>4.0999999999999995E-3</v>
      </c>
      <c r="Z46" s="44">
        <f t="shared" si="26"/>
        <v>9.7002290608505124</v>
      </c>
      <c r="AA46" s="45">
        <f t="shared" si="27"/>
        <v>13195985.161496103</v>
      </c>
      <c r="AB46" s="43" t="str">
        <f t="shared" si="12"/>
        <v>Subiu</v>
      </c>
      <c r="AC46" s="49">
        <f t="shared" si="28"/>
        <v>4.0999999999999995E-3</v>
      </c>
      <c r="AD46" s="50">
        <f t="shared" si="29"/>
        <v>9.7002290608505124</v>
      </c>
      <c r="AE46" s="48">
        <f t="shared" si="30"/>
        <v>13195985.161496103</v>
      </c>
      <c r="AF46" s="51" t="str">
        <f t="shared" si="16"/>
        <v>Subiu</v>
      </c>
      <c r="AG46" s="52">
        <f t="shared" si="31"/>
        <v>0.17989999999999998</v>
      </c>
      <c r="AH46" s="53">
        <f t="shared" si="32"/>
        <v>8.2549368590558529</v>
      </c>
      <c r="AI46" s="45">
        <f t="shared" si="33"/>
        <v>492743485.34050494</v>
      </c>
      <c r="AJ46" s="54" t="str">
        <f t="shared" si="20"/>
        <v>Subiu</v>
      </c>
    </row>
    <row r="47" spans="1:36" ht="14.25" customHeight="1" x14ac:dyDescent="0.25">
      <c r="A47" s="38" t="s">
        <v>109</v>
      </c>
      <c r="B47" s="39">
        <v>45317</v>
      </c>
      <c r="C47" s="40">
        <v>13.2</v>
      </c>
      <c r="D47" s="38">
        <v>0</v>
      </c>
      <c r="E47" s="38">
        <v>-1.1200000000000001</v>
      </c>
      <c r="F47" s="38">
        <v>-3.86</v>
      </c>
      <c r="G47" s="38">
        <v>-3.86</v>
      </c>
      <c r="H47" s="38">
        <v>0.3</v>
      </c>
      <c r="I47" s="38">
        <v>13.15</v>
      </c>
      <c r="J47" s="38">
        <v>13.29</v>
      </c>
      <c r="K47" s="38" t="s">
        <v>110</v>
      </c>
      <c r="L47" s="41" t="str">
        <f>VLOOKUP(A47,Ticker!A:B,2,0)</f>
        <v>Ambev</v>
      </c>
      <c r="M47" s="41" t="str">
        <f>VLOOKUP(L47,Chatgpt!A:C,2,0)</f>
        <v>Bebidas</v>
      </c>
      <c r="N47" s="41">
        <f>VLOOKUP(L47,Chatgpt!A:C,3,0)</f>
        <v>32</v>
      </c>
      <c r="O47" s="41" t="str">
        <f t="shared" si="0"/>
        <v>Menor de 50 anos</v>
      </c>
      <c r="P47" s="42">
        <f>VLOOKUP(A47,Total_de_acoes!A:B,2,0)</f>
        <v>4394245879</v>
      </c>
      <c r="Q47" s="43">
        <f t="shared" si="1"/>
        <v>0</v>
      </c>
      <c r="R47" s="44">
        <f t="shared" si="2"/>
        <v>13.2</v>
      </c>
      <c r="S47" s="45">
        <f t="shared" si="21"/>
        <v>0</v>
      </c>
      <c r="T47" s="43" t="str">
        <f t="shared" si="4"/>
        <v>Estável</v>
      </c>
      <c r="U47" s="46">
        <f t="shared" si="22"/>
        <v>-1.1200000000000002E-2</v>
      </c>
      <c r="V47" s="47">
        <f t="shared" si="23"/>
        <v>13.349514563106796</v>
      </c>
      <c r="W47" s="48">
        <f t="shared" si="24"/>
        <v>-657003752.78252673</v>
      </c>
      <c r="X47" s="46" t="str">
        <f t="shared" si="8"/>
        <v>Desceu</v>
      </c>
      <c r="Y47" s="43">
        <f t="shared" si="25"/>
        <v>-3.8599999999999995E-2</v>
      </c>
      <c r="Z47" s="44">
        <f t="shared" si="26"/>
        <v>13.729977116704804</v>
      </c>
      <c r="AA47" s="45">
        <f t="shared" si="27"/>
        <v>-2328849761.0443897</v>
      </c>
      <c r="AB47" s="43" t="str">
        <f t="shared" si="12"/>
        <v>Desceu</v>
      </c>
      <c r="AC47" s="49">
        <f t="shared" si="28"/>
        <v>-3.8599999999999995E-2</v>
      </c>
      <c r="AD47" s="50">
        <f t="shared" si="29"/>
        <v>13.729977116704804</v>
      </c>
      <c r="AE47" s="48">
        <f t="shared" si="30"/>
        <v>-2328849761.0443897</v>
      </c>
      <c r="AF47" s="51" t="str">
        <f t="shared" si="16"/>
        <v>Desceu</v>
      </c>
      <c r="AG47" s="52">
        <f t="shared" si="31"/>
        <v>3.0000000000000001E-3</v>
      </c>
      <c r="AH47" s="53">
        <f t="shared" si="32"/>
        <v>13.160518444666003</v>
      </c>
      <c r="AI47" s="45">
        <f t="shared" si="33"/>
        <v>173491661.82292238</v>
      </c>
      <c r="AJ47" s="54" t="str">
        <f t="shared" si="20"/>
        <v>Subiu</v>
      </c>
    </row>
    <row r="48" spans="1:36" ht="14.25" customHeight="1" x14ac:dyDescent="0.25">
      <c r="A48" s="38" t="s">
        <v>111</v>
      </c>
      <c r="B48" s="39">
        <v>45317</v>
      </c>
      <c r="C48" s="40">
        <v>33.729999999999997</v>
      </c>
      <c r="D48" s="38">
        <v>-0.02</v>
      </c>
      <c r="E48" s="38">
        <v>-2.37</v>
      </c>
      <c r="F48" s="38">
        <v>0.24</v>
      </c>
      <c r="G48" s="38">
        <v>0.24</v>
      </c>
      <c r="H48" s="38">
        <v>0.91</v>
      </c>
      <c r="I48" s="38">
        <v>33.729999999999997</v>
      </c>
      <c r="J48" s="38">
        <v>34.03</v>
      </c>
      <c r="K48" s="38" t="s">
        <v>112</v>
      </c>
      <c r="L48" s="41" t="str">
        <f>VLOOKUP(A48,Ticker!A:B,2,0)</f>
        <v>BB Seguridade</v>
      </c>
      <c r="M48" s="41" t="str">
        <f>VLOOKUP(L48,Chatgpt!A:C,2,0)</f>
        <v>Seguros</v>
      </c>
      <c r="N48" s="41">
        <f>VLOOKUP(L48,Chatgpt!A:C,3,0)</f>
        <v>11</v>
      </c>
      <c r="O48" s="41" t="str">
        <f t="shared" si="0"/>
        <v>Menor de 50 anos</v>
      </c>
      <c r="P48" s="42">
        <f>VLOOKUP(A48,Total_de_acoes!A:B,2,0)</f>
        <v>671750768</v>
      </c>
      <c r="Q48" s="43">
        <f t="shared" si="1"/>
        <v>-2.0000000000000001E-4</v>
      </c>
      <c r="R48" s="44">
        <f t="shared" si="2"/>
        <v>33.736747349469887</v>
      </c>
      <c r="S48" s="45">
        <f t="shared" si="21"/>
        <v>-4532537.1883631321</v>
      </c>
      <c r="T48" s="43" t="str">
        <f t="shared" si="4"/>
        <v>Desceu</v>
      </c>
      <c r="U48" s="46">
        <f t="shared" si="22"/>
        <v>-2.3700000000000002E-2</v>
      </c>
      <c r="V48" s="47">
        <f t="shared" si="23"/>
        <v>34.54880671924613</v>
      </c>
      <c r="W48" s="48">
        <f t="shared" si="24"/>
        <v>-550034042.49715042</v>
      </c>
      <c r="X48" s="46" t="str">
        <f t="shared" si="8"/>
        <v>Desceu</v>
      </c>
      <c r="Y48" s="43">
        <f t="shared" si="25"/>
        <v>2.3999999999999998E-3</v>
      </c>
      <c r="Z48" s="44">
        <f t="shared" si="26"/>
        <v>33.649241819632877</v>
      </c>
      <c r="AA48" s="45">
        <f t="shared" si="27"/>
        <v>54249369.683895245</v>
      </c>
      <c r="AB48" s="43" t="str">
        <f t="shared" si="12"/>
        <v>Subiu</v>
      </c>
      <c r="AC48" s="49">
        <f t="shared" si="28"/>
        <v>2.3999999999999998E-3</v>
      </c>
      <c r="AD48" s="50">
        <f t="shared" si="29"/>
        <v>33.649241819632877</v>
      </c>
      <c r="AE48" s="48">
        <f t="shared" si="30"/>
        <v>54249369.683895245</v>
      </c>
      <c r="AF48" s="51" t="str">
        <f t="shared" si="16"/>
        <v>Subiu</v>
      </c>
      <c r="AG48" s="52">
        <f t="shared" si="31"/>
        <v>9.1000000000000004E-3</v>
      </c>
      <c r="AH48" s="53">
        <f t="shared" si="32"/>
        <v>33.425824992567627</v>
      </c>
      <c r="AI48" s="45">
        <f t="shared" si="33"/>
        <v>204329794.84910035</v>
      </c>
      <c r="AJ48" s="54" t="str">
        <f t="shared" si="20"/>
        <v>Subiu</v>
      </c>
    </row>
    <row r="49" spans="1:36" ht="14.25" customHeight="1" x14ac:dyDescent="0.25">
      <c r="A49" s="38" t="s">
        <v>113</v>
      </c>
      <c r="B49" s="39">
        <v>45317</v>
      </c>
      <c r="C49" s="40">
        <v>77.040000000000006</v>
      </c>
      <c r="D49" s="38">
        <v>-0.06</v>
      </c>
      <c r="E49" s="38">
        <v>1.37</v>
      </c>
      <c r="F49" s="38">
        <v>2.2200000000000002</v>
      </c>
      <c r="G49" s="38">
        <v>2.2200000000000002</v>
      </c>
      <c r="H49" s="38">
        <v>45.92</v>
      </c>
      <c r="I49" s="38">
        <v>76.52</v>
      </c>
      <c r="J49" s="38">
        <v>77.69</v>
      </c>
      <c r="K49" s="38" t="s">
        <v>114</v>
      </c>
      <c r="L49" s="41" t="str">
        <f>VLOOKUP(A49,Ticker!A:B,2,0)</f>
        <v>Sabesp</v>
      </c>
      <c r="M49" s="41" t="str">
        <f>VLOOKUP(L49,Chatgpt!A:C,2,0)</f>
        <v>Saneamento</v>
      </c>
      <c r="N49" s="41">
        <f>VLOOKUP(L49,Chatgpt!A:C,3,0)</f>
        <v>47</v>
      </c>
      <c r="O49" s="41" t="str">
        <f t="shared" si="0"/>
        <v>Menor de 50 anos</v>
      </c>
      <c r="P49" s="42">
        <f>VLOOKUP(A49,Total_de_acoes!A:B,2,0)</f>
        <v>340001799</v>
      </c>
      <c r="Q49" s="43">
        <f t="shared" si="1"/>
        <v>-5.9999999999999995E-4</v>
      </c>
      <c r="R49" s="44">
        <f t="shared" si="2"/>
        <v>77.086251751050639</v>
      </c>
      <c r="S49" s="45">
        <f t="shared" si="21"/>
        <v>-15725678.564115381</v>
      </c>
      <c r="T49" s="43" t="str">
        <f t="shared" si="4"/>
        <v>Desceu</v>
      </c>
      <c r="U49" s="46">
        <f t="shared" si="22"/>
        <v>1.37E-2</v>
      </c>
      <c r="V49" s="47">
        <f t="shared" si="23"/>
        <v>75.998816217815929</v>
      </c>
      <c r="W49" s="48">
        <f t="shared" si="24"/>
        <v>354004359.03221059</v>
      </c>
      <c r="X49" s="46" t="str">
        <f t="shared" si="8"/>
        <v>Subiu</v>
      </c>
      <c r="Y49" s="43">
        <f t="shared" si="25"/>
        <v>2.2200000000000001E-2</v>
      </c>
      <c r="Z49" s="44">
        <f t="shared" si="26"/>
        <v>75.366855801213077</v>
      </c>
      <c r="AA49" s="45">
        <f t="shared" si="27"/>
        <v>568872037.57396948</v>
      </c>
      <c r="AB49" s="43" t="str">
        <f t="shared" si="12"/>
        <v>Subiu</v>
      </c>
      <c r="AC49" s="49">
        <f t="shared" si="28"/>
        <v>2.2200000000000001E-2</v>
      </c>
      <c r="AD49" s="50">
        <f t="shared" si="29"/>
        <v>75.366855801213077</v>
      </c>
      <c r="AE49" s="48">
        <f t="shared" si="30"/>
        <v>568872037.57396948</v>
      </c>
      <c r="AF49" s="51" t="str">
        <f t="shared" si="16"/>
        <v>Subiu</v>
      </c>
      <c r="AG49" s="52">
        <f t="shared" si="31"/>
        <v>0.4592</v>
      </c>
      <c r="AH49" s="53">
        <f t="shared" si="32"/>
        <v>52.796052631578952</v>
      </c>
      <c r="AI49" s="45">
        <f t="shared" si="33"/>
        <v>8242985720.1244745</v>
      </c>
      <c r="AJ49" s="54" t="str">
        <f t="shared" si="20"/>
        <v>Subiu</v>
      </c>
    </row>
    <row r="50" spans="1:36" ht="14.25" customHeight="1" x14ac:dyDescent="0.25">
      <c r="A50" s="38" t="s">
        <v>115</v>
      </c>
      <c r="B50" s="39">
        <v>45317</v>
      </c>
      <c r="C50" s="40">
        <v>30.88</v>
      </c>
      <c r="D50" s="38">
        <v>-0.06</v>
      </c>
      <c r="E50" s="38">
        <v>-2.65</v>
      </c>
      <c r="F50" s="38">
        <v>-8.34</v>
      </c>
      <c r="G50" s="38">
        <v>-8.34</v>
      </c>
      <c r="H50" s="38">
        <v>5.89</v>
      </c>
      <c r="I50" s="38">
        <v>30.65</v>
      </c>
      <c r="J50" s="38">
        <v>31.34</v>
      </c>
      <c r="K50" s="38" t="s">
        <v>116</v>
      </c>
      <c r="L50" s="41" t="str">
        <f>VLOOKUP(A50,Ticker!A:B,2,0)</f>
        <v>Totvs</v>
      </c>
      <c r="M50" s="41" t="str">
        <f>VLOOKUP(L50,Chatgpt!A:C,2,0)</f>
        <v>Tecnologia</v>
      </c>
      <c r="N50" s="41">
        <f>VLOOKUP(L50,Chatgpt!A:C,3,0)</f>
        <v>55</v>
      </c>
      <c r="O50" s="41" t="str">
        <f t="shared" si="0"/>
        <v>Entre 50 e 100 anos</v>
      </c>
      <c r="P50" s="42">
        <f>VLOOKUP(A50,Total_de_acoes!A:B,2,0)</f>
        <v>514122351</v>
      </c>
      <c r="Q50" s="43">
        <f t="shared" si="1"/>
        <v>-5.9999999999999995E-4</v>
      </c>
      <c r="R50" s="44">
        <f t="shared" si="2"/>
        <v>30.898539123474084</v>
      </c>
      <c r="S50" s="45">
        <f t="shared" si="21"/>
        <v>-9531377.7459757738</v>
      </c>
      <c r="T50" s="43" t="str">
        <f t="shared" si="4"/>
        <v>Desceu</v>
      </c>
      <c r="U50" s="46">
        <f t="shared" si="22"/>
        <v>-2.6499999999999999E-2</v>
      </c>
      <c r="V50" s="47">
        <f t="shared" si="23"/>
        <v>31.720595788392398</v>
      </c>
      <c r="W50" s="48">
        <f t="shared" si="24"/>
        <v>-432169082.96899861</v>
      </c>
      <c r="X50" s="46" t="str">
        <f t="shared" si="8"/>
        <v>Desceu</v>
      </c>
      <c r="Y50" s="43">
        <f t="shared" si="25"/>
        <v>-8.3400000000000002E-2</v>
      </c>
      <c r="Z50" s="44">
        <f t="shared" si="26"/>
        <v>33.689722888937375</v>
      </c>
      <c r="AA50" s="45">
        <f t="shared" si="27"/>
        <v>-1444541337.3189957</v>
      </c>
      <c r="AB50" s="43" t="str">
        <f t="shared" si="12"/>
        <v>Desceu</v>
      </c>
      <c r="AC50" s="49">
        <f t="shared" si="28"/>
        <v>-8.3400000000000002E-2</v>
      </c>
      <c r="AD50" s="50">
        <f t="shared" si="29"/>
        <v>33.689722888937375</v>
      </c>
      <c r="AE50" s="48">
        <f t="shared" si="30"/>
        <v>-1444541337.3189957</v>
      </c>
      <c r="AF50" s="51" t="str">
        <f t="shared" si="16"/>
        <v>Desceu</v>
      </c>
      <c r="AG50" s="52">
        <f t="shared" si="31"/>
        <v>5.8899999999999994E-2</v>
      </c>
      <c r="AH50" s="53">
        <f t="shared" si="32"/>
        <v>29.162338275568988</v>
      </c>
      <c r="AI50" s="45">
        <f t="shared" si="33"/>
        <v>883088283.98718548</v>
      </c>
      <c r="AJ50" s="54" t="str">
        <f t="shared" si="20"/>
        <v>Subiu</v>
      </c>
    </row>
    <row r="51" spans="1:36" ht="14.25" customHeight="1" x14ac:dyDescent="0.25">
      <c r="A51" s="38" t="s">
        <v>117</v>
      </c>
      <c r="B51" s="39">
        <v>45317</v>
      </c>
      <c r="C51" s="40">
        <v>11.64</v>
      </c>
      <c r="D51" s="38">
        <v>-0.17</v>
      </c>
      <c r="E51" s="38">
        <v>0.95</v>
      </c>
      <c r="F51" s="38">
        <v>1.39</v>
      </c>
      <c r="G51" s="38">
        <v>1.39</v>
      </c>
      <c r="H51" s="38">
        <v>12.26</v>
      </c>
      <c r="I51" s="38">
        <v>11.64</v>
      </c>
      <c r="J51" s="38">
        <v>11.8</v>
      </c>
      <c r="K51" s="38" t="s">
        <v>118</v>
      </c>
      <c r="L51" s="41" t="str">
        <f>VLOOKUP(A51,Ticker!A:B,2,0)</f>
        <v>CEMIG</v>
      </c>
      <c r="M51" s="41" t="str">
        <f>VLOOKUP(L51,Chatgpt!A:C,2,0)</f>
        <v>Energia</v>
      </c>
      <c r="N51" s="41">
        <f>VLOOKUP(L51,Chatgpt!A:C,3,0)</f>
        <v>69</v>
      </c>
      <c r="O51" s="41" t="str">
        <f t="shared" si="0"/>
        <v>Entre 50 e 100 anos</v>
      </c>
      <c r="P51" s="42">
        <f>VLOOKUP(A51,Total_de_acoes!A:B,2,0)</f>
        <v>1437415777</v>
      </c>
      <c r="Q51" s="43">
        <f t="shared" si="1"/>
        <v>-1.7000000000000001E-3</v>
      </c>
      <c r="R51" s="44">
        <f t="shared" si="2"/>
        <v>11.659821696884705</v>
      </c>
      <c r="S51" s="45">
        <f t="shared" si="21"/>
        <v>-28492019.828986604</v>
      </c>
      <c r="T51" s="43" t="str">
        <f t="shared" si="4"/>
        <v>Desceu</v>
      </c>
      <c r="U51" s="46">
        <f t="shared" si="22"/>
        <v>9.4999999999999998E-3</v>
      </c>
      <c r="V51" s="47">
        <f t="shared" si="23"/>
        <v>11.530460624071322</v>
      </c>
      <c r="W51" s="48">
        <f t="shared" si="24"/>
        <v>157453627.16261613</v>
      </c>
      <c r="X51" s="46" t="str">
        <f t="shared" si="8"/>
        <v>Subiu</v>
      </c>
      <c r="Y51" s="43">
        <f t="shared" si="25"/>
        <v>1.3899999999999999E-2</v>
      </c>
      <c r="Z51" s="44">
        <f t="shared" si="26"/>
        <v>11.480422132360193</v>
      </c>
      <c r="AA51" s="45">
        <f t="shared" si="27"/>
        <v>229379744.60547724</v>
      </c>
      <c r="AB51" s="43" t="str">
        <f t="shared" si="12"/>
        <v>Subiu</v>
      </c>
      <c r="AC51" s="49">
        <f t="shared" si="28"/>
        <v>1.3899999999999999E-2</v>
      </c>
      <c r="AD51" s="50">
        <f t="shared" si="29"/>
        <v>11.480422132360193</v>
      </c>
      <c r="AE51" s="48">
        <f t="shared" si="30"/>
        <v>229379744.60547724</v>
      </c>
      <c r="AF51" s="51" t="str">
        <f t="shared" si="16"/>
        <v>Subiu</v>
      </c>
      <c r="AG51" s="52">
        <f t="shared" si="31"/>
        <v>0.1226</v>
      </c>
      <c r="AH51" s="53">
        <f t="shared" si="32"/>
        <v>10.36878674505612</v>
      </c>
      <c r="AI51" s="45">
        <f t="shared" si="33"/>
        <v>1827261988.5878572</v>
      </c>
      <c r="AJ51" s="54" t="str">
        <f t="shared" si="20"/>
        <v>Subiu</v>
      </c>
    </row>
    <row r="52" spans="1:36" ht="14.25" customHeight="1" x14ac:dyDescent="0.25">
      <c r="A52" s="38" t="s">
        <v>119</v>
      </c>
      <c r="B52" s="39">
        <v>45317</v>
      </c>
      <c r="C52" s="40">
        <v>46.04</v>
      </c>
      <c r="D52" s="38">
        <v>-0.19</v>
      </c>
      <c r="E52" s="38">
        <v>-1.41</v>
      </c>
      <c r="F52" s="38">
        <v>-2</v>
      </c>
      <c r="G52" s="38">
        <v>-2</v>
      </c>
      <c r="H52" s="38">
        <v>7.43</v>
      </c>
      <c r="I52" s="38">
        <v>45.91</v>
      </c>
      <c r="J52" s="38">
        <v>46.42</v>
      </c>
      <c r="K52" s="38" t="s">
        <v>120</v>
      </c>
      <c r="L52" s="41" t="str">
        <f>VLOOKUP(A52,Ticker!A:B,2,0)</f>
        <v>Eletrobras</v>
      </c>
      <c r="M52" s="41" t="str">
        <f>VLOOKUP(L52,Chatgpt!A:C,2,0)</f>
        <v>Energia</v>
      </c>
      <c r="N52" s="41">
        <f>VLOOKUP(L52,Chatgpt!A:C,3,0)</f>
        <v>64</v>
      </c>
      <c r="O52" s="41" t="str">
        <f t="shared" si="0"/>
        <v>Entre 50 e 100 anos</v>
      </c>
      <c r="P52" s="42">
        <f>VLOOKUP(A52,Total_de_acoes!A:B,2,0)</f>
        <v>268544014</v>
      </c>
      <c r="Q52" s="43">
        <f t="shared" si="1"/>
        <v>-1.9E-3</v>
      </c>
      <c r="R52" s="44">
        <f t="shared" si="2"/>
        <v>46.1276425207895</v>
      </c>
      <c r="S52" s="45">
        <f t="shared" si="21"/>
        <v>-23535874.329891067</v>
      </c>
      <c r="T52" s="43" t="str">
        <f t="shared" si="4"/>
        <v>Desceu</v>
      </c>
      <c r="U52" s="46">
        <f t="shared" si="22"/>
        <v>-1.41E-2</v>
      </c>
      <c r="V52" s="47">
        <f t="shared" si="23"/>
        <v>46.698448118470431</v>
      </c>
      <c r="W52" s="48">
        <f t="shared" si="24"/>
        <v>-176822300.74479723</v>
      </c>
      <c r="X52" s="46" t="str">
        <f t="shared" si="8"/>
        <v>Desceu</v>
      </c>
      <c r="Y52" s="43">
        <f t="shared" si="25"/>
        <v>-0.02</v>
      </c>
      <c r="Z52" s="44">
        <f t="shared" si="26"/>
        <v>46.979591836734691</v>
      </c>
      <c r="AA52" s="45">
        <f t="shared" si="27"/>
        <v>-252321763.35836691</v>
      </c>
      <c r="AB52" s="43" t="str">
        <f t="shared" si="12"/>
        <v>Desceu</v>
      </c>
      <c r="AC52" s="49">
        <f t="shared" si="28"/>
        <v>-0.02</v>
      </c>
      <c r="AD52" s="50">
        <f t="shared" si="29"/>
        <v>46.979591836734691</v>
      </c>
      <c r="AE52" s="48">
        <f t="shared" si="30"/>
        <v>-252321763.35836691</v>
      </c>
      <c r="AF52" s="51" t="str">
        <f t="shared" si="16"/>
        <v>Desceu</v>
      </c>
      <c r="AG52" s="52">
        <f t="shared" si="31"/>
        <v>7.4299999999999991E-2</v>
      </c>
      <c r="AH52" s="53">
        <f t="shared" si="32"/>
        <v>42.855813087591919</v>
      </c>
      <c r="AI52" s="45">
        <f t="shared" si="33"/>
        <v>855094334.78433228</v>
      </c>
      <c r="AJ52" s="54" t="str">
        <f t="shared" si="20"/>
        <v>Subiu</v>
      </c>
    </row>
    <row r="53" spans="1:36" ht="14.25" customHeight="1" x14ac:dyDescent="0.25">
      <c r="A53" s="38" t="s">
        <v>121</v>
      </c>
      <c r="B53" s="39">
        <v>45317</v>
      </c>
      <c r="C53" s="40">
        <v>12.87</v>
      </c>
      <c r="D53" s="38">
        <v>-0.23</v>
      </c>
      <c r="E53" s="38">
        <v>1.42</v>
      </c>
      <c r="F53" s="38">
        <v>-5.44</v>
      </c>
      <c r="G53" s="38">
        <v>-5.44</v>
      </c>
      <c r="H53" s="38">
        <v>6.36</v>
      </c>
      <c r="I53" s="38">
        <v>12.84</v>
      </c>
      <c r="J53" s="38">
        <v>13.09</v>
      </c>
      <c r="K53" s="38" t="s">
        <v>122</v>
      </c>
      <c r="L53" s="41" t="str">
        <f>VLOOKUP(A53,Ticker!A:B,2,0)</f>
        <v>Eneva</v>
      </c>
      <c r="M53" s="41" t="str">
        <f>VLOOKUP(L53,Chatgpt!A:C,2,0)</f>
        <v>Energia</v>
      </c>
      <c r="N53" s="41">
        <f>VLOOKUP(L53,Chatgpt!A:C,3,0)</f>
        <v>17</v>
      </c>
      <c r="O53" s="41" t="str">
        <f t="shared" si="0"/>
        <v>Menor de 50 anos</v>
      </c>
      <c r="P53" s="42">
        <f>VLOOKUP(A53,Total_de_acoes!A:B,2,0)</f>
        <v>1579130168</v>
      </c>
      <c r="Q53" s="43">
        <f t="shared" si="1"/>
        <v>-2.3E-3</v>
      </c>
      <c r="R53" s="44">
        <f t="shared" si="2"/>
        <v>12.899669239250274</v>
      </c>
      <c r="S53" s="45">
        <f t="shared" si="21"/>
        <v>-46851590.76171875</v>
      </c>
      <c r="T53" s="43" t="str">
        <f t="shared" si="4"/>
        <v>Desceu</v>
      </c>
      <c r="U53" s="46">
        <f t="shared" si="22"/>
        <v>1.4199999999999999E-2</v>
      </c>
      <c r="V53" s="47">
        <f t="shared" si="23"/>
        <v>12.689804772234273</v>
      </c>
      <c r="W53" s="48">
        <f t="shared" si="24"/>
        <v>284551720.29448873</v>
      </c>
      <c r="X53" s="46" t="str">
        <f t="shared" si="8"/>
        <v>Subiu</v>
      </c>
      <c r="Y53" s="43">
        <f t="shared" si="25"/>
        <v>-5.4400000000000004E-2</v>
      </c>
      <c r="Z53" s="44">
        <f t="shared" si="26"/>
        <v>13.610406091370558</v>
      </c>
      <c r="AA53" s="45">
        <f t="shared" si="27"/>
        <v>-1169197595.4542146</v>
      </c>
      <c r="AB53" s="43" t="str">
        <f t="shared" si="12"/>
        <v>Desceu</v>
      </c>
      <c r="AC53" s="49">
        <f t="shared" si="28"/>
        <v>-5.4400000000000004E-2</v>
      </c>
      <c r="AD53" s="50">
        <f t="shared" si="29"/>
        <v>13.610406091370558</v>
      </c>
      <c r="AE53" s="48">
        <f t="shared" si="30"/>
        <v>-1169197595.4542146</v>
      </c>
      <c r="AF53" s="51" t="str">
        <f t="shared" si="16"/>
        <v>Desceu</v>
      </c>
      <c r="AG53" s="52">
        <f t="shared" si="31"/>
        <v>6.3600000000000004E-2</v>
      </c>
      <c r="AH53" s="53">
        <f t="shared" si="32"/>
        <v>12.1004136893569</v>
      </c>
      <c r="AI53" s="45">
        <f t="shared" si="33"/>
        <v>1215276960.0163374</v>
      </c>
      <c r="AJ53" s="54" t="str">
        <f t="shared" si="20"/>
        <v>Subiu</v>
      </c>
    </row>
    <row r="54" spans="1:36" ht="14.25" customHeight="1" x14ac:dyDescent="0.25">
      <c r="A54" s="38" t="s">
        <v>123</v>
      </c>
      <c r="B54" s="39">
        <v>45317</v>
      </c>
      <c r="C54" s="40">
        <v>33.17</v>
      </c>
      <c r="D54" s="38">
        <v>-0.24</v>
      </c>
      <c r="E54" s="38">
        <v>-0.93</v>
      </c>
      <c r="F54" s="38">
        <v>-10.130000000000001</v>
      </c>
      <c r="G54" s="38">
        <v>-10.130000000000001</v>
      </c>
      <c r="H54" s="38">
        <v>-11.84</v>
      </c>
      <c r="I54" s="38">
        <v>33.04</v>
      </c>
      <c r="J54" s="38">
        <v>33.5</v>
      </c>
      <c r="K54" s="38" t="s">
        <v>124</v>
      </c>
      <c r="L54" s="41" t="str">
        <f>VLOOKUP(A54,Ticker!A:B,2,0)</f>
        <v>WEG</v>
      </c>
      <c r="M54" s="41" t="str">
        <f>VLOOKUP(L54,Chatgpt!A:C,2,0)</f>
        <v>Automação</v>
      </c>
      <c r="N54" s="41">
        <f>VLOOKUP(L54,Chatgpt!A:C,3,0)</f>
        <v>59</v>
      </c>
      <c r="O54" s="41" t="str">
        <f t="shared" si="0"/>
        <v>Entre 50 e 100 anos</v>
      </c>
      <c r="P54" s="42">
        <f>VLOOKUP(A54,Total_de_acoes!A:B,2,0)</f>
        <v>1481593024</v>
      </c>
      <c r="Q54" s="43">
        <f t="shared" si="1"/>
        <v>-2.3999999999999998E-3</v>
      </c>
      <c r="R54" s="44">
        <f t="shared" si="2"/>
        <v>33.249799518845229</v>
      </c>
      <c r="S54" s="45">
        <f t="shared" si="21"/>
        <v>-118230410.43964578</v>
      </c>
      <c r="T54" s="43" t="str">
        <f t="shared" si="4"/>
        <v>Desceu</v>
      </c>
      <c r="U54" s="46">
        <f t="shared" si="22"/>
        <v>-9.300000000000001E-3</v>
      </c>
      <c r="V54" s="47">
        <f t="shared" si="23"/>
        <v>33.481376804279805</v>
      </c>
      <c r="W54" s="48">
        <f t="shared" si="24"/>
        <v>-461333701.05636925</v>
      </c>
      <c r="X54" s="46" t="str">
        <f t="shared" si="8"/>
        <v>Desceu</v>
      </c>
      <c r="Y54" s="43">
        <f t="shared" si="25"/>
        <v>-0.1013</v>
      </c>
      <c r="Z54" s="44">
        <f t="shared" si="26"/>
        <v>36.908868365416716</v>
      </c>
      <c r="AA54" s="45">
        <f t="shared" si="27"/>
        <v>-5539481287.8556862</v>
      </c>
      <c r="AB54" s="43" t="str">
        <f t="shared" si="12"/>
        <v>Desceu</v>
      </c>
      <c r="AC54" s="49">
        <f t="shared" si="28"/>
        <v>-0.1013</v>
      </c>
      <c r="AD54" s="50">
        <f t="shared" si="29"/>
        <v>36.908868365416716</v>
      </c>
      <c r="AE54" s="48">
        <f t="shared" si="30"/>
        <v>-5539481287.8556862</v>
      </c>
      <c r="AF54" s="51" t="str">
        <f t="shared" si="16"/>
        <v>Desceu</v>
      </c>
      <c r="AG54" s="52">
        <f t="shared" si="31"/>
        <v>-0.11840000000000001</v>
      </c>
      <c r="AH54" s="53">
        <f t="shared" si="32"/>
        <v>37.624773139745919</v>
      </c>
      <c r="AI54" s="45">
        <f t="shared" si="33"/>
        <v>-6600160807.3501282</v>
      </c>
      <c r="AJ54" s="54" t="str">
        <f t="shared" si="20"/>
        <v>Desceu</v>
      </c>
    </row>
    <row r="55" spans="1:36" ht="14.25" customHeight="1" x14ac:dyDescent="0.25">
      <c r="A55" s="38" t="s">
        <v>125</v>
      </c>
      <c r="B55" s="39">
        <v>45317</v>
      </c>
      <c r="C55" s="40">
        <v>19.3</v>
      </c>
      <c r="D55" s="38">
        <v>-0.25</v>
      </c>
      <c r="E55" s="38">
        <v>2.0099999999999998</v>
      </c>
      <c r="F55" s="38">
        <v>2.5499999999999998</v>
      </c>
      <c r="G55" s="38">
        <v>2.5499999999999998</v>
      </c>
      <c r="H55" s="38">
        <v>-10.11</v>
      </c>
      <c r="I55" s="38">
        <v>19.100000000000001</v>
      </c>
      <c r="J55" s="38">
        <v>19.510000000000002</v>
      </c>
      <c r="K55" s="38" t="s">
        <v>126</v>
      </c>
      <c r="L55" s="41" t="str">
        <f>VLOOKUP(A55,Ticker!A:B,2,0)</f>
        <v>SLC Agrícola</v>
      </c>
      <c r="M55" s="41" t="str">
        <f>VLOOKUP(L55,Chatgpt!A:C,2,0)</f>
        <v>Agronegócio</v>
      </c>
      <c r="N55" s="41">
        <f>VLOOKUP(L55,Chatgpt!A:C,3,0)</f>
        <v>46</v>
      </c>
      <c r="O55" s="41" t="str">
        <f t="shared" si="0"/>
        <v>Menor de 50 anos</v>
      </c>
      <c r="P55" s="42">
        <f>VLOOKUP(A55,Total_de_acoes!A:B,2,0)</f>
        <v>195751130</v>
      </c>
      <c r="Q55" s="43">
        <f t="shared" si="1"/>
        <v>-2.5000000000000001E-3</v>
      </c>
      <c r="R55" s="44">
        <f t="shared" si="2"/>
        <v>19.348370927318296</v>
      </c>
      <c r="S55" s="45">
        <f t="shared" si="21"/>
        <v>-9468663.6817041729</v>
      </c>
      <c r="T55" s="43" t="str">
        <f t="shared" si="4"/>
        <v>Desceu</v>
      </c>
      <c r="U55" s="46">
        <f t="shared" si="22"/>
        <v>2.0099999999999996E-2</v>
      </c>
      <c r="V55" s="47">
        <f t="shared" si="23"/>
        <v>18.919713753553573</v>
      </c>
      <c r="W55" s="48">
        <f t="shared" si="24"/>
        <v>74441462.465346694</v>
      </c>
      <c r="X55" s="46" t="str">
        <f t="shared" si="8"/>
        <v>Subiu</v>
      </c>
      <c r="Y55" s="43">
        <f t="shared" si="25"/>
        <v>2.5499999999999998E-2</v>
      </c>
      <c r="Z55" s="44">
        <f t="shared" si="26"/>
        <v>18.820087762067285</v>
      </c>
      <c r="AA55" s="45">
        <f t="shared" si="27"/>
        <v>93943362.876157999</v>
      </c>
      <c r="AB55" s="43" t="str">
        <f t="shared" si="12"/>
        <v>Subiu</v>
      </c>
      <c r="AC55" s="49">
        <f t="shared" si="28"/>
        <v>2.5499999999999998E-2</v>
      </c>
      <c r="AD55" s="50">
        <f t="shared" si="29"/>
        <v>18.820087762067285</v>
      </c>
      <c r="AE55" s="48">
        <f t="shared" si="30"/>
        <v>93943362.876157999</v>
      </c>
      <c r="AF55" s="51" t="str">
        <f t="shared" si="16"/>
        <v>Subiu</v>
      </c>
      <c r="AG55" s="52">
        <f t="shared" si="31"/>
        <v>-0.1011</v>
      </c>
      <c r="AH55" s="53">
        <f t="shared" si="32"/>
        <v>21.470686394482144</v>
      </c>
      <c r="AI55" s="45">
        <f t="shared" si="33"/>
        <v>-424914314.59550524</v>
      </c>
      <c r="AJ55" s="54" t="str">
        <f t="shared" si="20"/>
        <v>Desceu</v>
      </c>
    </row>
    <row r="56" spans="1:36" ht="14.25" customHeight="1" x14ac:dyDescent="0.25">
      <c r="A56" s="38" t="s">
        <v>127</v>
      </c>
      <c r="B56" s="39">
        <v>45317</v>
      </c>
      <c r="C56" s="40">
        <v>24.62</v>
      </c>
      <c r="D56" s="38">
        <v>-0.28000000000000003</v>
      </c>
      <c r="E56" s="38">
        <v>0.53</v>
      </c>
      <c r="F56" s="38">
        <v>-7.27</v>
      </c>
      <c r="G56" s="38">
        <v>-7.27</v>
      </c>
      <c r="H56" s="38">
        <v>39.82</v>
      </c>
      <c r="I56" s="38">
        <v>24.53</v>
      </c>
      <c r="J56" s="38">
        <v>24.92</v>
      </c>
      <c r="K56" s="38" t="s">
        <v>128</v>
      </c>
      <c r="L56" s="41" t="str">
        <f>VLOOKUP(A56,Ticker!A:B,2,0)</f>
        <v>ALOS3</v>
      </c>
      <c r="M56" s="41" t="str">
        <f>VLOOKUP(L56,Chatgpt!A:C,2,0)</f>
        <v>Telecomunicações</v>
      </c>
      <c r="N56" s="41">
        <f>VLOOKUP(L56,Chatgpt!A:C,3,0)</f>
        <v>9</v>
      </c>
      <c r="O56" s="41" t="str">
        <f t="shared" si="0"/>
        <v>Menor de 50 anos</v>
      </c>
      <c r="P56" s="42">
        <f>VLOOKUP(A56,Total_de_acoes!A:B,2,0)</f>
        <v>532616595</v>
      </c>
      <c r="Q56" s="43">
        <f t="shared" si="1"/>
        <v>-2.8000000000000004E-3</v>
      </c>
      <c r="R56" s="44">
        <f t="shared" si="2"/>
        <v>24.689129562775772</v>
      </c>
      <c r="S56" s="45">
        <f t="shared" si="21"/>
        <v>-36819552.339469947</v>
      </c>
      <c r="T56" s="43" t="str">
        <f t="shared" si="4"/>
        <v>Desceu</v>
      </c>
      <c r="U56" s="46">
        <f t="shared" si="22"/>
        <v>5.3E-3</v>
      </c>
      <c r="V56" s="47">
        <f t="shared" si="23"/>
        <v>24.490201929772205</v>
      </c>
      <c r="W56" s="48">
        <f t="shared" si="24"/>
        <v>69132606.20229964</v>
      </c>
      <c r="X56" s="46" t="str">
        <f t="shared" si="8"/>
        <v>Subiu</v>
      </c>
      <c r="Y56" s="43">
        <f t="shared" si="25"/>
        <v>-7.2700000000000001E-2</v>
      </c>
      <c r="Z56" s="44">
        <f t="shared" si="26"/>
        <v>26.55019950393616</v>
      </c>
      <c r="AA56" s="45">
        <f t="shared" si="27"/>
        <v>-1028056287.4571658</v>
      </c>
      <c r="AB56" s="43" t="str">
        <f t="shared" si="12"/>
        <v>Desceu</v>
      </c>
      <c r="AC56" s="49">
        <f t="shared" si="28"/>
        <v>-7.2700000000000001E-2</v>
      </c>
      <c r="AD56" s="50">
        <f t="shared" si="29"/>
        <v>26.55019950393616</v>
      </c>
      <c r="AE56" s="48">
        <f t="shared" si="30"/>
        <v>-1028056287.4571658</v>
      </c>
      <c r="AF56" s="51" t="str">
        <f t="shared" si="16"/>
        <v>Desceu</v>
      </c>
      <c r="AG56" s="52">
        <f t="shared" si="31"/>
        <v>0.3982</v>
      </c>
      <c r="AH56" s="53">
        <f t="shared" si="32"/>
        <v>17.608353597482477</v>
      </c>
      <c r="AI56" s="45">
        <f t="shared" si="33"/>
        <v>3734519232.252883</v>
      </c>
      <c r="AJ56" s="54" t="str">
        <f t="shared" si="20"/>
        <v>Subiu</v>
      </c>
    </row>
    <row r="57" spans="1:36" ht="14.25" customHeight="1" x14ac:dyDescent="0.25">
      <c r="A57" s="38" t="s">
        <v>129</v>
      </c>
      <c r="B57" s="39">
        <v>45317</v>
      </c>
      <c r="C57" s="40">
        <v>13.27</v>
      </c>
      <c r="D57" s="38">
        <v>-0.3</v>
      </c>
      <c r="E57" s="38">
        <v>-1.78</v>
      </c>
      <c r="F57" s="38">
        <v>-6.42</v>
      </c>
      <c r="G57" s="38">
        <v>-6.42</v>
      </c>
      <c r="H57" s="38">
        <v>13.59</v>
      </c>
      <c r="I57" s="38">
        <v>13.23</v>
      </c>
      <c r="J57" s="38">
        <v>13.41</v>
      </c>
      <c r="K57" s="38" t="s">
        <v>130</v>
      </c>
      <c r="L57" s="41" t="str">
        <f>VLOOKUP(A57,Ticker!A:B,2,0)</f>
        <v>Grupo CCR</v>
      </c>
      <c r="M57" s="41" t="str">
        <f>VLOOKUP(L57,Chatgpt!A:C,2,0)</f>
        <v>Infraestrutura</v>
      </c>
      <c r="N57" s="41">
        <f>VLOOKUP(L57,Chatgpt!A:C,3,0)</f>
        <v>23</v>
      </c>
      <c r="O57" s="41" t="str">
        <f t="shared" si="0"/>
        <v>Menor de 50 anos</v>
      </c>
      <c r="P57" s="42">
        <f>VLOOKUP(A57,Total_de_acoes!A:B,2,0)</f>
        <v>995335937</v>
      </c>
      <c r="Q57" s="43">
        <f t="shared" si="1"/>
        <v>-3.0000000000000001E-3</v>
      </c>
      <c r="R57" s="44">
        <f t="shared" si="2"/>
        <v>13.309929789368104</v>
      </c>
      <c r="S57" s="45">
        <f t="shared" si="21"/>
        <v>-39743554.314914532</v>
      </c>
      <c r="T57" s="43" t="str">
        <f t="shared" si="4"/>
        <v>Desceu</v>
      </c>
      <c r="U57" s="46">
        <f t="shared" si="22"/>
        <v>-1.78E-2</v>
      </c>
      <c r="V57" s="47">
        <f t="shared" si="23"/>
        <v>13.510486662594177</v>
      </c>
      <c r="W57" s="48">
        <f t="shared" si="24"/>
        <v>-239365017.6491785</v>
      </c>
      <c r="X57" s="46" t="str">
        <f t="shared" si="8"/>
        <v>Desceu</v>
      </c>
      <c r="Y57" s="43">
        <f t="shared" si="25"/>
        <v>-6.4199999999999993E-2</v>
      </c>
      <c r="Z57" s="44">
        <f t="shared" si="26"/>
        <v>14.180380423167344</v>
      </c>
      <c r="AA57" s="45">
        <f t="shared" si="27"/>
        <v>-906134351.51972556</v>
      </c>
      <c r="AB57" s="43" t="str">
        <f t="shared" si="12"/>
        <v>Desceu</v>
      </c>
      <c r="AC57" s="49">
        <f t="shared" si="28"/>
        <v>-6.4199999999999993E-2</v>
      </c>
      <c r="AD57" s="50">
        <f t="shared" si="29"/>
        <v>14.180380423167344</v>
      </c>
      <c r="AE57" s="48">
        <f t="shared" si="30"/>
        <v>-906134351.51972556</v>
      </c>
      <c r="AF57" s="51" t="str">
        <f t="shared" si="16"/>
        <v>Desceu</v>
      </c>
      <c r="AG57" s="52">
        <f t="shared" si="31"/>
        <v>0.13589999999999999</v>
      </c>
      <c r="AH57" s="53">
        <f t="shared" si="32"/>
        <v>11.682366405493442</v>
      </c>
      <c r="AI57" s="45">
        <f t="shared" si="33"/>
        <v>1580228771.4008629</v>
      </c>
      <c r="AJ57" s="54" t="str">
        <f t="shared" si="20"/>
        <v>Subiu</v>
      </c>
    </row>
    <row r="58" spans="1:36" ht="14.25" customHeight="1" x14ac:dyDescent="0.25">
      <c r="A58" s="38" t="s">
        <v>131</v>
      </c>
      <c r="B58" s="39">
        <v>45317</v>
      </c>
      <c r="C58" s="40">
        <v>3.03</v>
      </c>
      <c r="D58" s="38">
        <v>-0.32</v>
      </c>
      <c r="E58" s="38">
        <v>-5.0199999999999996</v>
      </c>
      <c r="F58" s="38">
        <v>-13.18</v>
      </c>
      <c r="G58" s="38">
        <v>-13.18</v>
      </c>
      <c r="H58" s="38">
        <v>37.729999999999997</v>
      </c>
      <c r="I58" s="38">
        <v>2.97</v>
      </c>
      <c r="J58" s="38">
        <v>3.06</v>
      </c>
      <c r="K58" s="38" t="s">
        <v>132</v>
      </c>
      <c r="L58" s="41" t="str">
        <f>VLOOKUP(A58,Ticker!A:B,2,0)</f>
        <v>Cogna</v>
      </c>
      <c r="M58" s="41" t="str">
        <f>VLOOKUP(L58,Chatgpt!A:C,2,0)</f>
        <v>Educação</v>
      </c>
      <c r="N58" s="41">
        <f>VLOOKUP(L58,Chatgpt!A:C,3,0)</f>
        <v>50</v>
      </c>
      <c r="O58" s="41" t="str">
        <f t="shared" si="0"/>
        <v>Entre 50 e 100 anos</v>
      </c>
      <c r="P58" s="42">
        <f>VLOOKUP(A58,Total_de_acoes!A:B,2,0)</f>
        <v>1814920980</v>
      </c>
      <c r="Q58" s="43">
        <f t="shared" si="1"/>
        <v>-3.2000000000000002E-3</v>
      </c>
      <c r="R58" s="44">
        <f t="shared" si="2"/>
        <v>3.0397271268057784</v>
      </c>
      <c r="S58" s="45">
        <f t="shared" si="21"/>
        <v>-17653966.514927939</v>
      </c>
      <c r="T58" s="43" t="str">
        <f t="shared" si="4"/>
        <v>Desceu</v>
      </c>
      <c r="U58" s="46">
        <f t="shared" si="22"/>
        <v>-5.0199999999999995E-2</v>
      </c>
      <c r="V58" s="47">
        <f t="shared" si="23"/>
        <v>3.1901452937460517</v>
      </c>
      <c r="W58" s="48">
        <f t="shared" si="24"/>
        <v>-290651053.4679724</v>
      </c>
      <c r="X58" s="46" t="str">
        <f t="shared" si="8"/>
        <v>Desceu</v>
      </c>
      <c r="Y58" s="43">
        <f t="shared" si="25"/>
        <v>-0.1318</v>
      </c>
      <c r="Z58" s="44">
        <f t="shared" si="26"/>
        <v>3.4899792674498964</v>
      </c>
      <c r="AA58" s="45">
        <f t="shared" si="27"/>
        <v>-834826022.85984838</v>
      </c>
      <c r="AB58" s="43" t="str">
        <f t="shared" si="12"/>
        <v>Desceu</v>
      </c>
      <c r="AC58" s="49">
        <f t="shared" si="28"/>
        <v>-0.1318</v>
      </c>
      <c r="AD58" s="50">
        <f t="shared" si="29"/>
        <v>3.4899792674498964</v>
      </c>
      <c r="AE58" s="48">
        <f t="shared" si="30"/>
        <v>-834826022.85984838</v>
      </c>
      <c r="AF58" s="51" t="str">
        <f t="shared" si="16"/>
        <v>Desceu</v>
      </c>
      <c r="AG58" s="52">
        <f t="shared" si="31"/>
        <v>0.37729999999999997</v>
      </c>
      <c r="AH58" s="53">
        <f t="shared" si="32"/>
        <v>2.1999564365062079</v>
      </c>
      <c r="AI58" s="45">
        <f t="shared" si="33"/>
        <v>1506463477.6988451</v>
      </c>
      <c r="AJ58" s="54" t="str">
        <f t="shared" si="20"/>
        <v>Subiu</v>
      </c>
    </row>
    <row r="59" spans="1:36" ht="14.25" customHeight="1" x14ac:dyDescent="0.25">
      <c r="A59" s="38" t="s">
        <v>133</v>
      </c>
      <c r="B59" s="39">
        <v>45317</v>
      </c>
      <c r="C59" s="40">
        <v>26.12</v>
      </c>
      <c r="D59" s="38">
        <v>-0.41</v>
      </c>
      <c r="E59" s="38">
        <v>-1.25</v>
      </c>
      <c r="F59" s="38">
        <v>-1.43</v>
      </c>
      <c r="G59" s="38">
        <v>-1.43</v>
      </c>
      <c r="H59" s="38">
        <v>22.81</v>
      </c>
      <c r="I59" s="38">
        <v>26.09</v>
      </c>
      <c r="J59" s="38">
        <v>26.4</v>
      </c>
      <c r="K59" s="38" t="s">
        <v>134</v>
      </c>
      <c r="L59" s="41" t="str">
        <f>VLOOKUP(A59,Ticker!A:B,2,0)</f>
        <v>Transmissão Paulista</v>
      </c>
      <c r="M59" s="41" t="str">
        <f>VLOOKUP(L59,Chatgpt!A:C,2,0)</f>
        <v>Energia</v>
      </c>
      <c r="N59" s="41">
        <f>VLOOKUP(L59,Chatgpt!A:C,3,0)</f>
        <v>23</v>
      </c>
      <c r="O59" s="41" t="str">
        <f t="shared" si="0"/>
        <v>Menor de 50 anos</v>
      </c>
      <c r="P59" s="42">
        <f>VLOOKUP(A59,Total_de_acoes!A:B,2,0)</f>
        <v>395801044</v>
      </c>
      <c r="Q59" s="43">
        <f t="shared" si="1"/>
        <v>-4.0999999999999995E-3</v>
      </c>
      <c r="R59" s="44">
        <f t="shared" si="2"/>
        <v>26.227532884827795</v>
      </c>
      <c r="S59" s="45">
        <f t="shared" si="21"/>
        <v>-42561628.079172671</v>
      </c>
      <c r="T59" s="43" t="str">
        <f t="shared" si="4"/>
        <v>Desceu</v>
      </c>
      <c r="U59" s="46">
        <f t="shared" si="22"/>
        <v>-1.2500000000000001E-2</v>
      </c>
      <c r="V59" s="47">
        <f t="shared" si="23"/>
        <v>26.450632911392404</v>
      </c>
      <c r="W59" s="48">
        <f t="shared" si="24"/>
        <v>-130864851.50987257</v>
      </c>
      <c r="X59" s="46" t="str">
        <f t="shared" si="8"/>
        <v>Desceu</v>
      </c>
      <c r="Y59" s="43">
        <f t="shared" si="25"/>
        <v>-1.43E-2</v>
      </c>
      <c r="Z59" s="44">
        <f t="shared" si="26"/>
        <v>26.498934767170539</v>
      </c>
      <c r="AA59" s="45">
        <f t="shared" si="27"/>
        <v>-149982776.45399582</v>
      </c>
      <c r="AB59" s="43" t="str">
        <f t="shared" si="12"/>
        <v>Desceu</v>
      </c>
      <c r="AC59" s="49">
        <f t="shared" si="28"/>
        <v>-1.43E-2</v>
      </c>
      <c r="AD59" s="50">
        <f t="shared" si="29"/>
        <v>26.498934767170539</v>
      </c>
      <c r="AE59" s="48">
        <f t="shared" si="30"/>
        <v>-149982776.45399582</v>
      </c>
      <c r="AF59" s="51" t="str">
        <f t="shared" si="16"/>
        <v>Desceu</v>
      </c>
      <c r="AG59" s="52">
        <f t="shared" si="31"/>
        <v>0.2281</v>
      </c>
      <c r="AH59" s="53">
        <f t="shared" si="32"/>
        <v>21.268626333360476</v>
      </c>
      <c r="AI59" s="45">
        <f t="shared" si="33"/>
        <v>1920178762.0900319</v>
      </c>
      <c r="AJ59" s="54" t="str">
        <f t="shared" si="20"/>
        <v>Subiu</v>
      </c>
    </row>
    <row r="60" spans="1:36" ht="14.25" customHeight="1" x14ac:dyDescent="0.25">
      <c r="A60" s="38" t="s">
        <v>135</v>
      </c>
      <c r="B60" s="39">
        <v>45317</v>
      </c>
      <c r="C60" s="40">
        <v>41.04</v>
      </c>
      <c r="D60" s="38">
        <v>-0.46</v>
      </c>
      <c r="E60" s="38">
        <v>0.56000000000000005</v>
      </c>
      <c r="F60" s="38">
        <v>-9.4600000000000009</v>
      </c>
      <c r="G60" s="38">
        <v>-9.4600000000000009</v>
      </c>
      <c r="H60" s="38">
        <v>13.41</v>
      </c>
      <c r="I60" s="38">
        <v>40.92</v>
      </c>
      <c r="J60" s="38">
        <v>41.59</v>
      </c>
      <c r="K60" s="38" t="s">
        <v>136</v>
      </c>
      <c r="L60" s="41" t="str">
        <f>VLOOKUP(A60,Ticker!A:B,2,0)</f>
        <v>Engie</v>
      </c>
      <c r="M60" s="41" t="str">
        <f>VLOOKUP(L60,Chatgpt!A:C,2,0)</f>
        <v>Energia</v>
      </c>
      <c r="N60" s="41">
        <f>VLOOKUP(L60,Chatgpt!A:C,3,0)</f>
        <v>25</v>
      </c>
      <c r="O60" s="41" t="str">
        <f t="shared" si="0"/>
        <v>Menor de 50 anos</v>
      </c>
      <c r="P60" s="42">
        <f>VLOOKUP(A60,Total_de_acoes!A:B,2,0)</f>
        <v>255236961</v>
      </c>
      <c r="Q60" s="43">
        <f t="shared" si="1"/>
        <v>-4.5999999999999999E-3</v>
      </c>
      <c r="R60" s="44">
        <f t="shared" si="2"/>
        <v>41.229656419529839</v>
      </c>
      <c r="S60" s="45">
        <f t="shared" si="21"/>
        <v>-48407328.154937305</v>
      </c>
      <c r="T60" s="43" t="str">
        <f t="shared" si="4"/>
        <v>Desceu</v>
      </c>
      <c r="U60" s="46">
        <f t="shared" si="22"/>
        <v>5.6000000000000008E-3</v>
      </c>
      <c r="V60" s="47">
        <f t="shared" si="23"/>
        <v>40.811455847255367</v>
      </c>
      <c r="W60" s="48">
        <f t="shared" si="24"/>
        <v>58332915.000859775</v>
      </c>
      <c r="X60" s="46" t="str">
        <f t="shared" si="8"/>
        <v>Subiu</v>
      </c>
      <c r="Y60" s="43">
        <f t="shared" si="25"/>
        <v>-9.4600000000000004E-2</v>
      </c>
      <c r="Z60" s="44">
        <f t="shared" si="26"/>
        <v>45.328031809145131</v>
      </c>
      <c r="AA60" s="45">
        <f t="shared" si="27"/>
        <v>-1094464207.6375353</v>
      </c>
      <c r="AB60" s="43" t="str">
        <f t="shared" si="12"/>
        <v>Desceu</v>
      </c>
      <c r="AC60" s="49">
        <f t="shared" si="28"/>
        <v>-9.4600000000000004E-2</v>
      </c>
      <c r="AD60" s="50">
        <f t="shared" si="29"/>
        <v>45.328031809145131</v>
      </c>
      <c r="AE60" s="48">
        <f t="shared" si="30"/>
        <v>-1094464207.6375353</v>
      </c>
      <c r="AF60" s="51" t="str">
        <f t="shared" si="16"/>
        <v>Desceu</v>
      </c>
      <c r="AG60" s="52">
        <f t="shared" si="31"/>
        <v>0.1341</v>
      </c>
      <c r="AH60" s="53">
        <f t="shared" si="32"/>
        <v>36.187285071863144</v>
      </c>
      <c r="AI60" s="45">
        <f t="shared" si="33"/>
        <v>1238592210.8569844</v>
      </c>
      <c r="AJ60" s="54" t="str">
        <f t="shared" si="20"/>
        <v>Subiu</v>
      </c>
    </row>
    <row r="61" spans="1:36" ht="14.25" customHeight="1" x14ac:dyDescent="0.25">
      <c r="A61" s="38" t="s">
        <v>137</v>
      </c>
      <c r="B61" s="39">
        <v>45317</v>
      </c>
      <c r="C61" s="40">
        <v>23.23</v>
      </c>
      <c r="D61" s="38">
        <v>-0.47</v>
      </c>
      <c r="E61" s="38">
        <v>2.4300000000000002</v>
      </c>
      <c r="F61" s="38">
        <v>2.0699999999999998</v>
      </c>
      <c r="G61" s="38">
        <v>2.0699999999999998</v>
      </c>
      <c r="H61" s="38">
        <v>50.65</v>
      </c>
      <c r="I61" s="38">
        <v>22.97</v>
      </c>
      <c r="J61" s="38">
        <v>23.4</v>
      </c>
      <c r="K61" s="38" t="s">
        <v>138</v>
      </c>
      <c r="L61" s="41" t="str">
        <f>VLOOKUP(A61,Ticker!A:B,2,0)</f>
        <v>Vibra Energia</v>
      </c>
      <c r="M61" s="41" t="str">
        <f>VLOOKUP(L61,Chatgpt!A:C,2,0)</f>
        <v>Energia</v>
      </c>
      <c r="N61" s="41">
        <f>VLOOKUP(L61,Chatgpt!A:C,3,0)</f>
        <v>8</v>
      </c>
      <c r="O61" s="41" t="str">
        <f t="shared" si="0"/>
        <v>Menor de 50 anos</v>
      </c>
      <c r="P61" s="42">
        <f>VLOOKUP(A61,Total_de_acoes!A:B,2,0)</f>
        <v>1114412532</v>
      </c>
      <c r="Q61" s="43">
        <f t="shared" si="1"/>
        <v>-4.6999999999999993E-3</v>
      </c>
      <c r="R61" s="44">
        <f t="shared" si="2"/>
        <v>23.339696573897317</v>
      </c>
      <c r="S61" s="45">
        <f t="shared" si="21"/>
        <v>-122247236.66863392</v>
      </c>
      <c r="T61" s="43" t="str">
        <f t="shared" si="4"/>
        <v>Desceu</v>
      </c>
      <c r="U61" s="46">
        <f t="shared" si="22"/>
        <v>2.4300000000000002E-2</v>
      </c>
      <c r="V61" s="47">
        <f t="shared" si="23"/>
        <v>22.678902665234794</v>
      </c>
      <c r="W61" s="48">
        <f t="shared" si="24"/>
        <v>614149776.21414506</v>
      </c>
      <c r="X61" s="46" t="str">
        <f t="shared" si="8"/>
        <v>Subiu</v>
      </c>
      <c r="Y61" s="43">
        <f t="shared" si="25"/>
        <v>2.07E-2</v>
      </c>
      <c r="Z61" s="44">
        <f t="shared" si="26"/>
        <v>22.758890957186246</v>
      </c>
      <c r="AA61" s="45">
        <f t="shared" si="27"/>
        <v>525009821.25017262</v>
      </c>
      <c r="AB61" s="43" t="str">
        <f t="shared" si="12"/>
        <v>Subiu</v>
      </c>
      <c r="AC61" s="49">
        <f t="shared" si="28"/>
        <v>2.07E-2</v>
      </c>
      <c r="AD61" s="50">
        <f t="shared" si="29"/>
        <v>22.758890957186246</v>
      </c>
      <c r="AE61" s="48">
        <f t="shared" si="30"/>
        <v>525009821.25017262</v>
      </c>
      <c r="AF61" s="51" t="str">
        <f t="shared" si="16"/>
        <v>Subiu</v>
      </c>
      <c r="AG61" s="52">
        <f t="shared" si="31"/>
        <v>0.50649999999999995</v>
      </c>
      <c r="AH61" s="53">
        <f t="shared" si="32"/>
        <v>15.419847328244275</v>
      </c>
      <c r="AI61" s="45">
        <f t="shared" si="33"/>
        <v>8703732014.2378635</v>
      </c>
      <c r="AJ61" s="54" t="str">
        <f t="shared" si="20"/>
        <v>Subiu</v>
      </c>
    </row>
    <row r="62" spans="1:36" ht="14.25" customHeight="1" x14ac:dyDescent="0.25">
      <c r="A62" s="38" t="s">
        <v>139</v>
      </c>
      <c r="B62" s="39">
        <v>45317</v>
      </c>
      <c r="C62" s="40">
        <v>40.65</v>
      </c>
      <c r="D62" s="38">
        <v>-0.65</v>
      </c>
      <c r="E62" s="38">
        <v>5.45</v>
      </c>
      <c r="F62" s="38">
        <v>-8.24</v>
      </c>
      <c r="G62" s="38">
        <v>-8.24</v>
      </c>
      <c r="H62" s="38">
        <v>73.5</v>
      </c>
      <c r="I62" s="38">
        <v>40.090000000000003</v>
      </c>
      <c r="J62" s="38">
        <v>41.4</v>
      </c>
      <c r="K62" s="38" t="s">
        <v>140</v>
      </c>
      <c r="L62" s="41" t="str">
        <f>VLOOKUP(A62,Ticker!A:B,2,0)</f>
        <v>IRB Brasil RE</v>
      </c>
      <c r="M62" s="41" t="str">
        <f>VLOOKUP(L62,Chatgpt!A:C,2,0)</f>
        <v>Seguros</v>
      </c>
      <c r="N62" s="41">
        <f>VLOOKUP(L62,Chatgpt!A:C,3,0)</f>
        <v>83</v>
      </c>
      <c r="O62" s="41" t="str">
        <f t="shared" si="0"/>
        <v>Entre 50 e 100 anos</v>
      </c>
      <c r="P62" s="42">
        <f>VLOOKUP(A62,Total_de_acoes!A:B,2,0)</f>
        <v>81838843</v>
      </c>
      <c r="Q62" s="43">
        <f t="shared" si="1"/>
        <v>-6.5000000000000006E-3</v>
      </c>
      <c r="R62" s="44">
        <f t="shared" si="2"/>
        <v>40.915953699043783</v>
      </c>
      <c r="S62" s="45">
        <f t="shared" si="21"/>
        <v>-21765343.021313515</v>
      </c>
      <c r="T62" s="43" t="str">
        <f t="shared" si="4"/>
        <v>Desceu</v>
      </c>
      <c r="U62" s="46">
        <f t="shared" si="22"/>
        <v>5.45E-2</v>
      </c>
      <c r="V62" s="47">
        <f t="shared" si="23"/>
        <v>38.549075391180651</v>
      </c>
      <c r="W62" s="48">
        <f t="shared" si="24"/>
        <v>171937239.21600303</v>
      </c>
      <c r="X62" s="46" t="str">
        <f t="shared" si="8"/>
        <v>Subiu</v>
      </c>
      <c r="Y62" s="43">
        <f t="shared" si="25"/>
        <v>-8.2400000000000001E-2</v>
      </c>
      <c r="Z62" s="44">
        <f t="shared" si="26"/>
        <v>44.300348735832607</v>
      </c>
      <c r="AA62" s="45">
        <f t="shared" si="27"/>
        <v>-298740317.0870533</v>
      </c>
      <c r="AB62" s="43" t="str">
        <f t="shared" si="12"/>
        <v>Desceu</v>
      </c>
      <c r="AC62" s="49">
        <f t="shared" si="28"/>
        <v>-8.2400000000000001E-2</v>
      </c>
      <c r="AD62" s="50">
        <f t="shared" si="29"/>
        <v>44.300348735832607</v>
      </c>
      <c r="AE62" s="48">
        <f t="shared" si="30"/>
        <v>-298740317.0870533</v>
      </c>
      <c r="AF62" s="51" t="str">
        <f t="shared" si="16"/>
        <v>Desceu</v>
      </c>
      <c r="AG62" s="52">
        <f t="shared" si="31"/>
        <v>0.73499999999999999</v>
      </c>
      <c r="AH62" s="53">
        <f t="shared" si="32"/>
        <v>23.429394812680115</v>
      </c>
      <c r="AI62" s="45">
        <f t="shared" si="33"/>
        <v>1409314404.2900574</v>
      </c>
      <c r="AJ62" s="54" t="str">
        <f t="shared" si="20"/>
        <v>Subiu</v>
      </c>
    </row>
    <row r="63" spans="1:36" ht="14.25" customHeight="1" x14ac:dyDescent="0.25">
      <c r="A63" s="38" t="s">
        <v>141</v>
      </c>
      <c r="B63" s="39">
        <v>45317</v>
      </c>
      <c r="C63" s="40">
        <v>40.86</v>
      </c>
      <c r="D63" s="38">
        <v>-0.65</v>
      </c>
      <c r="E63" s="38">
        <v>-2.04</v>
      </c>
      <c r="F63" s="38">
        <v>-3.7</v>
      </c>
      <c r="G63" s="38">
        <v>-3.7</v>
      </c>
      <c r="H63" s="38">
        <v>-3.64</v>
      </c>
      <c r="I63" s="38">
        <v>40.86</v>
      </c>
      <c r="J63" s="38">
        <v>41.44</v>
      </c>
      <c r="K63" s="38" t="s">
        <v>142</v>
      </c>
      <c r="L63" s="41" t="str">
        <f>VLOOKUP(A63,Ticker!A:B,2,0)</f>
        <v>Eletrobras</v>
      </c>
      <c r="M63" s="41" t="str">
        <f>VLOOKUP(L63,Chatgpt!A:C,2,0)</f>
        <v>Energia</v>
      </c>
      <c r="N63" s="41">
        <f>VLOOKUP(L63,Chatgpt!A:C,3,0)</f>
        <v>64</v>
      </c>
      <c r="O63" s="41" t="str">
        <f t="shared" si="0"/>
        <v>Entre 50 e 100 anos</v>
      </c>
      <c r="P63" s="42">
        <f>VLOOKUP(A63,Total_de_acoes!A:B,2,0)</f>
        <v>1980568384</v>
      </c>
      <c r="Q63" s="43">
        <f t="shared" si="1"/>
        <v>-6.5000000000000006E-3</v>
      </c>
      <c r="R63" s="44">
        <f t="shared" si="2"/>
        <v>41.127327629592351</v>
      </c>
      <c r="S63" s="45">
        <f t="shared" si="21"/>
        <v>-529460651.3402741</v>
      </c>
      <c r="T63" s="43" t="str">
        <f t="shared" si="4"/>
        <v>Desceu</v>
      </c>
      <c r="U63" s="46">
        <f t="shared" si="22"/>
        <v>-2.0400000000000001E-2</v>
      </c>
      <c r="V63" s="47">
        <f t="shared" si="23"/>
        <v>41.710902409146591</v>
      </c>
      <c r="W63" s="48">
        <f t="shared" si="24"/>
        <v>-1685270409.4251721</v>
      </c>
      <c r="X63" s="46" t="str">
        <f t="shared" si="8"/>
        <v>Desceu</v>
      </c>
      <c r="Y63" s="43">
        <f t="shared" si="25"/>
        <v>-3.7000000000000005E-2</v>
      </c>
      <c r="Z63" s="44">
        <f t="shared" si="26"/>
        <v>42.429906542056074</v>
      </c>
      <c r="AA63" s="45">
        <f t="shared" si="27"/>
        <v>-3109307263.0310268</v>
      </c>
      <c r="AB63" s="43" t="str">
        <f t="shared" si="12"/>
        <v>Desceu</v>
      </c>
      <c r="AC63" s="49">
        <f t="shared" si="28"/>
        <v>-3.7000000000000005E-2</v>
      </c>
      <c r="AD63" s="50">
        <f t="shared" si="29"/>
        <v>42.429906542056074</v>
      </c>
      <c r="AE63" s="48">
        <f t="shared" si="30"/>
        <v>-3109307263.0310268</v>
      </c>
      <c r="AF63" s="51" t="str">
        <f t="shared" si="16"/>
        <v>Desceu</v>
      </c>
      <c r="AG63" s="52">
        <f t="shared" si="31"/>
        <v>-3.6400000000000002E-2</v>
      </c>
      <c r="AH63" s="53">
        <f t="shared" si="32"/>
        <v>42.403486924034866</v>
      </c>
      <c r="AI63" s="45">
        <f t="shared" si="33"/>
        <v>-3056981402.8608656</v>
      </c>
      <c r="AJ63" s="54" t="str">
        <f t="shared" si="20"/>
        <v>Desceu</v>
      </c>
    </row>
    <row r="64" spans="1:36" ht="14.25" customHeight="1" x14ac:dyDescent="0.25">
      <c r="A64" s="38" t="s">
        <v>143</v>
      </c>
      <c r="B64" s="39">
        <v>45317</v>
      </c>
      <c r="C64" s="40">
        <v>3.4</v>
      </c>
      <c r="D64" s="38">
        <v>-0.87</v>
      </c>
      <c r="E64" s="38">
        <v>-4.2300000000000004</v>
      </c>
      <c r="F64" s="38">
        <v>-13.92</v>
      </c>
      <c r="G64" s="38">
        <v>-13.92</v>
      </c>
      <c r="H64" s="38">
        <v>-46.63</v>
      </c>
      <c r="I64" s="38">
        <v>3.35</v>
      </c>
      <c r="J64" s="38">
        <v>3.47</v>
      </c>
      <c r="K64" s="38" t="s">
        <v>144</v>
      </c>
      <c r="L64" s="41" t="str">
        <f>VLOOKUP(A64,Ticker!A:B,2,0)</f>
        <v>Petz</v>
      </c>
      <c r="M64" s="41" t="str">
        <f>VLOOKUP(L64,Chatgpt!A:C,2,0)</f>
        <v>Varejo</v>
      </c>
      <c r="N64" s="41">
        <f>VLOOKUP(L64,Chatgpt!A:C,3,0)</f>
        <v>9</v>
      </c>
      <c r="O64" s="41" t="str">
        <f t="shared" si="0"/>
        <v>Menor de 50 anos</v>
      </c>
      <c r="P64" s="42">
        <f>VLOOKUP(A64,Total_de_acoes!A:B,2,0)</f>
        <v>309729428</v>
      </c>
      <c r="Q64" s="43">
        <f t="shared" si="1"/>
        <v>-8.6999999999999994E-3</v>
      </c>
      <c r="R64" s="44">
        <f t="shared" si="2"/>
        <v>3.4298396045596693</v>
      </c>
      <c r="S64" s="45">
        <f t="shared" si="21"/>
        <v>-9242203.6520125903</v>
      </c>
      <c r="T64" s="43" t="str">
        <f t="shared" si="4"/>
        <v>Desceu</v>
      </c>
      <c r="U64" s="46">
        <f t="shared" si="22"/>
        <v>-4.2300000000000004E-2</v>
      </c>
      <c r="V64" s="47">
        <f t="shared" si="23"/>
        <v>3.550172287772789</v>
      </c>
      <c r="W64" s="48">
        <f t="shared" si="24"/>
        <v>-46512776.79331737</v>
      </c>
      <c r="X64" s="46" t="str">
        <f t="shared" si="8"/>
        <v>Desceu</v>
      </c>
      <c r="Y64" s="43">
        <f t="shared" si="25"/>
        <v>-0.13919999999999999</v>
      </c>
      <c r="Z64" s="44">
        <f t="shared" si="26"/>
        <v>3.949814126394052</v>
      </c>
      <c r="AA64" s="45">
        <f t="shared" si="27"/>
        <v>-170293614.87434947</v>
      </c>
      <c r="AB64" s="43" t="str">
        <f t="shared" si="12"/>
        <v>Desceu</v>
      </c>
      <c r="AC64" s="49">
        <f t="shared" si="28"/>
        <v>-0.13919999999999999</v>
      </c>
      <c r="AD64" s="50">
        <f t="shared" si="29"/>
        <v>3.949814126394052</v>
      </c>
      <c r="AE64" s="48">
        <f t="shared" si="30"/>
        <v>-170293614.87434947</v>
      </c>
      <c r="AF64" s="51" t="str">
        <f t="shared" si="16"/>
        <v>Desceu</v>
      </c>
      <c r="AG64" s="52">
        <f t="shared" si="31"/>
        <v>-0.46630000000000005</v>
      </c>
      <c r="AH64" s="53">
        <f t="shared" si="32"/>
        <v>6.3706201986134534</v>
      </c>
      <c r="AI64" s="45">
        <f t="shared" si="33"/>
        <v>-920088494.92179132</v>
      </c>
      <c r="AJ64" s="54" t="str">
        <f t="shared" si="20"/>
        <v>Desceu</v>
      </c>
    </row>
    <row r="65" spans="1:36" ht="14.25" customHeight="1" x14ac:dyDescent="0.25">
      <c r="A65" s="38" t="s">
        <v>145</v>
      </c>
      <c r="B65" s="39">
        <v>45317</v>
      </c>
      <c r="C65" s="40">
        <v>15.91</v>
      </c>
      <c r="D65" s="38">
        <v>-0.93</v>
      </c>
      <c r="E65" s="38">
        <v>-2.39</v>
      </c>
      <c r="F65" s="38">
        <v>-14.92</v>
      </c>
      <c r="G65" s="38">
        <v>-14.92</v>
      </c>
      <c r="H65" s="38">
        <v>8.93</v>
      </c>
      <c r="I65" s="38">
        <v>15.85</v>
      </c>
      <c r="J65" s="38">
        <v>16.309999999999999</v>
      </c>
      <c r="K65" s="38" t="s">
        <v>146</v>
      </c>
      <c r="L65" s="41" t="str">
        <f>VLOOKUP(A65,Ticker!A:B,2,0)</f>
        <v>EZTEC</v>
      </c>
      <c r="M65" s="41" t="str">
        <f>VLOOKUP(L65,Chatgpt!A:C,2,0)</f>
        <v>Imobiliário</v>
      </c>
      <c r="N65" s="41">
        <f>VLOOKUP(L65,Chatgpt!A:C,3,0)</f>
        <v>42</v>
      </c>
      <c r="O65" s="41" t="str">
        <f t="shared" si="0"/>
        <v>Menor de 50 anos</v>
      </c>
      <c r="P65" s="42">
        <f>VLOOKUP(A65,Total_de_acoes!A:B,2,0)</f>
        <v>91514307</v>
      </c>
      <c r="Q65" s="43">
        <f t="shared" si="1"/>
        <v>-9.300000000000001E-3</v>
      </c>
      <c r="R65" s="44">
        <f t="shared" si="2"/>
        <v>16.059351973352175</v>
      </c>
      <c r="S65" s="45">
        <f t="shared" si="21"/>
        <v>-13667842.34040677</v>
      </c>
      <c r="T65" s="43" t="str">
        <f t="shared" si="4"/>
        <v>Desceu</v>
      </c>
      <c r="U65" s="46">
        <f t="shared" si="22"/>
        <v>-2.3900000000000001E-2</v>
      </c>
      <c r="V65" s="47">
        <f t="shared" si="23"/>
        <v>16.29955947136564</v>
      </c>
      <c r="W65" s="48">
        <f t="shared" si="24"/>
        <v>-35650265.057312891</v>
      </c>
      <c r="X65" s="46" t="str">
        <f t="shared" si="8"/>
        <v>Desceu</v>
      </c>
      <c r="Y65" s="43">
        <f t="shared" si="25"/>
        <v>-0.1492</v>
      </c>
      <c r="Z65" s="44">
        <f t="shared" si="26"/>
        <v>18.700047014574519</v>
      </c>
      <c r="AA65" s="45">
        <f t="shared" si="27"/>
        <v>-255329219.03620601</v>
      </c>
      <c r="AB65" s="43" t="str">
        <f t="shared" si="12"/>
        <v>Desceu</v>
      </c>
      <c r="AC65" s="49">
        <f t="shared" si="28"/>
        <v>-0.1492</v>
      </c>
      <c r="AD65" s="50">
        <f t="shared" si="29"/>
        <v>18.700047014574519</v>
      </c>
      <c r="AE65" s="48">
        <f t="shared" si="30"/>
        <v>-255329219.03620601</v>
      </c>
      <c r="AF65" s="51" t="str">
        <f t="shared" si="16"/>
        <v>Desceu</v>
      </c>
      <c r="AG65" s="52">
        <f t="shared" si="31"/>
        <v>8.929999999999999E-2</v>
      </c>
      <c r="AH65" s="53">
        <f t="shared" si="32"/>
        <v>14.605710089048014</v>
      </c>
      <c r="AI65" s="45">
        <f t="shared" si="33"/>
        <v>119361187.32786275</v>
      </c>
      <c r="AJ65" s="54" t="str">
        <f t="shared" si="20"/>
        <v>Subiu</v>
      </c>
    </row>
    <row r="66" spans="1:36" ht="14.25" customHeight="1" x14ac:dyDescent="0.25">
      <c r="A66" s="38" t="s">
        <v>147</v>
      </c>
      <c r="B66" s="39">
        <v>45317</v>
      </c>
      <c r="C66" s="40">
        <v>16.489999999999998</v>
      </c>
      <c r="D66" s="38">
        <v>-1.07</v>
      </c>
      <c r="E66" s="38">
        <v>1.04</v>
      </c>
      <c r="F66" s="38">
        <v>-8.59</v>
      </c>
      <c r="G66" s="38">
        <v>-8.59</v>
      </c>
      <c r="H66" s="38">
        <v>17.16</v>
      </c>
      <c r="I66" s="38">
        <v>16.399999999999999</v>
      </c>
      <c r="J66" s="38">
        <v>16.71</v>
      </c>
      <c r="K66" s="38" t="s">
        <v>90</v>
      </c>
      <c r="L66" s="41" t="str">
        <f>VLOOKUP(A66,Ticker!A:B,2,0)</f>
        <v>Fleury</v>
      </c>
      <c r="M66" s="41" t="str">
        <f>VLOOKUP(L66,Chatgpt!A:C,2,0)</f>
        <v>Saúde</v>
      </c>
      <c r="N66" s="41">
        <f>VLOOKUP(L66,Chatgpt!A:C,3,0)</f>
        <v>95</v>
      </c>
      <c r="O66" s="41" t="str">
        <f t="shared" si="0"/>
        <v>Entre 50 e 100 anos</v>
      </c>
      <c r="P66" s="42">
        <f>VLOOKUP(A66,Total_de_acoes!A:B,2,0)</f>
        <v>240822651</v>
      </c>
      <c r="Q66" s="43">
        <f t="shared" si="1"/>
        <v>-1.0700000000000001E-2</v>
      </c>
      <c r="R66" s="44">
        <f t="shared" si="2"/>
        <v>16.668351359547152</v>
      </c>
      <c r="S66" s="45">
        <f t="shared" ref="S66:S97" si="34">(C66-R66)*P66</f>
        <v>-42951047.215599783</v>
      </c>
      <c r="T66" s="43" t="str">
        <f t="shared" si="4"/>
        <v>Desceu</v>
      </c>
      <c r="U66" s="46">
        <f t="shared" ref="U66:U82" si="35">E66/100</f>
        <v>1.04E-2</v>
      </c>
      <c r="V66" s="47">
        <f t="shared" ref="V66:V97" si="36">C66/(U66+1)</f>
        <v>16.320269200316705</v>
      </c>
      <c r="W66" s="48">
        <f t="shared" ref="W66:W97" si="37">($C66-V66)*$P66</f>
        <v>40875021.136080652</v>
      </c>
      <c r="X66" s="46" t="str">
        <f t="shared" si="8"/>
        <v>Subiu</v>
      </c>
      <c r="Y66" s="43">
        <f t="shared" ref="Y66:Y82" si="38">F66/100</f>
        <v>-8.5900000000000004E-2</v>
      </c>
      <c r="Z66" s="44">
        <f t="shared" ref="Z66:Z97" si="39">C66/(Y66+1)</f>
        <v>18.039601794114429</v>
      </c>
      <c r="AA66" s="45">
        <f t="shared" ref="AA66:AA97" si="40">($C66-Z66)*$P66</f>
        <v>-373179212.0529933</v>
      </c>
      <c r="AB66" s="43" t="str">
        <f t="shared" si="12"/>
        <v>Desceu</v>
      </c>
      <c r="AC66" s="49">
        <f t="shared" ref="AC66:AC82" si="41">G66/100</f>
        <v>-8.5900000000000004E-2</v>
      </c>
      <c r="AD66" s="50">
        <f t="shared" ref="AD66:AD97" si="42">C66/(AC66+1)</f>
        <v>18.039601794114429</v>
      </c>
      <c r="AE66" s="48">
        <f t="shared" ref="AE66:AE97" si="43">($C66-AD66)*$P66</f>
        <v>-373179212.0529933</v>
      </c>
      <c r="AF66" s="51" t="str">
        <f t="shared" si="16"/>
        <v>Desceu</v>
      </c>
      <c r="AG66" s="52">
        <f t="shared" ref="AG66:AG82" si="44">H66/100</f>
        <v>0.1716</v>
      </c>
      <c r="AH66" s="53">
        <f t="shared" ref="AH66:AH97" si="45">C66/(AG66+1)</f>
        <v>14.074769545920109</v>
      </c>
      <c r="AI66" s="45">
        <f t="shared" ref="AI66:AI97" si="46">($C66-AH66)*$P66</f>
        <v>581642200.72745275</v>
      </c>
      <c r="AJ66" s="54" t="str">
        <f t="shared" si="20"/>
        <v>Subiu</v>
      </c>
    </row>
    <row r="67" spans="1:36" ht="14.25" customHeight="1" x14ac:dyDescent="0.25">
      <c r="A67" s="38" t="s">
        <v>148</v>
      </c>
      <c r="B67" s="39">
        <v>45317</v>
      </c>
      <c r="C67" s="40">
        <v>6.95</v>
      </c>
      <c r="D67" s="38">
        <v>-1.27</v>
      </c>
      <c r="E67" s="38">
        <v>-0.43</v>
      </c>
      <c r="F67" s="38">
        <v>-6.71</v>
      </c>
      <c r="G67" s="38">
        <v>-6.71</v>
      </c>
      <c r="H67" s="38">
        <v>-30.01</v>
      </c>
      <c r="I67" s="38">
        <v>6.87</v>
      </c>
      <c r="J67" s="38">
        <v>7.14</v>
      </c>
      <c r="K67" s="38" t="s">
        <v>149</v>
      </c>
      <c r="L67" s="41" t="str">
        <f>VLOOKUP(A67,Ticker!A:B,2,0)</f>
        <v>Grupo Soma</v>
      </c>
      <c r="M67" s="41" t="str">
        <f>VLOOKUP(L67,Chatgpt!A:C,2,0)</f>
        <v>Moda</v>
      </c>
      <c r="N67" s="41">
        <f>VLOOKUP(L67,Chatgpt!A:C,3,0)</f>
        <v>17</v>
      </c>
      <c r="O67" s="41" t="str">
        <f t="shared" si="0"/>
        <v>Menor de 50 anos</v>
      </c>
      <c r="P67" s="42">
        <f>VLOOKUP(A67,Total_de_acoes!A:B,2,0)</f>
        <v>496029967</v>
      </c>
      <c r="Q67" s="43">
        <f t="shared" si="1"/>
        <v>-1.2699999999999999E-2</v>
      </c>
      <c r="R67" s="44">
        <f t="shared" si="2"/>
        <v>7.0394003848880793</v>
      </c>
      <c r="S67" s="45">
        <f t="shared" si="34"/>
        <v>-44345269.965821177</v>
      </c>
      <c r="T67" s="43" t="str">
        <f t="shared" si="4"/>
        <v>Desceu</v>
      </c>
      <c r="U67" s="46">
        <f t="shared" si="35"/>
        <v>-4.3E-3</v>
      </c>
      <c r="V67" s="47">
        <f t="shared" si="36"/>
        <v>6.9800140604599781</v>
      </c>
      <c r="W67" s="48">
        <f t="shared" si="37"/>
        <v>-14887873.419498842</v>
      </c>
      <c r="X67" s="46" t="str">
        <f t="shared" si="8"/>
        <v>Desceu</v>
      </c>
      <c r="Y67" s="43">
        <f t="shared" si="38"/>
        <v>-6.7099999999999993E-2</v>
      </c>
      <c r="Z67" s="44">
        <f t="shared" si="39"/>
        <v>7.4498874477435946</v>
      </c>
      <c r="AA67" s="45">
        <f t="shared" si="40"/>
        <v>-247959154.20796934</v>
      </c>
      <c r="AB67" s="43" t="str">
        <f t="shared" si="12"/>
        <v>Desceu</v>
      </c>
      <c r="AC67" s="49">
        <f t="shared" si="41"/>
        <v>-6.7099999999999993E-2</v>
      </c>
      <c r="AD67" s="50">
        <f t="shared" si="42"/>
        <v>7.4498874477435946</v>
      </c>
      <c r="AE67" s="48">
        <f t="shared" si="43"/>
        <v>-247959154.20796934</v>
      </c>
      <c r="AF67" s="51" t="str">
        <f t="shared" si="16"/>
        <v>Desceu</v>
      </c>
      <c r="AG67" s="52">
        <f t="shared" si="44"/>
        <v>-0.30010000000000003</v>
      </c>
      <c r="AH67" s="53">
        <f t="shared" si="45"/>
        <v>9.9299899985712248</v>
      </c>
      <c r="AI67" s="45">
        <f t="shared" si="46"/>
        <v>-1478164340.6516147</v>
      </c>
      <c r="AJ67" s="54" t="str">
        <f t="shared" si="20"/>
        <v>Desceu</v>
      </c>
    </row>
    <row r="68" spans="1:36" ht="14.25" customHeight="1" x14ac:dyDescent="0.25">
      <c r="A68" s="38" t="s">
        <v>150</v>
      </c>
      <c r="B68" s="39">
        <v>45317</v>
      </c>
      <c r="C68" s="40">
        <v>8.67</v>
      </c>
      <c r="D68" s="38">
        <v>-1.36</v>
      </c>
      <c r="E68" s="38">
        <v>4.08</v>
      </c>
      <c r="F68" s="38">
        <v>-14.33</v>
      </c>
      <c r="G68" s="38">
        <v>-14.33</v>
      </c>
      <c r="H68" s="38">
        <v>-34.520000000000003</v>
      </c>
      <c r="I68" s="38">
        <v>8.6199999999999992</v>
      </c>
      <c r="J68" s="38">
        <v>8.8000000000000007</v>
      </c>
      <c r="K68" s="38" t="s">
        <v>151</v>
      </c>
      <c r="L68" s="41" t="str">
        <f>VLOOKUP(A68,Ticker!A:B,2,0)</f>
        <v>Alpargatas</v>
      </c>
      <c r="M68" s="41" t="str">
        <f>VLOOKUP(L68,Chatgpt!A:C,2,0)</f>
        <v>Moda</v>
      </c>
      <c r="N68" s="41">
        <f>VLOOKUP(L68,Chatgpt!A:C,3,0)</f>
        <v>113</v>
      </c>
      <c r="O68" s="41" t="str">
        <f t="shared" si="0"/>
        <v>Mais de 100 anos</v>
      </c>
      <c r="P68" s="42">
        <f>VLOOKUP(A68,Total_de_acoes!A:B,2,0)</f>
        <v>176733968</v>
      </c>
      <c r="Q68" s="43">
        <f t="shared" si="1"/>
        <v>-1.3600000000000001E-2</v>
      </c>
      <c r="R68" s="44">
        <f t="shared" si="2"/>
        <v>8.7895377128953776</v>
      </c>
      <c r="S68" s="45">
        <f t="shared" si="34"/>
        <v>-21126374.325644854</v>
      </c>
      <c r="T68" s="43" t="str">
        <f t="shared" si="4"/>
        <v>Desceu</v>
      </c>
      <c r="U68" s="46">
        <f t="shared" si="35"/>
        <v>4.0800000000000003E-2</v>
      </c>
      <c r="V68" s="47">
        <f t="shared" si="36"/>
        <v>8.3301306687163716</v>
      </c>
      <c r="W68" s="48">
        <f t="shared" si="37"/>
        <v>60066455.519262157</v>
      </c>
      <c r="X68" s="46" t="str">
        <f t="shared" si="8"/>
        <v>Subiu</v>
      </c>
      <c r="Y68" s="43">
        <f t="shared" si="38"/>
        <v>-0.14330000000000001</v>
      </c>
      <c r="Z68" s="44">
        <f t="shared" si="39"/>
        <v>10.120228784872184</v>
      </c>
      <c r="AA68" s="45">
        <f t="shared" si="40"/>
        <v>-256304687.65827948</v>
      </c>
      <c r="AB68" s="43" t="str">
        <f t="shared" si="12"/>
        <v>Desceu</v>
      </c>
      <c r="AC68" s="49">
        <f t="shared" si="41"/>
        <v>-0.14330000000000001</v>
      </c>
      <c r="AD68" s="50">
        <f t="shared" si="42"/>
        <v>10.120228784872184</v>
      </c>
      <c r="AE68" s="48">
        <f t="shared" si="43"/>
        <v>-256304687.65827948</v>
      </c>
      <c r="AF68" s="51" t="str">
        <f t="shared" si="16"/>
        <v>Desceu</v>
      </c>
      <c r="AG68" s="52">
        <f t="shared" si="44"/>
        <v>-0.34520000000000001</v>
      </c>
      <c r="AH68" s="53">
        <f t="shared" si="45"/>
        <v>13.240684178375075</v>
      </c>
      <c r="AI68" s="45">
        <f t="shared" si="46"/>
        <v>-807795151.31904674</v>
      </c>
      <c r="AJ68" s="54" t="str">
        <f t="shared" si="20"/>
        <v>Desceu</v>
      </c>
    </row>
    <row r="69" spans="1:36" ht="14.25" customHeight="1" x14ac:dyDescent="0.25">
      <c r="A69" s="38" t="s">
        <v>152</v>
      </c>
      <c r="B69" s="39">
        <v>45317</v>
      </c>
      <c r="C69" s="40">
        <v>22.84</v>
      </c>
      <c r="D69" s="38">
        <v>-1.38</v>
      </c>
      <c r="E69" s="38">
        <v>2.38</v>
      </c>
      <c r="F69" s="38">
        <v>-5.15</v>
      </c>
      <c r="G69" s="38">
        <v>-5.15</v>
      </c>
      <c r="H69" s="38">
        <v>60.09</v>
      </c>
      <c r="I69" s="38">
        <v>22.62</v>
      </c>
      <c r="J69" s="38">
        <v>23.34</v>
      </c>
      <c r="K69" s="38" t="s">
        <v>153</v>
      </c>
      <c r="L69" s="41" t="str">
        <f>VLOOKUP(A69,Ticker!A:B,2,0)</f>
        <v>Cyrela</v>
      </c>
      <c r="M69" s="41" t="str">
        <f>VLOOKUP(L69,Chatgpt!A:C,2,0)</f>
        <v>Construção</v>
      </c>
      <c r="N69" s="41">
        <f>VLOOKUP(L69,Chatgpt!A:C,3,0)</f>
        <v>58</v>
      </c>
      <c r="O69" s="41" t="str">
        <f t="shared" si="0"/>
        <v>Entre 50 e 100 anos</v>
      </c>
      <c r="P69" s="42">
        <f>VLOOKUP(A69,Total_de_acoes!A:B,2,0)</f>
        <v>265784616</v>
      </c>
      <c r="Q69" s="43">
        <f t="shared" si="1"/>
        <v>-1.38E-2</v>
      </c>
      <c r="R69" s="44">
        <f t="shared" si="2"/>
        <v>23.1596025147029</v>
      </c>
      <c r="S69" s="45">
        <f t="shared" si="34"/>
        <v>-84945431.642944753</v>
      </c>
      <c r="T69" s="43" t="str">
        <f t="shared" si="4"/>
        <v>Desceu</v>
      </c>
      <c r="U69" s="46">
        <f t="shared" si="35"/>
        <v>2.3799999999999998E-2</v>
      </c>
      <c r="V69" s="47">
        <f t="shared" si="36"/>
        <v>22.309044735299864</v>
      </c>
      <c r="W69" s="48">
        <f t="shared" si="37"/>
        <v>141119741.14150402</v>
      </c>
      <c r="X69" s="46" t="str">
        <f t="shared" si="8"/>
        <v>Subiu</v>
      </c>
      <c r="Y69" s="43">
        <f t="shared" si="38"/>
        <v>-5.1500000000000004E-2</v>
      </c>
      <c r="Z69" s="44">
        <f t="shared" si="39"/>
        <v>24.080126515550869</v>
      </c>
      <c r="AA69" s="45">
        <f t="shared" si="40"/>
        <v>-329606549.72710592</v>
      </c>
      <c r="AB69" s="43" t="str">
        <f t="shared" si="12"/>
        <v>Desceu</v>
      </c>
      <c r="AC69" s="49">
        <f t="shared" si="41"/>
        <v>-5.1500000000000004E-2</v>
      </c>
      <c r="AD69" s="50">
        <f t="shared" si="42"/>
        <v>24.080126515550869</v>
      </c>
      <c r="AE69" s="48">
        <f t="shared" si="43"/>
        <v>-329606549.72710592</v>
      </c>
      <c r="AF69" s="51" t="str">
        <f t="shared" si="16"/>
        <v>Desceu</v>
      </c>
      <c r="AG69" s="52">
        <f t="shared" si="44"/>
        <v>0.60089999999999999</v>
      </c>
      <c r="AH69" s="53">
        <f t="shared" si="45"/>
        <v>14.266974826660004</v>
      </c>
      <c r="AI69" s="45">
        <f t="shared" si="46"/>
        <v>2278578203.6545043</v>
      </c>
      <c r="AJ69" s="54" t="str">
        <f t="shared" si="20"/>
        <v>Subiu</v>
      </c>
    </row>
    <row r="70" spans="1:36" ht="14.25" customHeight="1" x14ac:dyDescent="0.25">
      <c r="A70" s="38" t="s">
        <v>154</v>
      </c>
      <c r="B70" s="39">
        <v>45317</v>
      </c>
      <c r="C70" s="40">
        <v>22.4</v>
      </c>
      <c r="D70" s="38">
        <v>-1.4</v>
      </c>
      <c r="E70" s="38">
        <v>5.0199999999999996</v>
      </c>
      <c r="F70" s="38">
        <v>0.04</v>
      </c>
      <c r="G70" s="38">
        <v>0.04</v>
      </c>
      <c r="H70" s="38">
        <v>34.29</v>
      </c>
      <c r="I70" s="38">
        <v>22.26</v>
      </c>
      <c r="J70" s="38">
        <v>22.92</v>
      </c>
      <c r="K70" s="38" t="s">
        <v>155</v>
      </c>
      <c r="L70" s="41" t="str">
        <f>VLOOKUP(A70,Ticker!A:B,2,0)</f>
        <v>Embraer</v>
      </c>
      <c r="M70" s="41" t="str">
        <f>VLOOKUP(L70,Chatgpt!A:C,2,0)</f>
        <v>Aeronáutica</v>
      </c>
      <c r="N70" s="41">
        <f>VLOOKUP(L70,Chatgpt!A:C,3,0)</f>
        <v>53</v>
      </c>
      <c r="O70" s="41" t="str">
        <f t="shared" si="0"/>
        <v>Entre 50 e 100 anos</v>
      </c>
      <c r="P70" s="42">
        <f>VLOOKUP(A70,Total_de_acoes!A:B,2,0)</f>
        <v>734632705</v>
      </c>
      <c r="Q70" s="43">
        <f t="shared" si="1"/>
        <v>-1.3999999999999999E-2</v>
      </c>
      <c r="R70" s="44">
        <f t="shared" si="2"/>
        <v>22.718052738336713</v>
      </c>
      <c r="S70" s="45">
        <f t="shared" si="34"/>
        <v>-233651943.49695757</v>
      </c>
      <c r="T70" s="43" t="str">
        <f t="shared" si="4"/>
        <v>Desceu</v>
      </c>
      <c r="U70" s="46">
        <f t="shared" si="35"/>
        <v>5.0199999999999995E-2</v>
      </c>
      <c r="V70" s="47">
        <f t="shared" si="36"/>
        <v>21.329270615120926</v>
      </c>
      <c r="W70" s="48">
        <f t="shared" si="37"/>
        <v>786592824.33669925</v>
      </c>
      <c r="X70" s="46" t="str">
        <f t="shared" si="8"/>
        <v>Subiu</v>
      </c>
      <c r="Y70" s="43">
        <f t="shared" si="38"/>
        <v>4.0000000000000002E-4</v>
      </c>
      <c r="Z70" s="44">
        <f t="shared" si="39"/>
        <v>22.391043582566972</v>
      </c>
      <c r="AA70" s="45">
        <f t="shared" si="40"/>
        <v>6579677.1659332905</v>
      </c>
      <c r="AB70" s="43" t="str">
        <f t="shared" si="12"/>
        <v>Subiu</v>
      </c>
      <c r="AC70" s="49">
        <f t="shared" si="41"/>
        <v>4.0000000000000002E-4</v>
      </c>
      <c r="AD70" s="50">
        <f t="shared" si="42"/>
        <v>22.391043582566972</v>
      </c>
      <c r="AE70" s="48">
        <f t="shared" si="43"/>
        <v>6579677.1659332905</v>
      </c>
      <c r="AF70" s="51" t="str">
        <f t="shared" si="16"/>
        <v>Subiu</v>
      </c>
      <c r="AG70" s="52">
        <f t="shared" si="44"/>
        <v>0.34289999999999998</v>
      </c>
      <c r="AH70" s="53">
        <f t="shared" si="45"/>
        <v>16.680318713232555</v>
      </c>
      <c r="AI70" s="45">
        <f t="shared" si="46"/>
        <v>4201864935.4358473</v>
      </c>
      <c r="AJ70" s="54" t="str">
        <f t="shared" si="20"/>
        <v>Subiu</v>
      </c>
    </row>
    <row r="71" spans="1:36" ht="14.25" customHeight="1" x14ac:dyDescent="0.25">
      <c r="A71" s="38" t="s">
        <v>156</v>
      </c>
      <c r="B71" s="39">
        <v>45317</v>
      </c>
      <c r="C71" s="40">
        <v>15.97</v>
      </c>
      <c r="D71" s="38">
        <v>-1.41</v>
      </c>
      <c r="E71" s="38">
        <v>-7.37</v>
      </c>
      <c r="F71" s="38">
        <v>-5.45</v>
      </c>
      <c r="G71" s="38">
        <v>-5.45</v>
      </c>
      <c r="H71" s="38">
        <v>23.51</v>
      </c>
      <c r="I71" s="38">
        <v>15.84</v>
      </c>
      <c r="J71" s="38">
        <v>16.43</v>
      </c>
      <c r="K71" s="38" t="s">
        <v>157</v>
      </c>
      <c r="L71" s="41" t="str">
        <f>VLOOKUP(A71,Ticker!A:B,2,0)</f>
        <v>Natura</v>
      </c>
      <c r="M71" s="41" t="str">
        <f>VLOOKUP(L71,Chatgpt!A:C,2,0)</f>
        <v>Cosméticos</v>
      </c>
      <c r="N71" s="41">
        <f>VLOOKUP(L71,Chatgpt!A:C,3,0)</f>
        <v>54</v>
      </c>
      <c r="O71" s="41" t="str">
        <f t="shared" si="0"/>
        <v>Entre 50 e 100 anos</v>
      </c>
      <c r="P71" s="42">
        <f>VLOOKUP(A71,Total_de_acoes!A:B,2,0)</f>
        <v>846244302</v>
      </c>
      <c r="Q71" s="43">
        <f t="shared" si="1"/>
        <v>-1.41E-2</v>
      </c>
      <c r="R71" s="44">
        <f t="shared" si="2"/>
        <v>16.198397403387769</v>
      </c>
      <c r="S71" s="45">
        <f t="shared" si="34"/>
        <v>-193280001.20849475</v>
      </c>
      <c r="T71" s="43" t="str">
        <f t="shared" si="4"/>
        <v>Desceu</v>
      </c>
      <c r="U71" s="46">
        <f t="shared" si="35"/>
        <v>-7.3700000000000002E-2</v>
      </c>
      <c r="V71" s="47">
        <f t="shared" si="36"/>
        <v>17.240634783547446</v>
      </c>
      <c r="W71" s="48">
        <f t="shared" si="37"/>
        <v>-1075267445.5000286</v>
      </c>
      <c r="X71" s="46" t="str">
        <f t="shared" si="8"/>
        <v>Desceu</v>
      </c>
      <c r="Y71" s="43">
        <f t="shared" si="38"/>
        <v>-5.45E-2</v>
      </c>
      <c r="Z71" s="44">
        <f t="shared" si="39"/>
        <v>16.890534108937072</v>
      </c>
      <c r="AA71" s="45">
        <f t="shared" si="40"/>
        <v>-778996744.48464346</v>
      </c>
      <c r="AB71" s="43" t="str">
        <f t="shared" si="12"/>
        <v>Desceu</v>
      </c>
      <c r="AC71" s="49">
        <f t="shared" si="41"/>
        <v>-5.45E-2</v>
      </c>
      <c r="AD71" s="50">
        <f t="shared" si="42"/>
        <v>16.890534108937072</v>
      </c>
      <c r="AE71" s="48">
        <f t="shared" si="43"/>
        <v>-778996744.48464346</v>
      </c>
      <c r="AF71" s="51" t="str">
        <f t="shared" si="16"/>
        <v>Desceu</v>
      </c>
      <c r="AG71" s="52">
        <f t="shared" si="44"/>
        <v>0.2351</v>
      </c>
      <c r="AH71" s="53">
        <f t="shared" si="45"/>
        <v>12.930127115213343</v>
      </c>
      <c r="AI71" s="45">
        <f t="shared" si="46"/>
        <v>2572475107.5550113</v>
      </c>
      <c r="AJ71" s="54" t="str">
        <f t="shared" si="20"/>
        <v>Subiu</v>
      </c>
    </row>
    <row r="72" spans="1:36" ht="14.25" customHeight="1" x14ac:dyDescent="0.25">
      <c r="A72" s="38" t="s">
        <v>158</v>
      </c>
      <c r="B72" s="39">
        <v>45317</v>
      </c>
      <c r="C72" s="40">
        <v>13.8</v>
      </c>
      <c r="D72" s="38">
        <v>-1.42</v>
      </c>
      <c r="E72" s="38">
        <v>-3.5</v>
      </c>
      <c r="F72" s="38">
        <v>2</v>
      </c>
      <c r="G72" s="38">
        <v>2</v>
      </c>
      <c r="H72" s="38">
        <v>-34.020000000000003</v>
      </c>
      <c r="I72" s="38">
        <v>13.63</v>
      </c>
      <c r="J72" s="38">
        <v>14</v>
      </c>
      <c r="K72" s="38" t="s">
        <v>159</v>
      </c>
      <c r="L72" s="41" t="str">
        <f>VLOOKUP(A72,Ticker!A:B,2,0)</f>
        <v>Assaí</v>
      </c>
      <c r="M72" s="41" t="str">
        <f>VLOOKUP(L72,Chatgpt!A:C,2,0)</f>
        <v>Varejo</v>
      </c>
      <c r="N72" s="41">
        <f>VLOOKUP(L72,Chatgpt!A:C,3,0)</f>
        <v>49</v>
      </c>
      <c r="O72" s="41" t="str">
        <f t="shared" si="0"/>
        <v>Menor de 50 anos</v>
      </c>
      <c r="P72" s="42">
        <f>VLOOKUP(A72,Total_de_acoes!A:B,2,0)</f>
        <v>1349217892</v>
      </c>
      <c r="Q72" s="43">
        <f t="shared" si="1"/>
        <v>-1.4199999999999999E-2</v>
      </c>
      <c r="R72" s="44">
        <f t="shared" si="2"/>
        <v>13.998782714546561</v>
      </c>
      <c r="S72" s="45">
        <f t="shared" si="34"/>
        <v>-268201195.08654764</v>
      </c>
      <c r="T72" s="43" t="str">
        <f t="shared" si="4"/>
        <v>Desceu</v>
      </c>
      <c r="U72" s="46">
        <f t="shared" si="35"/>
        <v>-3.5000000000000003E-2</v>
      </c>
      <c r="V72" s="47">
        <f t="shared" si="36"/>
        <v>14.300518134715027</v>
      </c>
      <c r="W72" s="48">
        <f t="shared" si="37"/>
        <v>-675308022.62797976</v>
      </c>
      <c r="X72" s="46" t="str">
        <f t="shared" si="8"/>
        <v>Desceu</v>
      </c>
      <c r="Y72" s="43">
        <f t="shared" si="38"/>
        <v>0.02</v>
      </c>
      <c r="Z72" s="44">
        <f t="shared" si="39"/>
        <v>13.529411764705882</v>
      </c>
      <c r="AA72" s="45">
        <f t="shared" si="40"/>
        <v>365082488.42353052</v>
      </c>
      <c r="AB72" s="43" t="str">
        <f t="shared" si="12"/>
        <v>Subiu</v>
      </c>
      <c r="AC72" s="49">
        <f t="shared" si="41"/>
        <v>0.02</v>
      </c>
      <c r="AD72" s="50">
        <f t="shared" si="42"/>
        <v>13.529411764705882</v>
      </c>
      <c r="AE72" s="48">
        <f t="shared" si="43"/>
        <v>365082488.42353052</v>
      </c>
      <c r="AF72" s="51" t="str">
        <f t="shared" si="16"/>
        <v>Subiu</v>
      </c>
      <c r="AG72" s="52">
        <f t="shared" si="44"/>
        <v>-0.34020000000000006</v>
      </c>
      <c r="AH72" s="53">
        <f t="shared" si="45"/>
        <v>20.915428917853898</v>
      </c>
      <c r="AI72" s="45">
        <f t="shared" si="46"/>
        <v>-9600264005.2226772</v>
      </c>
      <c r="AJ72" s="54" t="str">
        <f t="shared" si="20"/>
        <v>Desceu</v>
      </c>
    </row>
    <row r="73" spans="1:36" ht="14.25" customHeight="1" x14ac:dyDescent="0.25">
      <c r="A73" s="38" t="s">
        <v>160</v>
      </c>
      <c r="B73" s="39">
        <v>45317</v>
      </c>
      <c r="C73" s="40">
        <v>13.22</v>
      </c>
      <c r="D73" s="38">
        <v>-1.56</v>
      </c>
      <c r="E73" s="38">
        <v>-4.13</v>
      </c>
      <c r="F73" s="38">
        <v>-8.58</v>
      </c>
      <c r="G73" s="38">
        <v>-8.58</v>
      </c>
      <c r="H73" s="38">
        <v>3.88</v>
      </c>
      <c r="I73" s="38">
        <v>13.18</v>
      </c>
      <c r="J73" s="38">
        <v>13.42</v>
      </c>
      <c r="K73" s="38" t="s">
        <v>161</v>
      </c>
      <c r="L73" s="41" t="str">
        <f>VLOOKUP(A73,Ticker!A:B,2,0)</f>
        <v>B3</v>
      </c>
      <c r="M73" s="41" t="str">
        <f>VLOOKUP(L73,Chatgpt!A:C,2,0)</f>
        <v>Bolsa de Valores</v>
      </c>
      <c r="N73" s="41">
        <f>VLOOKUP(L73,Chatgpt!A:C,3,0)</f>
        <v>126</v>
      </c>
      <c r="O73" s="41" t="str">
        <f t="shared" si="0"/>
        <v>Mais de 100 anos</v>
      </c>
      <c r="P73" s="42">
        <f>VLOOKUP(A73,Total_de_acoes!A:B,2,0)</f>
        <v>5602790110</v>
      </c>
      <c r="Q73" s="43">
        <f t="shared" si="1"/>
        <v>-1.5600000000000001E-2</v>
      </c>
      <c r="R73" s="44">
        <f t="shared" si="2"/>
        <v>13.429500203169443</v>
      </c>
      <c r="S73" s="45">
        <f t="shared" si="34"/>
        <v>-1173785666.3607426</v>
      </c>
      <c r="T73" s="43" t="str">
        <f t="shared" si="4"/>
        <v>Desceu</v>
      </c>
      <c r="U73" s="46">
        <f t="shared" si="35"/>
        <v>-4.1299999999999996E-2</v>
      </c>
      <c r="V73" s="47">
        <f t="shared" si="36"/>
        <v>13.789506623552729</v>
      </c>
      <c r="W73" s="48">
        <f t="shared" si="37"/>
        <v>-3190826078.0207186</v>
      </c>
      <c r="X73" s="46" t="str">
        <f t="shared" si="8"/>
        <v>Desceu</v>
      </c>
      <c r="Y73" s="43">
        <f t="shared" si="38"/>
        <v>-8.5800000000000001E-2</v>
      </c>
      <c r="Z73" s="44">
        <f t="shared" si="39"/>
        <v>14.460730693502516</v>
      </c>
      <c r="AA73" s="45">
        <f t="shared" si="40"/>
        <v>-6951553658.7293329</v>
      </c>
      <c r="AB73" s="43" t="str">
        <f t="shared" si="12"/>
        <v>Desceu</v>
      </c>
      <c r="AC73" s="49">
        <f t="shared" si="41"/>
        <v>-8.5800000000000001E-2</v>
      </c>
      <c r="AD73" s="50">
        <f t="shared" si="42"/>
        <v>14.460730693502516</v>
      </c>
      <c r="AE73" s="48">
        <f t="shared" si="43"/>
        <v>-6951553658.7293329</v>
      </c>
      <c r="AF73" s="51" t="str">
        <f t="shared" si="16"/>
        <v>Desceu</v>
      </c>
      <c r="AG73" s="52">
        <f t="shared" si="44"/>
        <v>3.8800000000000001E-2</v>
      </c>
      <c r="AH73" s="53">
        <f t="shared" si="45"/>
        <v>12.726222564497498</v>
      </c>
      <c r="AI73" s="45">
        <f t="shared" si="46"/>
        <v>2766531332.1745872</v>
      </c>
      <c r="AJ73" s="54" t="str">
        <f t="shared" si="20"/>
        <v>Subiu</v>
      </c>
    </row>
    <row r="74" spans="1:36" ht="14.25" customHeight="1" x14ac:dyDescent="0.25">
      <c r="A74" s="38" t="s">
        <v>162</v>
      </c>
      <c r="B74" s="39">
        <v>45317</v>
      </c>
      <c r="C74" s="40">
        <v>31.08</v>
      </c>
      <c r="D74" s="38">
        <v>-1.61</v>
      </c>
      <c r="E74" s="38">
        <v>-5.27</v>
      </c>
      <c r="F74" s="38">
        <v>-13.06</v>
      </c>
      <c r="G74" s="38">
        <v>-13.06</v>
      </c>
      <c r="H74" s="38">
        <v>-27.52</v>
      </c>
      <c r="I74" s="38">
        <v>30.91</v>
      </c>
      <c r="J74" s="38">
        <v>31.72</v>
      </c>
      <c r="K74" s="38" t="s">
        <v>163</v>
      </c>
      <c r="L74" s="41" t="str">
        <f>VLOOKUP(A74,Ticker!A:B,2,0)</f>
        <v>Hypera</v>
      </c>
      <c r="M74" s="41" t="str">
        <f>VLOOKUP(L74,Chatgpt!A:C,2,0)</f>
        <v>Farmacêutica</v>
      </c>
      <c r="N74" s="41">
        <f>VLOOKUP(L74,Chatgpt!A:C,3,0)</f>
        <v>61</v>
      </c>
      <c r="O74" s="41" t="str">
        <f t="shared" si="0"/>
        <v>Entre 50 e 100 anos</v>
      </c>
      <c r="P74" s="42">
        <f>VLOOKUP(A74,Total_de_acoes!A:B,2,0)</f>
        <v>409490388</v>
      </c>
      <c r="Q74" s="43">
        <f t="shared" si="1"/>
        <v>-1.61E-2</v>
      </c>
      <c r="R74" s="44">
        <f t="shared" si="2"/>
        <v>31.588576074804347</v>
      </c>
      <c r="S74" s="45">
        <f t="shared" si="34"/>
        <v>-208257014.19914994</v>
      </c>
      <c r="T74" s="43" t="str">
        <f t="shared" si="4"/>
        <v>Desceu</v>
      </c>
      <c r="U74" s="46">
        <f t="shared" si="35"/>
        <v>-5.2699999999999997E-2</v>
      </c>
      <c r="V74" s="47">
        <f t="shared" si="36"/>
        <v>32.809036208170589</v>
      </c>
      <c r="W74" s="48">
        <f t="shared" si="37"/>
        <v>-708023707.74982405</v>
      </c>
      <c r="X74" s="46" t="str">
        <f t="shared" si="8"/>
        <v>Desceu</v>
      </c>
      <c r="Y74" s="43">
        <f t="shared" si="38"/>
        <v>-0.13059999999999999</v>
      </c>
      <c r="Z74" s="44">
        <f t="shared" si="39"/>
        <v>35.748792270531403</v>
      </c>
      <c r="AA74" s="45">
        <f t="shared" si="40"/>
        <v>-1911825558.351306</v>
      </c>
      <c r="AB74" s="43" t="str">
        <f t="shared" si="12"/>
        <v>Desceu</v>
      </c>
      <c r="AC74" s="49">
        <f t="shared" si="41"/>
        <v>-0.13059999999999999</v>
      </c>
      <c r="AD74" s="50">
        <f t="shared" si="42"/>
        <v>35.748792270531403</v>
      </c>
      <c r="AE74" s="48">
        <f t="shared" si="43"/>
        <v>-1911825558.351306</v>
      </c>
      <c r="AF74" s="51" t="str">
        <f t="shared" si="16"/>
        <v>Desceu</v>
      </c>
      <c r="AG74" s="52">
        <f t="shared" si="44"/>
        <v>-0.2752</v>
      </c>
      <c r="AH74" s="53">
        <f t="shared" si="45"/>
        <v>42.880794701986751</v>
      </c>
      <c r="AI74" s="45">
        <f t="shared" si="46"/>
        <v>-4832312001.2249002</v>
      </c>
      <c r="AJ74" s="54" t="str">
        <f t="shared" si="20"/>
        <v>Desceu</v>
      </c>
    </row>
    <row r="75" spans="1:36" ht="14.25" customHeight="1" x14ac:dyDescent="0.25">
      <c r="A75" s="38" t="s">
        <v>164</v>
      </c>
      <c r="B75" s="39">
        <v>45317</v>
      </c>
      <c r="C75" s="40">
        <v>28.2</v>
      </c>
      <c r="D75" s="38">
        <v>-1.94</v>
      </c>
      <c r="E75" s="38">
        <v>0.36</v>
      </c>
      <c r="F75" s="38">
        <v>-3.79</v>
      </c>
      <c r="G75" s="38">
        <v>-3.79</v>
      </c>
      <c r="H75" s="38">
        <v>17.100000000000001</v>
      </c>
      <c r="I75" s="38">
        <v>28.13</v>
      </c>
      <c r="J75" s="38">
        <v>28.97</v>
      </c>
      <c r="K75" s="38" t="s">
        <v>165</v>
      </c>
      <c r="L75" s="41" t="str">
        <f>VLOOKUP(A75,Ticker!A:B,2,0)</f>
        <v>São Martinho</v>
      </c>
      <c r="M75" s="41" t="str">
        <f>VLOOKUP(L75,Chatgpt!A:C,2,0)</f>
        <v>Açúcar e Álcool</v>
      </c>
      <c r="N75" s="41">
        <f>VLOOKUP(L75,Chatgpt!A:C,3,0)</f>
        <v>82</v>
      </c>
      <c r="O75" s="41" t="str">
        <f t="shared" si="0"/>
        <v>Entre 50 e 100 anos</v>
      </c>
      <c r="P75" s="42">
        <f>VLOOKUP(A75,Total_de_acoes!A:B,2,0)</f>
        <v>142377330</v>
      </c>
      <c r="Q75" s="43">
        <f t="shared" si="1"/>
        <v>-1.9400000000000001E-2</v>
      </c>
      <c r="R75" s="44">
        <f t="shared" si="2"/>
        <v>28.757903324495206</v>
      </c>
      <c r="S75" s="45">
        <f t="shared" si="34"/>
        <v>-79432785.73975119</v>
      </c>
      <c r="T75" s="43" t="str">
        <f t="shared" si="4"/>
        <v>Desceu</v>
      </c>
      <c r="U75" s="46">
        <f t="shared" si="35"/>
        <v>3.5999999999999999E-3</v>
      </c>
      <c r="V75" s="47">
        <f t="shared" si="36"/>
        <v>28.098844161020324</v>
      </c>
      <c r="W75" s="48">
        <f t="shared" si="37"/>
        <v>14402298.267836107</v>
      </c>
      <c r="X75" s="46" t="str">
        <f t="shared" si="8"/>
        <v>Subiu</v>
      </c>
      <c r="Y75" s="43">
        <f t="shared" si="38"/>
        <v>-3.7900000000000003E-2</v>
      </c>
      <c r="Z75" s="44">
        <f t="shared" si="39"/>
        <v>29.310882444652325</v>
      </c>
      <c r="AA75" s="45">
        <f t="shared" si="40"/>
        <v>-158164476.41347092</v>
      </c>
      <c r="AB75" s="43" t="str">
        <f t="shared" si="12"/>
        <v>Desceu</v>
      </c>
      <c r="AC75" s="49">
        <f t="shared" si="41"/>
        <v>-3.7900000000000003E-2</v>
      </c>
      <c r="AD75" s="50">
        <f t="shared" si="42"/>
        <v>29.310882444652325</v>
      </c>
      <c r="AE75" s="48">
        <f t="shared" si="43"/>
        <v>-158164476.41347092</v>
      </c>
      <c r="AF75" s="51" t="str">
        <f t="shared" si="16"/>
        <v>Desceu</v>
      </c>
      <c r="AG75" s="52">
        <f t="shared" si="44"/>
        <v>0.17100000000000001</v>
      </c>
      <c r="AH75" s="53">
        <f t="shared" si="45"/>
        <v>24.08198121263877</v>
      </c>
      <c r="AI75" s="45">
        <f t="shared" si="46"/>
        <v>586312519.83432961</v>
      </c>
      <c r="AJ75" s="54" t="str">
        <f t="shared" si="20"/>
        <v>Subiu</v>
      </c>
    </row>
    <row r="76" spans="1:36" ht="14.25" customHeight="1" x14ac:dyDescent="0.25">
      <c r="A76" s="38" t="s">
        <v>166</v>
      </c>
      <c r="B76" s="39">
        <v>45317</v>
      </c>
      <c r="C76" s="40">
        <v>3.93</v>
      </c>
      <c r="D76" s="38">
        <v>-1.99</v>
      </c>
      <c r="E76" s="38">
        <v>-2.2400000000000002</v>
      </c>
      <c r="F76" s="38">
        <v>-11.69</v>
      </c>
      <c r="G76" s="38">
        <v>-11.69</v>
      </c>
      <c r="H76" s="38">
        <v>-11.49</v>
      </c>
      <c r="I76" s="38">
        <v>3.89</v>
      </c>
      <c r="J76" s="38">
        <v>4.0599999999999996</v>
      </c>
      <c r="K76" s="38" t="s">
        <v>167</v>
      </c>
      <c r="L76" s="41" t="str">
        <f>VLOOKUP(A76,Ticker!A:B,2,0)</f>
        <v>Hapvida</v>
      </c>
      <c r="M76" s="41" t="str">
        <f>VLOOKUP(L76,Chatgpt!A:C,2,0)</f>
        <v>Saúde</v>
      </c>
      <c r="N76" s="41">
        <f>VLOOKUP(L76,Chatgpt!A:C,3,0)</f>
        <v>45</v>
      </c>
      <c r="O76" s="41" t="str">
        <f t="shared" si="0"/>
        <v>Menor de 50 anos</v>
      </c>
      <c r="P76" s="42">
        <f>VLOOKUP(A76,Total_de_acoes!A:B,2,0)</f>
        <v>4394332306</v>
      </c>
      <c r="Q76" s="43">
        <f t="shared" si="1"/>
        <v>-1.9900000000000001E-2</v>
      </c>
      <c r="R76" s="44">
        <f t="shared" si="2"/>
        <v>4.0097949188858282</v>
      </c>
      <c r="S76" s="45">
        <f t="shared" si="34"/>
        <v>-350645389.91464359</v>
      </c>
      <c r="T76" s="43" t="str">
        <f t="shared" si="4"/>
        <v>Desceu</v>
      </c>
      <c r="U76" s="46">
        <f t="shared" si="35"/>
        <v>-2.2400000000000003E-2</v>
      </c>
      <c r="V76" s="47">
        <f t="shared" si="36"/>
        <v>4.0200490998363341</v>
      </c>
      <c r="W76" s="48">
        <f t="shared" si="37"/>
        <v>-395705668.5370214</v>
      </c>
      <c r="X76" s="46" t="str">
        <f t="shared" si="8"/>
        <v>Desceu</v>
      </c>
      <c r="Y76" s="43">
        <f t="shared" si="38"/>
        <v>-0.11689999999999999</v>
      </c>
      <c r="Z76" s="44">
        <f t="shared" si="39"/>
        <v>4.4502321367908504</v>
      </c>
      <c r="AA76" s="45">
        <f t="shared" si="40"/>
        <v>-2286072885.3194442</v>
      </c>
      <c r="AB76" s="43" t="str">
        <f t="shared" si="12"/>
        <v>Desceu</v>
      </c>
      <c r="AC76" s="49">
        <f t="shared" si="41"/>
        <v>-0.11689999999999999</v>
      </c>
      <c r="AD76" s="50">
        <f t="shared" si="42"/>
        <v>4.4502321367908504</v>
      </c>
      <c r="AE76" s="48">
        <f t="shared" si="43"/>
        <v>-2286072885.3194442</v>
      </c>
      <c r="AF76" s="51" t="str">
        <f t="shared" si="16"/>
        <v>Desceu</v>
      </c>
      <c r="AG76" s="52">
        <f t="shared" si="44"/>
        <v>-0.1149</v>
      </c>
      <c r="AH76" s="53">
        <f t="shared" si="45"/>
        <v>4.4401762512710432</v>
      </c>
      <c r="AI76" s="45">
        <f t="shared" si="46"/>
        <v>-2241883982.7143178</v>
      </c>
      <c r="AJ76" s="54" t="str">
        <f t="shared" si="20"/>
        <v>Desceu</v>
      </c>
    </row>
    <row r="77" spans="1:36" ht="14.25" customHeight="1" x14ac:dyDescent="0.25">
      <c r="A77" s="38" t="s">
        <v>168</v>
      </c>
      <c r="B77" s="39">
        <v>45317</v>
      </c>
      <c r="C77" s="40">
        <v>15.78</v>
      </c>
      <c r="D77" s="38">
        <v>-2.29</v>
      </c>
      <c r="E77" s="38">
        <v>-5.62</v>
      </c>
      <c r="F77" s="38">
        <v>-9.41</v>
      </c>
      <c r="G77" s="38">
        <v>-9.41</v>
      </c>
      <c r="H77" s="38">
        <v>-24.94</v>
      </c>
      <c r="I77" s="38">
        <v>15.7</v>
      </c>
      <c r="J77" s="38">
        <v>16.23</v>
      </c>
      <c r="K77" s="38" t="s">
        <v>169</v>
      </c>
      <c r="L77" s="41" t="str">
        <f>VLOOKUP(A77,Ticker!A:B,2,0)</f>
        <v>Lojas Renner</v>
      </c>
      <c r="M77" s="41" t="str">
        <f>VLOOKUP(L77,Chatgpt!A:C,2,0)</f>
        <v>Varejo</v>
      </c>
      <c r="N77" s="41">
        <f>VLOOKUP(L77,Chatgpt!A:C,3,0)</f>
        <v>54</v>
      </c>
      <c r="O77" s="41" t="str">
        <f t="shared" si="0"/>
        <v>Entre 50 e 100 anos</v>
      </c>
      <c r="P77" s="42">
        <f>VLOOKUP(A77,Total_de_acoes!A:B,2,0)</f>
        <v>951329770</v>
      </c>
      <c r="Q77" s="43">
        <f t="shared" si="1"/>
        <v>-2.29E-2</v>
      </c>
      <c r="R77" s="44">
        <f t="shared" si="2"/>
        <v>16.149831132944428</v>
      </c>
      <c r="S77" s="45">
        <f t="shared" si="34"/>
        <v>-351831366.6428625</v>
      </c>
      <c r="T77" s="43" t="str">
        <f t="shared" si="4"/>
        <v>Desceu</v>
      </c>
      <c r="U77" s="46">
        <f t="shared" si="35"/>
        <v>-5.62E-2</v>
      </c>
      <c r="V77" s="47">
        <f t="shared" si="36"/>
        <v>16.719643992371264</v>
      </c>
      <c r="W77" s="48">
        <f t="shared" si="37"/>
        <v>-893911303.14443684</v>
      </c>
      <c r="X77" s="46" t="str">
        <f t="shared" si="8"/>
        <v>Desceu</v>
      </c>
      <c r="Y77" s="43">
        <f t="shared" si="38"/>
        <v>-9.4100000000000003E-2</v>
      </c>
      <c r="Z77" s="44">
        <f t="shared" si="39"/>
        <v>17.419141185561319</v>
      </c>
      <c r="AA77" s="45">
        <f t="shared" si="40"/>
        <v>-1559363807.0575776</v>
      </c>
      <c r="AB77" s="43" t="str">
        <f t="shared" si="12"/>
        <v>Desceu</v>
      </c>
      <c r="AC77" s="49">
        <f t="shared" si="41"/>
        <v>-9.4100000000000003E-2</v>
      </c>
      <c r="AD77" s="50">
        <f t="shared" si="42"/>
        <v>17.419141185561319</v>
      </c>
      <c r="AE77" s="48">
        <f t="shared" si="43"/>
        <v>-1559363807.0575776</v>
      </c>
      <c r="AF77" s="51" t="str">
        <f t="shared" si="16"/>
        <v>Desceu</v>
      </c>
      <c r="AG77" s="52">
        <f t="shared" si="44"/>
        <v>-0.24940000000000001</v>
      </c>
      <c r="AH77" s="53">
        <f t="shared" si="45"/>
        <v>21.023181454836131</v>
      </c>
      <c r="AI77" s="45">
        <f t="shared" si="46"/>
        <v>-4987994607.4975224</v>
      </c>
      <c r="AJ77" s="54" t="str">
        <f t="shared" si="20"/>
        <v>Desceu</v>
      </c>
    </row>
    <row r="78" spans="1:36" ht="14.25" customHeight="1" x14ac:dyDescent="0.25">
      <c r="A78" s="38" t="s">
        <v>170</v>
      </c>
      <c r="B78" s="39">
        <v>45317</v>
      </c>
      <c r="C78" s="40">
        <v>10.71</v>
      </c>
      <c r="D78" s="38">
        <v>-2.4500000000000002</v>
      </c>
      <c r="E78" s="38">
        <v>-9.4700000000000006</v>
      </c>
      <c r="F78" s="38">
        <v>-13.98</v>
      </c>
      <c r="G78" s="38">
        <v>-13.98</v>
      </c>
      <c r="H78" s="38">
        <v>-32.72</v>
      </c>
      <c r="I78" s="38">
        <v>10.7</v>
      </c>
      <c r="J78" s="38">
        <v>11.08</v>
      </c>
      <c r="K78" s="38" t="s">
        <v>171</v>
      </c>
      <c r="L78" s="41" t="str">
        <f>VLOOKUP(A78,Ticker!A:B,2,0)</f>
        <v>Carrefour Brasil</v>
      </c>
      <c r="M78" s="41" t="str">
        <f>VLOOKUP(L78,Chatgpt!A:C,2,0)</f>
        <v>Varejo</v>
      </c>
      <c r="N78" s="41">
        <f>VLOOKUP(L78,Chatgpt!A:C,3,0)</f>
        <v>37</v>
      </c>
      <c r="O78" s="41" t="str">
        <f t="shared" si="0"/>
        <v>Menor de 50 anos</v>
      </c>
      <c r="P78" s="42">
        <f>VLOOKUP(A78,Total_de_acoes!A:B,2,0)</f>
        <v>533990587</v>
      </c>
      <c r="Q78" s="43">
        <f t="shared" si="1"/>
        <v>-2.4500000000000001E-2</v>
      </c>
      <c r="R78" s="44">
        <f t="shared" si="2"/>
        <v>10.978985135827781</v>
      </c>
      <c r="S78" s="45">
        <f t="shared" si="34"/>
        <v>-143635530.57495093</v>
      </c>
      <c r="T78" s="43" t="str">
        <f t="shared" si="4"/>
        <v>Desceu</v>
      </c>
      <c r="U78" s="46">
        <f t="shared" si="35"/>
        <v>-9.4700000000000006E-2</v>
      </c>
      <c r="V78" s="47">
        <f t="shared" si="36"/>
        <v>11.830332486468574</v>
      </c>
      <c r="W78" s="48">
        <f t="shared" si="37"/>
        <v>-598247002.08452296</v>
      </c>
      <c r="X78" s="46" t="str">
        <f t="shared" si="8"/>
        <v>Desceu</v>
      </c>
      <c r="Y78" s="43">
        <f t="shared" si="38"/>
        <v>-0.13980000000000001</v>
      </c>
      <c r="Z78" s="44">
        <f t="shared" si="39"/>
        <v>12.450592885375496</v>
      </c>
      <c r="AA78" s="45">
        <f t="shared" si="40"/>
        <v>-929460216.58968437</v>
      </c>
      <c r="AB78" s="43" t="str">
        <f t="shared" si="12"/>
        <v>Desceu</v>
      </c>
      <c r="AC78" s="49">
        <f t="shared" si="41"/>
        <v>-0.13980000000000001</v>
      </c>
      <c r="AD78" s="50">
        <f t="shared" si="42"/>
        <v>12.450592885375496</v>
      </c>
      <c r="AE78" s="48">
        <f t="shared" si="43"/>
        <v>-929460216.58968437</v>
      </c>
      <c r="AF78" s="51" t="str">
        <f t="shared" si="16"/>
        <v>Desceu</v>
      </c>
      <c r="AG78" s="52">
        <f t="shared" si="44"/>
        <v>-0.32719999999999999</v>
      </c>
      <c r="AH78" s="53">
        <f t="shared" si="45"/>
        <v>15.918549346016647</v>
      </c>
      <c r="AI78" s="45">
        <f t="shared" si="46"/>
        <v>-2781316322.6978951</v>
      </c>
      <c r="AJ78" s="54" t="str">
        <f t="shared" si="20"/>
        <v>Desceu</v>
      </c>
    </row>
    <row r="79" spans="1:36" ht="14.25" customHeight="1" x14ac:dyDescent="0.25">
      <c r="A79" s="38" t="s">
        <v>172</v>
      </c>
      <c r="B79" s="39">
        <v>45317</v>
      </c>
      <c r="C79" s="40">
        <v>8.6999999999999993</v>
      </c>
      <c r="D79" s="38">
        <v>-2.46</v>
      </c>
      <c r="E79" s="38">
        <v>-6.95</v>
      </c>
      <c r="F79" s="38">
        <v>-23.55</v>
      </c>
      <c r="G79" s="38">
        <v>-23.55</v>
      </c>
      <c r="H79" s="38">
        <v>-85.74</v>
      </c>
      <c r="I79" s="38">
        <v>8.67</v>
      </c>
      <c r="J79" s="38">
        <v>8.9499999999999993</v>
      </c>
      <c r="K79" s="38" t="s">
        <v>173</v>
      </c>
      <c r="L79" s="41" t="str">
        <f>VLOOKUP(A79,Ticker!A:B,2,0)</f>
        <v>Casas Bahia</v>
      </c>
      <c r="M79" s="41" t="str">
        <f>VLOOKUP(L79,Chatgpt!A:C,2,0)</f>
        <v>Varejo</v>
      </c>
      <c r="N79" s="41">
        <f>VLOOKUP(L79,Chatgpt!A:C,3,0)</f>
        <v>95</v>
      </c>
      <c r="O79" s="41" t="str">
        <f t="shared" si="0"/>
        <v>Entre 50 e 100 anos</v>
      </c>
      <c r="P79" s="42">
        <f>VLOOKUP(A79,Total_de_acoes!A:B,2,0)</f>
        <v>94843047</v>
      </c>
      <c r="Q79" s="43">
        <f t="shared" si="1"/>
        <v>-2.46E-2</v>
      </c>
      <c r="R79" s="44">
        <f t="shared" si="2"/>
        <v>8.9194176748000817</v>
      </c>
      <c r="S79" s="45">
        <f t="shared" si="34"/>
        <v>-20810240.843694936</v>
      </c>
      <c r="T79" s="43" t="str">
        <f t="shared" si="4"/>
        <v>Desceu</v>
      </c>
      <c r="U79" s="46">
        <f t="shared" si="35"/>
        <v>-6.9500000000000006E-2</v>
      </c>
      <c r="V79" s="47">
        <f t="shared" si="36"/>
        <v>9.3498119290703912</v>
      </c>
      <c r="W79" s="48">
        <f t="shared" si="37"/>
        <v>-61630143.329983845</v>
      </c>
      <c r="X79" s="46" t="str">
        <f t="shared" si="8"/>
        <v>Desceu</v>
      </c>
      <c r="Y79" s="43">
        <f t="shared" si="38"/>
        <v>-0.23550000000000001</v>
      </c>
      <c r="Z79" s="44">
        <f t="shared" si="39"/>
        <v>11.379986919555265</v>
      </c>
      <c r="AA79" s="45">
        <f t="shared" si="40"/>
        <v>-254178125.37076524</v>
      </c>
      <c r="AB79" s="43" t="str">
        <f t="shared" si="12"/>
        <v>Desceu</v>
      </c>
      <c r="AC79" s="49">
        <f t="shared" si="41"/>
        <v>-0.23550000000000001</v>
      </c>
      <c r="AD79" s="50">
        <f t="shared" si="42"/>
        <v>11.379986919555265</v>
      </c>
      <c r="AE79" s="48">
        <f t="shared" si="43"/>
        <v>-254178125.37076524</v>
      </c>
      <c r="AF79" s="51" t="str">
        <f t="shared" si="16"/>
        <v>Desceu</v>
      </c>
      <c r="AG79" s="52">
        <f t="shared" si="44"/>
        <v>-0.85739999999999994</v>
      </c>
      <c r="AH79" s="53">
        <f t="shared" si="45"/>
        <v>61.009817671809223</v>
      </c>
      <c r="AI79" s="45">
        <f t="shared" si="46"/>
        <v>-4961222496.0088329</v>
      </c>
      <c r="AJ79" s="54" t="str">
        <f t="shared" si="20"/>
        <v>Desceu</v>
      </c>
    </row>
    <row r="80" spans="1:36" ht="14.25" customHeight="1" x14ac:dyDescent="0.25">
      <c r="A80" s="38" t="s">
        <v>174</v>
      </c>
      <c r="B80" s="39">
        <v>45317</v>
      </c>
      <c r="C80" s="40">
        <v>56.24</v>
      </c>
      <c r="D80" s="38">
        <v>-3.63</v>
      </c>
      <c r="E80" s="38">
        <v>-6.41</v>
      </c>
      <c r="F80" s="38">
        <v>-11.57</v>
      </c>
      <c r="G80" s="38">
        <v>-11.57</v>
      </c>
      <c r="H80" s="38">
        <v>-2.77</v>
      </c>
      <c r="I80" s="38">
        <v>56.04</v>
      </c>
      <c r="J80" s="38">
        <v>58.9</v>
      </c>
      <c r="K80" s="38" t="s">
        <v>175</v>
      </c>
      <c r="L80" s="41" t="str">
        <f>VLOOKUP(A80,Ticker!A:B,2,0)</f>
        <v>Localiza</v>
      </c>
      <c r="M80" s="41" t="str">
        <f>VLOOKUP(L80,Chatgpt!A:C,2,0)</f>
        <v>Aluguel de Carros</v>
      </c>
      <c r="N80" s="41">
        <f>VLOOKUP(L80,Chatgpt!A:C,3,0)</f>
        <v>49</v>
      </c>
      <c r="O80" s="41" t="str">
        <f t="shared" si="0"/>
        <v>Menor de 50 anos</v>
      </c>
      <c r="P80" s="42">
        <f>VLOOKUP(A80,Total_de_acoes!A:B,2,0)</f>
        <v>853202347</v>
      </c>
      <c r="Q80" s="43">
        <f t="shared" si="1"/>
        <v>-3.6299999999999999E-2</v>
      </c>
      <c r="R80" s="44">
        <f t="shared" si="2"/>
        <v>58.358410293659851</v>
      </c>
      <c r="S80" s="45">
        <f t="shared" si="34"/>
        <v>-1807432634.4595425</v>
      </c>
      <c r="T80" s="43" t="str">
        <f t="shared" si="4"/>
        <v>Desceu</v>
      </c>
      <c r="U80" s="46">
        <f t="shared" si="35"/>
        <v>-6.4100000000000004E-2</v>
      </c>
      <c r="V80" s="47">
        <f t="shared" si="36"/>
        <v>60.09189015920505</v>
      </c>
      <c r="W80" s="48">
        <f t="shared" si="37"/>
        <v>-3286441724.2199507</v>
      </c>
      <c r="X80" s="46" t="str">
        <f t="shared" si="8"/>
        <v>Desceu</v>
      </c>
      <c r="Y80" s="43">
        <f t="shared" si="38"/>
        <v>-0.1157</v>
      </c>
      <c r="Z80" s="44">
        <f t="shared" si="39"/>
        <v>63.59832635983264</v>
      </c>
      <c r="AA80" s="45">
        <f t="shared" si="40"/>
        <v>-6278141320.2011738</v>
      </c>
      <c r="AB80" s="43" t="str">
        <f t="shared" si="12"/>
        <v>Desceu</v>
      </c>
      <c r="AC80" s="49">
        <f t="shared" si="41"/>
        <v>-0.1157</v>
      </c>
      <c r="AD80" s="50">
        <f t="shared" si="42"/>
        <v>63.59832635983264</v>
      </c>
      <c r="AE80" s="48">
        <f t="shared" si="43"/>
        <v>-6278141320.2011738</v>
      </c>
      <c r="AF80" s="51" t="str">
        <f t="shared" si="16"/>
        <v>Desceu</v>
      </c>
      <c r="AG80" s="52">
        <f t="shared" si="44"/>
        <v>-2.7699999999999999E-2</v>
      </c>
      <c r="AH80" s="53">
        <f t="shared" si="45"/>
        <v>57.842229764475981</v>
      </c>
      <c r="AI80" s="45">
        <f t="shared" si="46"/>
        <v>-1367026195.4841623</v>
      </c>
      <c r="AJ80" s="54" t="str">
        <f t="shared" si="20"/>
        <v>Desceu</v>
      </c>
    </row>
    <row r="81" spans="1:36" ht="14.25" customHeight="1" x14ac:dyDescent="0.25">
      <c r="A81" s="38" t="s">
        <v>176</v>
      </c>
      <c r="B81" s="39">
        <v>45317</v>
      </c>
      <c r="C81" s="40">
        <v>3.07</v>
      </c>
      <c r="D81" s="38">
        <v>-4.3600000000000003</v>
      </c>
      <c r="E81" s="38">
        <v>-5.54</v>
      </c>
      <c r="F81" s="38">
        <v>-12.29</v>
      </c>
      <c r="G81" s="38">
        <v>-12.29</v>
      </c>
      <c r="H81" s="38">
        <v>-36.83</v>
      </c>
      <c r="I81" s="38">
        <v>3.05</v>
      </c>
      <c r="J81" s="38">
        <v>3.23</v>
      </c>
      <c r="K81" s="38" t="s">
        <v>177</v>
      </c>
      <c r="L81" s="41" t="str">
        <f>VLOOKUP(A81,Ticker!A:B,2,0)</f>
        <v>CVC</v>
      </c>
      <c r="M81" s="41" t="str">
        <f>VLOOKUP(L81,Chatgpt!A:C,2,0)</f>
        <v>Turismo</v>
      </c>
      <c r="N81" s="41">
        <f>VLOOKUP(L81,Chatgpt!A:C,3,0)</f>
        <v>50</v>
      </c>
      <c r="O81" s="41" t="str">
        <f t="shared" si="0"/>
        <v>Entre 50 e 100 anos</v>
      </c>
      <c r="P81" s="42">
        <f>VLOOKUP(A81,Total_de_acoes!A:B,2,0)</f>
        <v>525582771</v>
      </c>
      <c r="Q81" s="43">
        <f t="shared" si="1"/>
        <v>-4.36E-2</v>
      </c>
      <c r="R81" s="44">
        <f t="shared" si="2"/>
        <v>3.2099539941447093</v>
      </c>
      <c r="S81" s="45">
        <f t="shared" si="34"/>
        <v>-73557408.055094168</v>
      </c>
      <c r="T81" s="43" t="str">
        <f t="shared" si="4"/>
        <v>Desceu</v>
      </c>
      <c r="U81" s="46">
        <f t="shared" si="35"/>
        <v>-5.5399999999999998E-2</v>
      </c>
      <c r="V81" s="47">
        <f t="shared" si="36"/>
        <v>3.2500529324581833</v>
      </c>
      <c r="W81" s="48">
        <f t="shared" si="37"/>
        <v>-94632719.16804789</v>
      </c>
      <c r="X81" s="46" t="str">
        <f t="shared" si="8"/>
        <v>Desceu</v>
      </c>
      <c r="Y81" s="43">
        <f t="shared" si="38"/>
        <v>-0.1229</v>
      </c>
      <c r="Z81" s="44">
        <f t="shared" si="39"/>
        <v>3.5001710181279213</v>
      </c>
      <c r="AA81" s="45">
        <f t="shared" si="40"/>
        <v>-226090475.71156418</v>
      </c>
      <c r="AB81" s="43" t="str">
        <f t="shared" si="12"/>
        <v>Desceu</v>
      </c>
      <c r="AC81" s="49">
        <f t="shared" si="41"/>
        <v>-0.1229</v>
      </c>
      <c r="AD81" s="50">
        <f t="shared" si="42"/>
        <v>3.5001710181279213</v>
      </c>
      <c r="AE81" s="48">
        <f t="shared" si="43"/>
        <v>-226090475.71156418</v>
      </c>
      <c r="AF81" s="51" t="str">
        <f t="shared" si="16"/>
        <v>Desceu</v>
      </c>
      <c r="AG81" s="52">
        <f t="shared" si="44"/>
        <v>-0.36829999999999996</v>
      </c>
      <c r="AH81" s="53">
        <f t="shared" si="45"/>
        <v>4.859901852145005</v>
      </c>
      <c r="AI81" s="45">
        <f t="shared" si="46"/>
        <v>-940741575.26840413</v>
      </c>
      <c r="AJ81" s="54" t="str">
        <f t="shared" si="20"/>
        <v>Desceu</v>
      </c>
    </row>
    <row r="82" spans="1:36" ht="14.25" customHeight="1" x14ac:dyDescent="0.25">
      <c r="A82" s="38" t="s">
        <v>178</v>
      </c>
      <c r="B82" s="39">
        <v>45317</v>
      </c>
      <c r="C82" s="40">
        <v>5.92</v>
      </c>
      <c r="D82" s="38">
        <v>-8.07</v>
      </c>
      <c r="E82" s="38">
        <v>-15.91</v>
      </c>
      <c r="F82" s="38">
        <v>-34</v>
      </c>
      <c r="G82" s="38">
        <v>-34</v>
      </c>
      <c r="H82" s="38">
        <v>-25.44</v>
      </c>
      <c r="I82" s="38">
        <v>5.51</v>
      </c>
      <c r="J82" s="38">
        <v>6.02</v>
      </c>
      <c r="K82" s="38" t="s">
        <v>179</v>
      </c>
      <c r="L82" s="41" t="str">
        <f>VLOOKUP(A82,Ticker!A:B,2,0)</f>
        <v>GOL</v>
      </c>
      <c r="M82" s="41" t="str">
        <f>VLOOKUP(L82,Chatgpt!A:C,2,0)</f>
        <v>Aviação</v>
      </c>
      <c r="N82" s="41">
        <f>VLOOKUP(L82,Chatgpt!A:C,3,0)</f>
        <v>20</v>
      </c>
      <c r="O82" s="41" t="str">
        <f t="shared" si="0"/>
        <v>Menor de 50 anos</v>
      </c>
      <c r="P82" s="42">
        <f>VLOOKUP(A82,Total_de_acoes!A:B,2,0)</f>
        <v>198184909</v>
      </c>
      <c r="Q82" s="43">
        <f t="shared" si="1"/>
        <v>-8.0700000000000008E-2</v>
      </c>
      <c r="R82" s="44">
        <f t="shared" si="2"/>
        <v>6.4396823670183831</v>
      </c>
      <c r="S82" s="45">
        <f t="shared" si="34"/>
        <v>-102993202.61644287</v>
      </c>
      <c r="T82" s="43" t="str">
        <f t="shared" si="4"/>
        <v>Desceu</v>
      </c>
      <c r="U82" s="46">
        <f t="shared" si="35"/>
        <v>-0.15909999999999999</v>
      </c>
      <c r="V82" s="47">
        <f t="shared" si="36"/>
        <v>7.0400761089309078</v>
      </c>
      <c r="W82" s="48">
        <f t="shared" si="37"/>
        <v>-221982181.72154608</v>
      </c>
      <c r="X82" s="46" t="str">
        <f t="shared" si="8"/>
        <v>Desceu</v>
      </c>
      <c r="Y82" s="43">
        <f t="shared" si="38"/>
        <v>-0.34</v>
      </c>
      <c r="Z82" s="44">
        <f t="shared" si="39"/>
        <v>8.9696969696969706</v>
      </c>
      <c r="AA82" s="45">
        <f t="shared" si="40"/>
        <v>-604403916.4169699</v>
      </c>
      <c r="AB82" s="43" t="str">
        <f t="shared" si="12"/>
        <v>Desceu</v>
      </c>
      <c r="AC82" s="49">
        <f t="shared" si="41"/>
        <v>-0.34</v>
      </c>
      <c r="AD82" s="50">
        <f t="shared" si="42"/>
        <v>8.9696969696969706</v>
      </c>
      <c r="AE82" s="48">
        <f t="shared" si="43"/>
        <v>-604403916.4169699</v>
      </c>
      <c r="AF82" s="51" t="str">
        <f t="shared" si="16"/>
        <v>Desceu</v>
      </c>
      <c r="AG82" s="52">
        <f t="shared" si="44"/>
        <v>-0.25440000000000002</v>
      </c>
      <c r="AH82" s="53">
        <f t="shared" si="45"/>
        <v>7.939914163090128</v>
      </c>
      <c r="AI82" s="45">
        <f t="shared" si="46"/>
        <v>-400316504.59982818</v>
      </c>
      <c r="AJ82" s="54" t="str">
        <f t="shared" si="20"/>
        <v>Desceu</v>
      </c>
    </row>
    <row r="83" spans="1:36" ht="14.25" customHeight="1" x14ac:dyDescent="0.25"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 spans="1:36" ht="14.25" customHeight="1" x14ac:dyDescent="0.25"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 spans="1:36" ht="14.25" customHeight="1" x14ac:dyDescent="0.25"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 spans="1:36" ht="14.25" customHeight="1" x14ac:dyDescent="0.25"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 spans="1:36" ht="14.25" customHeight="1" x14ac:dyDescent="0.25"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 spans="1:36" ht="14.25" customHeight="1" x14ac:dyDescent="0.25"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spans="1:36" ht="14.25" customHeight="1" x14ac:dyDescent="0.25"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spans="1:36" ht="14.25" customHeight="1" x14ac:dyDescent="0.25"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spans="1:36" ht="14.25" customHeight="1" x14ac:dyDescent="0.25"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spans="1:36" ht="14.25" customHeight="1" x14ac:dyDescent="0.25"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spans="1:36" ht="14.25" customHeight="1" x14ac:dyDescent="0.25"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spans="1:36" ht="14.25" customHeight="1" x14ac:dyDescent="0.25"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spans="1:36" ht="14.25" customHeight="1" x14ac:dyDescent="0.25"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spans="1:36" ht="14.25" customHeight="1" x14ac:dyDescent="0.25"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spans="12:28" ht="14.25" customHeight="1" x14ac:dyDescent="0.25"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 spans="12:28" ht="14.25" customHeight="1" x14ac:dyDescent="0.25"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spans="12:28" ht="14.25" customHeight="1" x14ac:dyDescent="0.25"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spans="12:28" ht="14.25" customHeight="1" x14ac:dyDescent="0.25"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spans="12:28" ht="14.25" customHeight="1" x14ac:dyDescent="0.25"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spans="12:28" ht="14.25" customHeight="1" x14ac:dyDescent="0.25"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spans="12:28" ht="14.25" customHeight="1" x14ac:dyDescent="0.25"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spans="12:28" ht="14.25" customHeight="1" x14ac:dyDescent="0.25"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spans="12:28" ht="14.25" customHeight="1" x14ac:dyDescent="0.25"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spans="12:28" ht="14.25" customHeight="1" x14ac:dyDescent="0.25"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 spans="12:28" ht="14.25" customHeight="1" x14ac:dyDescent="0.25"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 spans="12:28" ht="14.25" customHeight="1" x14ac:dyDescent="0.25"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 spans="12:28" ht="14.25" customHeight="1" x14ac:dyDescent="0.25"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 spans="12:28" ht="14.25" customHeight="1" x14ac:dyDescent="0.25"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 spans="12:28" ht="14.25" customHeight="1" x14ac:dyDescent="0.25"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spans="12:28" ht="14.25" customHeight="1" x14ac:dyDescent="0.25"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 spans="12:28" ht="14.25" customHeight="1" x14ac:dyDescent="0.25"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 spans="12:28" ht="14.25" customHeight="1" x14ac:dyDescent="0.25"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spans="12:28" ht="14.25" customHeight="1" x14ac:dyDescent="0.25"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 spans="12:28" ht="14.25" customHeight="1" x14ac:dyDescent="0.25"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12:28" ht="14.25" customHeight="1" x14ac:dyDescent="0.25"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 spans="12:28" ht="14.25" customHeight="1" x14ac:dyDescent="0.25"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 spans="12:28" ht="14.25" customHeight="1" x14ac:dyDescent="0.25"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 spans="12:28" ht="14.25" customHeight="1" x14ac:dyDescent="0.25"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spans="12:28" ht="14.25" customHeight="1" x14ac:dyDescent="0.25"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 spans="12:28" ht="14.25" customHeight="1" x14ac:dyDescent="0.25"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 spans="12:28" ht="14.25" customHeight="1" x14ac:dyDescent="0.25"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 spans="12:28" ht="14.25" customHeight="1" x14ac:dyDescent="0.25"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spans="12:28" ht="14.25" customHeight="1" x14ac:dyDescent="0.25"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spans="12:28" ht="14.25" customHeight="1" x14ac:dyDescent="0.25"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 spans="12:28" ht="14.25" customHeight="1" x14ac:dyDescent="0.25"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 spans="12:28" ht="14.25" customHeight="1" x14ac:dyDescent="0.25"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spans="12:28" ht="14.25" customHeight="1" x14ac:dyDescent="0.25"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spans="12:28" ht="14.25" customHeight="1" x14ac:dyDescent="0.25"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spans="12:28" ht="14.25" customHeight="1" x14ac:dyDescent="0.25"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spans="12:28" ht="14.25" customHeight="1" x14ac:dyDescent="0.25"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 spans="12:28" ht="14.25" customHeight="1" x14ac:dyDescent="0.25"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 spans="12:28" ht="14.25" customHeight="1" x14ac:dyDescent="0.25"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 spans="12:28" ht="14.25" customHeight="1" x14ac:dyDescent="0.25"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 spans="12:28" ht="14.25" customHeight="1" x14ac:dyDescent="0.25"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12:28" ht="14.25" customHeight="1" x14ac:dyDescent="0.25"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 spans="12:28" ht="14.25" customHeight="1" x14ac:dyDescent="0.25"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 spans="12:28" ht="14.25" customHeight="1" x14ac:dyDescent="0.25"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 spans="12:28" ht="14.25" customHeight="1" x14ac:dyDescent="0.25"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 spans="12:28" ht="14.25" customHeight="1" x14ac:dyDescent="0.25"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 spans="12:28" ht="14.25" customHeight="1" x14ac:dyDescent="0.25"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12:28" ht="14.25" customHeight="1" x14ac:dyDescent="0.25"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 spans="12:28" ht="14.25" customHeight="1" x14ac:dyDescent="0.25"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 spans="12:28" ht="14.25" customHeight="1" x14ac:dyDescent="0.25"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 spans="12:28" ht="14.25" customHeight="1" x14ac:dyDescent="0.25"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 spans="12:28" ht="14.25" customHeight="1" x14ac:dyDescent="0.25"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 spans="12:28" ht="14.25" customHeight="1" x14ac:dyDescent="0.25"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spans="12:28" ht="14.25" customHeight="1" x14ac:dyDescent="0.25"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 spans="12:28" ht="14.25" customHeight="1" x14ac:dyDescent="0.25"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 spans="12:28" ht="14.25" customHeight="1" x14ac:dyDescent="0.25"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 spans="12:28" ht="14.25" customHeight="1" x14ac:dyDescent="0.25"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 spans="12:28" ht="14.25" customHeight="1" x14ac:dyDescent="0.25"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 spans="12:28" ht="14.25" customHeight="1" x14ac:dyDescent="0.25"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 spans="12:28" ht="14.25" customHeight="1" x14ac:dyDescent="0.25"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 spans="12:28" ht="14.25" customHeight="1" x14ac:dyDescent="0.25"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 spans="12:28" ht="14.25" customHeight="1" x14ac:dyDescent="0.25"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 spans="12:28" ht="14.25" customHeight="1" x14ac:dyDescent="0.25"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2:28" ht="14.25" customHeight="1" x14ac:dyDescent="0.25"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 spans="12:28" ht="14.25" customHeight="1" x14ac:dyDescent="0.25"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 spans="12:28" ht="14.25" customHeight="1" x14ac:dyDescent="0.25"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 spans="12:28" ht="14.25" customHeight="1" x14ac:dyDescent="0.25"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 spans="12:28" ht="14.25" customHeight="1" x14ac:dyDescent="0.25"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 spans="12:28" ht="14.25" customHeight="1" x14ac:dyDescent="0.25"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2:28" ht="14.25" customHeight="1" x14ac:dyDescent="0.25"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 spans="12:28" ht="14.25" customHeight="1" x14ac:dyDescent="0.25"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 spans="12:28" ht="14.25" customHeight="1" x14ac:dyDescent="0.25"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 spans="12:28" ht="14.25" customHeight="1" x14ac:dyDescent="0.25"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2:28" ht="14.25" customHeight="1" x14ac:dyDescent="0.25"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 spans="12:28" ht="14.25" customHeight="1" x14ac:dyDescent="0.25"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 spans="12:28" ht="14.25" customHeight="1" x14ac:dyDescent="0.25"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 spans="12:28" ht="14.25" customHeight="1" x14ac:dyDescent="0.25"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2:28" ht="14.25" customHeight="1" x14ac:dyDescent="0.25"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 spans="12:28" ht="14.25" customHeight="1" x14ac:dyDescent="0.25"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2:28" ht="14.25" customHeight="1" x14ac:dyDescent="0.25"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 spans="12:28" ht="14.25" customHeight="1" x14ac:dyDescent="0.25"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spans="12:28" ht="14.25" customHeight="1" x14ac:dyDescent="0.25"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 spans="12:28" ht="14.25" customHeight="1" x14ac:dyDescent="0.25"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spans="12:28" ht="14.25" customHeight="1" x14ac:dyDescent="0.25"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2:28" ht="14.25" customHeight="1" x14ac:dyDescent="0.25"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spans="12:28" ht="14.25" customHeight="1" x14ac:dyDescent="0.25"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2:28" ht="14.25" customHeight="1" x14ac:dyDescent="0.25"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 spans="12:28" ht="14.25" customHeight="1" x14ac:dyDescent="0.25"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 spans="12:28" ht="14.25" customHeight="1" x14ac:dyDescent="0.25"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spans="12:28" ht="14.25" customHeight="1" x14ac:dyDescent="0.25"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 spans="12:28" ht="14.25" customHeight="1" x14ac:dyDescent="0.25"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2:28" ht="14.25" customHeight="1" x14ac:dyDescent="0.25"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 spans="12:28" ht="14.25" customHeight="1" x14ac:dyDescent="0.25"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 spans="12:28" ht="14.25" customHeight="1" x14ac:dyDescent="0.25"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 spans="12:28" ht="14.25" customHeight="1" x14ac:dyDescent="0.25"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 spans="12:28" ht="14.25" customHeight="1" x14ac:dyDescent="0.25"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 spans="12:28" ht="14.25" customHeight="1" x14ac:dyDescent="0.25"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 spans="12:28" ht="14.25" customHeight="1" x14ac:dyDescent="0.25"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 spans="12:28" ht="14.25" customHeight="1" x14ac:dyDescent="0.25"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 spans="12:28" ht="14.25" customHeight="1" x14ac:dyDescent="0.25"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 spans="12:28" ht="14.25" customHeight="1" x14ac:dyDescent="0.25"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 spans="12:28" ht="14.25" customHeight="1" x14ac:dyDescent="0.25"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 spans="12:28" ht="14.25" customHeight="1" x14ac:dyDescent="0.25"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2:28" ht="14.25" customHeight="1" x14ac:dyDescent="0.25"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 spans="12:28" ht="14.25" customHeight="1" x14ac:dyDescent="0.25"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2:28" ht="14.25" customHeight="1" x14ac:dyDescent="0.25"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 spans="12:28" ht="14.25" customHeight="1" x14ac:dyDescent="0.25"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 spans="12:28" ht="14.25" customHeight="1" x14ac:dyDescent="0.25"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 spans="12:28" ht="14.25" customHeight="1" x14ac:dyDescent="0.25"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 spans="12:28" ht="14.25" customHeight="1" x14ac:dyDescent="0.25"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 spans="12:28" ht="14.25" customHeight="1" x14ac:dyDescent="0.25"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 spans="12:28" ht="14.25" customHeight="1" x14ac:dyDescent="0.25"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2:28" ht="14.25" customHeight="1" x14ac:dyDescent="0.25"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 spans="12:28" ht="14.25" customHeight="1" x14ac:dyDescent="0.25"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 spans="12:28" ht="14.25" customHeight="1" x14ac:dyDescent="0.25"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 spans="12:28" ht="14.25" customHeight="1" x14ac:dyDescent="0.25"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 spans="12:28" ht="14.25" customHeight="1" x14ac:dyDescent="0.25"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 spans="12:28" ht="14.25" customHeight="1" x14ac:dyDescent="0.25"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 spans="12:28" ht="14.25" customHeight="1" x14ac:dyDescent="0.25"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 spans="12:28" ht="14.25" customHeight="1" x14ac:dyDescent="0.25"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 spans="12:28" ht="14.25" customHeight="1" x14ac:dyDescent="0.25"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 spans="12:28" ht="14.25" customHeight="1" x14ac:dyDescent="0.25"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2:28" ht="14.25" customHeight="1" x14ac:dyDescent="0.25"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 spans="12:28" ht="14.25" customHeight="1" x14ac:dyDescent="0.25"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 spans="12:28" ht="14.25" customHeight="1" x14ac:dyDescent="0.25"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 spans="12:28" ht="14.25" customHeight="1" x14ac:dyDescent="0.25"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 spans="12:28" ht="14.25" customHeight="1" x14ac:dyDescent="0.25"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 spans="12:28" ht="14.25" customHeight="1" x14ac:dyDescent="0.25"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 spans="12:28" ht="14.25" customHeight="1" x14ac:dyDescent="0.25"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 spans="12:28" ht="14.25" customHeight="1" x14ac:dyDescent="0.25"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 spans="12:28" ht="14.25" customHeight="1" x14ac:dyDescent="0.25"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 spans="12:28" ht="14.25" customHeight="1" x14ac:dyDescent="0.25"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 spans="12:28" ht="14.25" customHeight="1" x14ac:dyDescent="0.25"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 spans="12:28" ht="14.25" customHeight="1" x14ac:dyDescent="0.25"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 spans="12:28" ht="14.25" customHeight="1" x14ac:dyDescent="0.25"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 spans="12:28" ht="14.25" customHeight="1" x14ac:dyDescent="0.25"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 spans="12:28" ht="14.25" customHeight="1" x14ac:dyDescent="0.25"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 spans="12:28" ht="14.25" customHeight="1" x14ac:dyDescent="0.25"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 spans="12:28" ht="14.25" customHeight="1" x14ac:dyDescent="0.25"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 spans="12:28" ht="14.25" customHeight="1" x14ac:dyDescent="0.25"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 spans="12:28" ht="14.25" customHeight="1" x14ac:dyDescent="0.25"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 spans="12:28" ht="14.25" customHeight="1" x14ac:dyDescent="0.25"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 spans="12:28" ht="14.25" customHeight="1" x14ac:dyDescent="0.25"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 spans="12:28" ht="14.25" customHeight="1" x14ac:dyDescent="0.25"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 spans="12:28" ht="14.25" customHeight="1" x14ac:dyDescent="0.25"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 spans="12:28" ht="14.25" customHeight="1" x14ac:dyDescent="0.25"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 spans="12:28" ht="14.25" customHeight="1" x14ac:dyDescent="0.25"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 spans="12:28" ht="14.25" customHeight="1" x14ac:dyDescent="0.25"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 spans="12:28" ht="14.25" customHeight="1" x14ac:dyDescent="0.25"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 spans="12:28" ht="14.25" customHeight="1" x14ac:dyDescent="0.25"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 spans="12:28" ht="14.25" customHeight="1" x14ac:dyDescent="0.25"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 spans="12:28" ht="14.25" customHeight="1" x14ac:dyDescent="0.25"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 spans="12:28" ht="14.25" customHeight="1" x14ac:dyDescent="0.25"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 spans="12:28" ht="14.25" customHeight="1" x14ac:dyDescent="0.25"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 spans="12:28" ht="14.25" customHeight="1" x14ac:dyDescent="0.25"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 spans="12:28" ht="14.25" customHeight="1" x14ac:dyDescent="0.25"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 spans="12:28" ht="14.25" customHeight="1" x14ac:dyDescent="0.25"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 spans="12:28" ht="14.25" customHeight="1" x14ac:dyDescent="0.25"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 spans="12:28" ht="14.25" customHeight="1" x14ac:dyDescent="0.25"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 spans="12:28" ht="14.25" customHeight="1" x14ac:dyDescent="0.25"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 spans="12:28" ht="14.25" customHeight="1" x14ac:dyDescent="0.25"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 spans="12:28" ht="14.25" customHeight="1" x14ac:dyDescent="0.25"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 spans="12:28" ht="14.25" customHeight="1" x14ac:dyDescent="0.25"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 spans="12:28" ht="14.25" customHeight="1" x14ac:dyDescent="0.25"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 spans="12:28" ht="14.25" customHeight="1" x14ac:dyDescent="0.25"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 spans="12:28" ht="14.25" customHeight="1" x14ac:dyDescent="0.25"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 spans="12:28" ht="14.25" customHeight="1" x14ac:dyDescent="0.25"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 spans="12:28" ht="14.25" customHeight="1" x14ac:dyDescent="0.25"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 spans="12:28" ht="14.25" customHeight="1" x14ac:dyDescent="0.25"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 spans="12:28" ht="14.25" customHeight="1" x14ac:dyDescent="0.25"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 spans="12:28" ht="14.25" customHeight="1" x14ac:dyDescent="0.25"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 spans="12:28" ht="14.25" customHeight="1" x14ac:dyDescent="0.25"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 spans="12:28" ht="14.25" customHeight="1" x14ac:dyDescent="0.25"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 spans="12:28" ht="14.25" customHeight="1" x14ac:dyDescent="0.25"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 spans="12:28" ht="14.25" customHeight="1" x14ac:dyDescent="0.25"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 spans="12:28" ht="14.25" customHeight="1" x14ac:dyDescent="0.25"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 spans="12:28" ht="14.25" customHeight="1" x14ac:dyDescent="0.25"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 spans="12:28" ht="14.25" customHeight="1" x14ac:dyDescent="0.25"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 spans="12:28" ht="14.25" customHeight="1" x14ac:dyDescent="0.25"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 spans="12:28" ht="14.25" customHeight="1" x14ac:dyDescent="0.25"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 spans="12:28" ht="14.25" customHeight="1" x14ac:dyDescent="0.25"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 spans="12:28" ht="14.25" customHeight="1" x14ac:dyDescent="0.25"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 spans="12:28" ht="14.25" customHeight="1" x14ac:dyDescent="0.25"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 spans="12:28" ht="14.25" customHeight="1" x14ac:dyDescent="0.25"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 spans="12:28" ht="14.25" customHeight="1" x14ac:dyDescent="0.25"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 spans="12:28" ht="14.25" customHeight="1" x14ac:dyDescent="0.25"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 spans="12:28" ht="14.25" customHeight="1" x14ac:dyDescent="0.25"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 spans="12:28" ht="15.75" customHeight="1" x14ac:dyDescent="0.2"/>
    <row r="284" spans="12:28" ht="15.75" customHeight="1" x14ac:dyDescent="0.2"/>
    <row r="285" spans="12:28" ht="15.75" customHeight="1" x14ac:dyDescent="0.2"/>
    <row r="286" spans="12:28" ht="15.75" customHeight="1" x14ac:dyDescent="0.2"/>
    <row r="287" spans="12:28" ht="15.75" customHeight="1" x14ac:dyDescent="0.2"/>
    <row r="288" spans="12:2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AJ82" xr:uid="{00000000-0001-0000-0000-000000000000}"/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D254"/>
  <sheetViews>
    <sheetView zoomScale="80" zoomScaleNormal="80" workbookViewId="0">
      <selection activeCell="G74" sqref="G74"/>
    </sheetView>
  </sheetViews>
  <sheetFormatPr defaultColWidth="12.5703125" defaultRowHeight="13.5" x14ac:dyDescent="0.2"/>
  <cols>
    <col min="1" max="1" width="1.7109375" style="23" customWidth="1"/>
    <col min="2" max="2" width="24.85546875" style="23" bestFit="1" customWidth="1"/>
    <col min="3" max="3" width="21.7109375" style="23" customWidth="1"/>
    <col min="4" max="4" width="20.42578125" style="23" bestFit="1" customWidth="1"/>
    <col min="5" max="7" width="12.5703125" style="23" customWidth="1"/>
    <col min="8" max="16384" width="12.5703125" style="23"/>
  </cols>
  <sheetData>
    <row r="2" spans="2:4" x14ac:dyDescent="0.2">
      <c r="B2" s="24" t="s">
        <v>180</v>
      </c>
      <c r="C2" s="25">
        <f>MAX(Principal!S:S)</f>
        <v>4762926995.2480898</v>
      </c>
      <c r="D2" s="23" t="str">
        <f>_xlfn.XLOOKUP(C2,Principal!S:S,Principal!L:L)</f>
        <v>Vale</v>
      </c>
    </row>
    <row r="3" spans="2:4" x14ac:dyDescent="0.2">
      <c r="B3" s="24" t="s">
        <v>181</v>
      </c>
      <c r="C3" s="25">
        <f>MIN(Principal!S:S)</f>
        <v>-1807432634.4595425</v>
      </c>
      <c r="D3" s="23" t="str">
        <f>_xlfn.XLOOKUP(C3,Principal!S:S,Principal!L:L)</f>
        <v>Localiza</v>
      </c>
    </row>
    <row r="4" spans="2:4" x14ac:dyDescent="0.2">
      <c r="B4" s="24" t="s">
        <v>182</v>
      </c>
      <c r="C4" s="25">
        <f>AVERAGE(Principal!S:S)</f>
        <v>165190210.47934023</v>
      </c>
    </row>
    <row r="5" spans="2:4" x14ac:dyDescent="0.2">
      <c r="B5" s="24" t="s">
        <v>183</v>
      </c>
      <c r="C5" s="25">
        <f>AVERAGEIF(Principal!T:T,"Subiu",Principal!S:S)</f>
        <v>448164250.23049796</v>
      </c>
    </row>
    <row r="6" spans="2:4" x14ac:dyDescent="0.2">
      <c r="B6" s="24" t="s">
        <v>184</v>
      </c>
      <c r="C6" s="25">
        <f>AVERAGEIF(Principal!T:T,"Desceu",Principal!S:S)</f>
        <v>-181109141.75186712</v>
      </c>
    </row>
    <row r="7" spans="2:4" x14ac:dyDescent="0.2">
      <c r="C7" s="25"/>
    </row>
    <row r="8" spans="2:4" ht="27" x14ac:dyDescent="0.2">
      <c r="B8" s="26" t="str">
        <f ca="1">IFERROR(__xludf.DUMMYFUNCTION("UNIQUE(Principal!R:R)"),"Segmento")</f>
        <v>Segmento</v>
      </c>
      <c r="C8" s="27" t="s">
        <v>1109</v>
      </c>
      <c r="D8" s="31" t="s">
        <v>1110</v>
      </c>
    </row>
    <row r="9" spans="2:4" x14ac:dyDescent="0.2">
      <c r="B9" s="23" t="str">
        <f ca="1">IFERROR(__xludf.DUMMYFUNCTION("""COMPUTED_VALUE"""),"Bebidas")</f>
        <v>Bebidas</v>
      </c>
      <c r="C9" s="25">
        <f ca="1">SUMIF(Principal!M:M,B9,Principal!S:S)</f>
        <v>0</v>
      </c>
      <c r="D9" s="25">
        <f ca="1">SUMIFS(Principal!S:S,Principal!M:M,B9,Principal!T:T,"Subiu")</f>
        <v>0</v>
      </c>
    </row>
    <row r="10" spans="2:4" x14ac:dyDescent="0.2">
      <c r="B10" s="23" t="str">
        <f ca="1">IFERROR(__xludf.DUMMYFUNCTION("""COMPUTED_VALUE"""),"Seguros")</f>
        <v>Seguros</v>
      </c>
      <c r="C10" s="25">
        <f ca="1">SUMIF(Principal!M:M,B10,Principal!S:S)</f>
        <v>-26297880.209676646</v>
      </c>
      <c r="D10" s="25">
        <f ca="1">SUMIFS(Principal!S:S,Principal!M:M,B10,Principal!T:T,"Subiu")</f>
        <v>0</v>
      </c>
    </row>
    <row r="11" spans="2:4" x14ac:dyDescent="0.2">
      <c r="B11" s="23" t="str">
        <f ca="1">IFERROR(__xludf.DUMMYFUNCTION("""COMPUTED_VALUE"""),"Saneamento")</f>
        <v>Saneamento</v>
      </c>
      <c r="C11" s="25">
        <f ca="1">SUMIF(Principal!M:M,B11,Principal!S:S)</f>
        <v>-15725678.564115381</v>
      </c>
      <c r="D11" s="25">
        <f ca="1">SUMIFS(Principal!S:S,Principal!M:M,B11,Principal!T:T,"Subiu")</f>
        <v>0</v>
      </c>
    </row>
    <row r="12" spans="2:4" x14ac:dyDescent="0.2">
      <c r="B12" s="23" t="str">
        <f ca="1">IFERROR(__xludf.DUMMYFUNCTION("""COMPUTED_VALUE"""),"Automação")</f>
        <v>Automação</v>
      </c>
      <c r="C12" s="25">
        <f ca="1">SUMIF(Principal!M:M,B12,Principal!S:S)</f>
        <v>-118230410.43964578</v>
      </c>
      <c r="D12" s="25">
        <f ca="1">SUMIFS(Principal!S:S,Principal!M:M,B12,Principal!T:T,"Subiu")</f>
        <v>0</v>
      </c>
    </row>
    <row r="13" spans="2:4" x14ac:dyDescent="0.2">
      <c r="B13" s="23" t="str">
        <f ca="1">IFERROR(__xludf.DUMMYFUNCTION("""COMPUTED_VALUE"""),"Agronegócio")</f>
        <v>Agronegócio</v>
      </c>
      <c r="C13" s="25">
        <f ca="1">SUMIF(Principal!M:M,B13,Principal!S:S)</f>
        <v>-9468663.6817041729</v>
      </c>
      <c r="D13" s="25">
        <f ca="1">SUMIFS(Principal!S:S,Principal!M:M,B13,Principal!T:T,"Subiu")</f>
        <v>0</v>
      </c>
    </row>
    <row r="14" spans="2:4" x14ac:dyDescent="0.2">
      <c r="B14" s="23" t="str">
        <f ca="1">IFERROR(__xludf.DUMMYFUNCTION("""COMPUTED_VALUE"""),"Infraestrutura")</f>
        <v>Infraestrutura</v>
      </c>
      <c r="C14" s="25">
        <f ca="1">SUMIF(Principal!M:M,B14,Principal!S:S)</f>
        <v>-39743554.314914532</v>
      </c>
      <c r="D14" s="25">
        <f ca="1">SUMIFS(Principal!S:S,Principal!M:M,B14,Principal!T:T,"Subiu")</f>
        <v>0</v>
      </c>
    </row>
    <row r="15" spans="2:4" x14ac:dyDescent="0.2">
      <c r="B15" s="23" t="str">
        <f ca="1">IFERROR(__xludf.DUMMYFUNCTION("""COMPUTED_VALUE"""),"Aeronáutica")</f>
        <v>Aeronáutica</v>
      </c>
      <c r="C15" s="25">
        <f ca="1">SUMIF(Principal!M:M,B15,Principal!S:S)</f>
        <v>-233651943.49695757</v>
      </c>
      <c r="D15" s="25">
        <f ca="1">SUMIFS(Principal!S:S,Principal!M:M,B15,Principal!T:T,"Subiu")</f>
        <v>0</v>
      </c>
    </row>
    <row r="16" spans="2:4" x14ac:dyDescent="0.2">
      <c r="B16" s="23" t="str">
        <f ca="1">IFERROR(__xludf.DUMMYFUNCTION("""COMPUTED_VALUE"""),"Cosméticos")</f>
        <v>Cosméticos</v>
      </c>
      <c r="C16" s="25">
        <f ca="1">SUMIF(Principal!M:M,B16,Principal!S:S)</f>
        <v>-193280001.20849475</v>
      </c>
      <c r="D16" s="25">
        <f ca="1">SUMIFS(Principal!S:S,Principal!M:M,B16,Principal!T:T,"Subiu")</f>
        <v>0</v>
      </c>
    </row>
    <row r="17" spans="2:4" x14ac:dyDescent="0.2">
      <c r="B17" s="23" t="str">
        <f ca="1">IFERROR(__xludf.DUMMYFUNCTION("""COMPUTED_VALUE"""),"Bolsa de Valores")</f>
        <v>Bolsa de Valores</v>
      </c>
      <c r="C17" s="25">
        <f ca="1">SUMIF(Principal!M:M,B17,Principal!S:S)</f>
        <v>-1173785666.3607426</v>
      </c>
      <c r="D17" s="25">
        <f ca="1">SUMIFS(Principal!S:S,Principal!M:M,B17,Principal!T:T,"Subiu")</f>
        <v>0</v>
      </c>
    </row>
    <row r="18" spans="2:4" x14ac:dyDescent="0.2">
      <c r="B18" s="23" t="str">
        <f ca="1">IFERROR(__xludf.DUMMYFUNCTION("""COMPUTED_VALUE"""),"Farmacêutica")</f>
        <v>Farmacêutica</v>
      </c>
      <c r="C18" s="25">
        <f ca="1">SUMIF(Principal!M:M,B18,Principal!S:S)</f>
        <v>-208257014.19914994</v>
      </c>
      <c r="D18" s="25">
        <f ca="1">SUMIFS(Principal!S:S,Principal!M:M,B18,Principal!T:T,"Subiu")</f>
        <v>0</v>
      </c>
    </row>
    <row r="19" spans="2:4" x14ac:dyDescent="0.2">
      <c r="B19" s="23" t="str">
        <f ca="1">IFERROR(__xludf.DUMMYFUNCTION("""COMPUTED_VALUE"""),"Açúcar e Álcool")</f>
        <v>Açúcar e Álcool</v>
      </c>
      <c r="C19" s="25">
        <f ca="1">SUMIF(Principal!M:M,B19,Principal!S:S)</f>
        <v>-79432785.73975119</v>
      </c>
      <c r="D19" s="25">
        <f ca="1">SUMIFS(Principal!S:S,Principal!M:M,B19,Principal!T:T,"Subiu")</f>
        <v>0</v>
      </c>
    </row>
    <row r="20" spans="2:4" x14ac:dyDescent="0.2">
      <c r="B20" s="23" t="str">
        <f ca="1">IFERROR(__xludf.DUMMYFUNCTION("""COMPUTED_VALUE"""),"Aluguel de Carros")</f>
        <v>Aluguel de Carros</v>
      </c>
      <c r="C20" s="25">
        <f ca="1">SUMIF(Principal!M:M,B20,Principal!S:S)</f>
        <v>-1807432634.4595425</v>
      </c>
      <c r="D20" s="25">
        <f ca="1">SUMIFS(Principal!S:S,Principal!M:M,B20,Principal!T:T,"Subiu")</f>
        <v>0</v>
      </c>
    </row>
    <row r="21" spans="2:4" x14ac:dyDescent="0.2">
      <c r="B21" s="23" t="str">
        <f ca="1">IFERROR(__xludf.DUMMYFUNCTION("""COMPUTED_VALUE"""),"Turismo")</f>
        <v>Turismo</v>
      </c>
      <c r="C21" s="25">
        <f ca="1">SUMIF(Principal!M:M,B21,Principal!S:S)</f>
        <v>-73557408.055094168</v>
      </c>
      <c r="D21" s="25">
        <f ca="1">SUMIFS(Principal!S:S,Principal!M:M,B21,Principal!T:T,"Subiu")</f>
        <v>0</v>
      </c>
    </row>
    <row r="22" spans="2:4" x14ac:dyDescent="0.2">
      <c r="B22" s="23" t="str">
        <f ca="1">IFERROR(__xludf.DUMMYFUNCTION("""COMPUTED_VALUE"""),"Tecnologia")</f>
        <v>Tecnologia</v>
      </c>
      <c r="C22" s="25">
        <f ca="1">SUMIF(Principal!M:M,B22,Principal!S:S)</f>
        <v>6067508.9045804553</v>
      </c>
      <c r="D22" s="25">
        <f ca="1">SUMIFS(Principal!S:S,Principal!M:M,B22,Principal!T:T,"Subiu")</f>
        <v>15598886.650556229</v>
      </c>
    </row>
    <row r="23" spans="2:4" x14ac:dyDescent="0.2">
      <c r="B23" s="23" t="str">
        <f ca="1">IFERROR(__xludf.DUMMYFUNCTION("""COMPUTED_VALUE"""),"Imobiliário")</f>
        <v>Imobiliário</v>
      </c>
      <c r="C23" s="25">
        <f ca="1">SUMIF(Principal!M:M,B23,Principal!S:S)</f>
        <v>4400604.2695764694</v>
      </c>
      <c r="D23" s="25">
        <f ca="1">SUMIFS(Principal!S:S,Principal!M:M,B23,Principal!T:T,"Subiu")</f>
        <v>18068446.609983239</v>
      </c>
    </row>
    <row r="24" spans="2:4" x14ac:dyDescent="0.2">
      <c r="B24" s="23" t="str">
        <f ca="1">IFERROR(__xludf.DUMMYFUNCTION("""COMPUTED_VALUE"""),"Construção")</f>
        <v>Construção</v>
      </c>
      <c r="C24" s="25">
        <f ca="1">SUMIF(Principal!M:M,B24,Principal!S:S)</f>
        <v>-47419559.265660875</v>
      </c>
      <c r="D24" s="25">
        <f ca="1">SUMIFS(Principal!S:S,Principal!M:M,B24,Principal!T:T,"Subiu")</f>
        <v>37525872.377283879</v>
      </c>
    </row>
    <row r="25" spans="2:4" x14ac:dyDescent="0.2">
      <c r="B25" s="23" t="str">
        <f ca="1">IFERROR(__xludf.DUMMYFUNCTION("""COMPUTED_VALUE"""),"Moda")</f>
        <v>Moda</v>
      </c>
      <c r="C25" s="25">
        <f ca="1">SUMIF(Principal!M:M,B25,Principal!S:S)</f>
        <v>-24449852.200694498</v>
      </c>
      <c r="D25" s="25">
        <f ca="1">SUMIFS(Principal!S:S,Principal!M:M,B25,Principal!T:T,"Subiu")</f>
        <v>41021792.090771534</v>
      </c>
    </row>
    <row r="26" spans="2:4" x14ac:dyDescent="0.2">
      <c r="B26" s="23" t="str">
        <f ca="1">IFERROR(__xludf.DUMMYFUNCTION("""COMPUTED_VALUE"""),"Meios de Pagamento")</f>
        <v>Meios de Pagamento</v>
      </c>
      <c r="C26" s="25">
        <f ca="1">SUMIF(Principal!M:M,B26,Principal!S:S)</f>
        <v>43657683.375540853</v>
      </c>
      <c r="D26" s="25">
        <f ca="1">SUMIFS(Principal!S:S,Principal!M:M,B26,Principal!T:T,"Subiu")</f>
        <v>43657683.375540853</v>
      </c>
    </row>
    <row r="27" spans="2:4" x14ac:dyDescent="0.2">
      <c r="B27" s="23" t="str">
        <f ca="1">IFERROR(__xludf.DUMMYFUNCTION("""COMPUTED_VALUE"""),"Aviação")</f>
        <v>Aviação</v>
      </c>
      <c r="C27" s="25">
        <f ca="1">SUMIF(Principal!M:M,B27,Principal!S:S)</f>
        <v>-37540997.063642688</v>
      </c>
      <c r="D27" s="25">
        <f ca="1">SUMIFS(Principal!S:S,Principal!M:M,B27,Principal!T:T,"Subiu")</f>
        <v>65452205.552800186</v>
      </c>
    </row>
    <row r="28" spans="2:4" x14ac:dyDescent="0.2">
      <c r="B28" s="23" t="str">
        <f ca="1">IFERROR(__xludf.DUMMYFUNCTION("""COMPUTED_VALUE"""),"Química")</f>
        <v>Química</v>
      </c>
      <c r="C28" s="25">
        <f ca="1">SUMIF(Principal!M:M,B28,Principal!S:S)</f>
        <v>69054317.636038527</v>
      </c>
      <c r="D28" s="25">
        <f ca="1">SUMIFS(Principal!S:S,Principal!M:M,B28,Principal!T:T,"Subiu")</f>
        <v>69054317.636038527</v>
      </c>
    </row>
    <row r="29" spans="2:4" x14ac:dyDescent="0.2">
      <c r="B29" s="23" t="str">
        <f ca="1">IFERROR(__xludf.DUMMYFUNCTION("""COMPUTED_VALUE"""),"Educação")</f>
        <v>Educação</v>
      </c>
      <c r="C29" s="25">
        <f ca="1">SUMIF(Principal!M:M,B29,Principal!S:S)</f>
        <v>54641872.47123301</v>
      </c>
      <c r="D29" s="25">
        <f ca="1">SUMIFS(Principal!S:S,Principal!M:M,B29,Principal!T:T,"Subiu")</f>
        <v>72295838.986160949</v>
      </c>
    </row>
    <row r="30" spans="2:4" x14ac:dyDescent="0.2">
      <c r="B30" s="23" t="str">
        <f ca="1">IFERROR(__xludf.DUMMYFUNCTION("""COMPUTED_VALUE"""),"Shopping Centers")</f>
        <v>Shopping Centers</v>
      </c>
      <c r="C30" s="25">
        <f ca="1">SUMIF(Principal!M:M,B30,Principal!S:S)</f>
        <v>117732680.07842509</v>
      </c>
      <c r="D30" s="25">
        <f ca="1">SUMIFS(Principal!S:S,Principal!M:M,B30,Principal!T:T,"Subiu")</f>
        <v>117732680.07842509</v>
      </c>
    </row>
    <row r="31" spans="2:4" x14ac:dyDescent="0.2">
      <c r="B31" s="23" t="str">
        <f ca="1">IFERROR(__xludf.DUMMYFUNCTION("""COMPUTED_VALUE"""),"Logística")</f>
        <v>Logística</v>
      </c>
      <c r="C31" s="25">
        <f ca="1">SUMIF(Principal!M:M,B31,Principal!S:S)</f>
        <v>233902674.79257408</v>
      </c>
      <c r="D31" s="25">
        <f ca="1">SUMIFS(Principal!S:S,Principal!M:M,B31,Principal!T:T,"Subiu")</f>
        <v>233902674.79257408</v>
      </c>
    </row>
    <row r="32" spans="2:4" x14ac:dyDescent="0.2">
      <c r="B32" s="23" t="str">
        <f ca="1">IFERROR(__xludf.DUMMYFUNCTION("""COMPUTED_VALUE"""),"Varejo")</f>
        <v>Varejo</v>
      </c>
      <c r="C32" s="25">
        <f ca="1">SUMIF(Principal!M:M,B32,Principal!S:S)</f>
        <v>-556533527.56270194</v>
      </c>
      <c r="D32" s="25">
        <f ca="1">SUMIFS(Principal!S:S,Principal!M:M,B32,Principal!T:T,"Subiu")</f>
        <v>237187009.23736662</v>
      </c>
    </row>
    <row r="33" spans="2:4" x14ac:dyDescent="0.2">
      <c r="B33" s="23" t="str">
        <f ca="1">IFERROR(__xludf.DUMMYFUNCTION("""COMPUTED_VALUE"""),"Telecomunicações")</f>
        <v>Telecomunicações</v>
      </c>
      <c r="C33" s="25">
        <f ca="1">SUMIF(Principal!M:M,B33,Principal!S:S)</f>
        <v>256118562.08410802</v>
      </c>
      <c r="D33" s="25">
        <f ca="1">SUMIFS(Principal!S:S,Principal!M:M,B33,Principal!T:T,"Subiu")</f>
        <v>292938114.42357796</v>
      </c>
    </row>
    <row r="34" spans="2:4" x14ac:dyDescent="0.2">
      <c r="B34" s="23" t="str">
        <f ca="1">IFERROR(__xludf.DUMMYFUNCTION("""COMPUTED_VALUE"""),"Alimentos")</f>
        <v>Alimentos</v>
      </c>
      <c r="C34" s="25">
        <f ca="1">SUMIF(Principal!M:M,B34,Principal!S:S)</f>
        <v>407833683.0924499</v>
      </c>
      <c r="D34" s="25">
        <f ca="1">SUMIFS(Principal!S:S,Principal!M:M,B34,Principal!T:T,"Subiu")</f>
        <v>407833683.0924499</v>
      </c>
    </row>
    <row r="35" spans="2:4" x14ac:dyDescent="0.2">
      <c r="B35" s="23" t="str">
        <f ca="1">IFERROR(__xludf.DUMMYFUNCTION("""COMPUTED_VALUE"""),"Holding")</f>
        <v>Holding</v>
      </c>
      <c r="C35" s="25">
        <f ca="1">SUMIF(Principal!M:M,B35,Principal!S:S)</f>
        <v>416092244.42376298</v>
      </c>
      <c r="D35" s="25">
        <f ca="1">SUMIFS(Principal!S:S,Principal!M:M,B35,Principal!T:T,"Subiu")</f>
        <v>416092244.42376298</v>
      </c>
    </row>
    <row r="36" spans="2:4" x14ac:dyDescent="0.2">
      <c r="B36" s="23" t="str">
        <f ca="1">IFERROR(__xludf.DUMMYFUNCTION("""COMPUTED_VALUE"""),"Saúde")</f>
        <v>Saúde</v>
      </c>
      <c r="C36" s="25">
        <f ca="1">SUMIF(Principal!M:M,B36,Principal!S:S)</f>
        <v>60321469.882996619</v>
      </c>
      <c r="D36" s="25">
        <f ca="1">SUMIFS(Principal!S:S,Principal!M:M,B36,Principal!T:T,"Subiu")</f>
        <v>453917907.01323998</v>
      </c>
    </row>
    <row r="37" spans="2:4" x14ac:dyDescent="0.2">
      <c r="B37" s="23" t="str">
        <f ca="1">IFERROR(__xludf.DUMMYFUNCTION("""COMPUTED_VALUE"""),"Siderurgia")</f>
        <v>Siderurgia</v>
      </c>
      <c r="C37" s="25">
        <f ca="1">SUMIF(Principal!M:M,B37,Principal!S:S)</f>
        <v>489935930.92832291</v>
      </c>
      <c r="D37" s="25">
        <f ca="1">SUMIFS(Principal!S:S,Principal!M:M,B37,Principal!T:T,"Subiu")</f>
        <v>489935930.92832291</v>
      </c>
    </row>
    <row r="38" spans="2:4" x14ac:dyDescent="0.2">
      <c r="B38" s="23" t="str">
        <f ca="1">IFERROR(__xludf.DUMMYFUNCTION("""COMPUTED_VALUE"""),"Papel e Celulose")</f>
        <v>Papel e Celulose</v>
      </c>
      <c r="C38" s="25">
        <f ca="1">SUMIF(Principal!M:M,B38,Principal!S:S)</f>
        <v>722946282.7090385</v>
      </c>
      <c r="D38" s="25">
        <f ca="1">SUMIFS(Principal!S:S,Principal!M:M,B38,Principal!T:T,"Subiu")</f>
        <v>722946282.7090385</v>
      </c>
    </row>
    <row r="39" spans="2:4" x14ac:dyDescent="0.2">
      <c r="B39" s="23" t="str">
        <f ca="1">IFERROR(__xludf.DUMMYFUNCTION("""COMPUTED_VALUE"""),"Energia")</f>
        <v>Energia</v>
      </c>
      <c r="C39" s="25">
        <f ca="1">SUMIF(Principal!M:M,B39,Principal!S:S)</f>
        <v>368265294.40368199</v>
      </c>
      <c r="D39" s="25">
        <f ca="1">SUMIFS(Principal!S:S,Principal!M:M,B39,Principal!T:T,"Subiu")</f>
        <v>1209821623.5672963</v>
      </c>
    </row>
    <row r="40" spans="2:4" x14ac:dyDescent="0.2">
      <c r="B40" s="23" t="str">
        <f ca="1">IFERROR(__xludf.DUMMYFUNCTION("""COMPUTED_VALUE"""),"Banco")</f>
        <v>Banco</v>
      </c>
      <c r="C40" s="25">
        <f ca="1">SUMIF(Principal!M:M,B40,Principal!S:S)</f>
        <v>3740512018.7834516</v>
      </c>
      <c r="D40" s="25">
        <f ca="1">SUMIFS(Principal!S:S,Principal!M:M,B40,Principal!T:T,"Subiu")</f>
        <v>3740512018.7834516</v>
      </c>
    </row>
    <row r="41" spans="2:4" x14ac:dyDescent="0.2">
      <c r="B41" s="23" t="str">
        <f ca="1">IFERROR(__xludf.DUMMYFUNCTION("""COMPUTED_VALUE"""),"Mineração")</f>
        <v>Mineração</v>
      </c>
      <c r="C41" s="25">
        <f ca="1">SUMIF(Principal!M:M,B41,Principal!S:S)</f>
        <v>4940442965.5504341</v>
      </c>
      <c r="D41" s="25">
        <f ca="1">SUMIFS(Principal!S:S,Principal!M:M,B41,Principal!T:T,"Subiu")</f>
        <v>4940442965.5504341</v>
      </c>
    </row>
    <row r="42" spans="2:4" x14ac:dyDescent="0.2">
      <c r="B42" s="23" t="str">
        <f ca="1">IFERROR(__xludf.DUMMYFUNCTION("""COMPUTED_VALUE"""),"Petróleo")</f>
        <v>Petróleo</v>
      </c>
      <c r="C42" s="25">
        <f ca="1">SUMIF(Principal!M:M,B42,Principal!S:S)</f>
        <v>6093288832.2628355</v>
      </c>
      <c r="D42" s="25">
        <f ca="1">SUMIFS(Principal!S:S,Principal!M:M,B42,Principal!T:T,"Subiu")</f>
        <v>6093288832.2628355</v>
      </c>
    </row>
    <row r="43" spans="2:4" x14ac:dyDescent="0.2">
      <c r="C43" s="25"/>
    </row>
    <row r="44" spans="2:4" s="28" customFormat="1" ht="20.100000000000001" customHeight="1" x14ac:dyDescent="0.25">
      <c r="B44" s="29" t="str">
        <f ca="1">IFERROR(__xludf.DUMMYFUNCTION("UNIQUE(Principal!P:P)"),"Resultado")</f>
        <v>Resultado</v>
      </c>
      <c r="C44" s="30" t="s">
        <v>1109</v>
      </c>
    </row>
    <row r="45" spans="2:4" x14ac:dyDescent="0.2">
      <c r="B45" s="23" t="str">
        <f ca="1">IFERROR(__xludf.DUMMYFUNCTION("""COMPUTED_VALUE"""),"Subiu")</f>
        <v>Subiu</v>
      </c>
      <c r="C45" s="25">
        <f ca="1">SUMIF(Principal!T:T,B45,Principal!S:S)</f>
        <v>19719227010.141911</v>
      </c>
    </row>
    <row r="46" spans="2:4" x14ac:dyDescent="0.2">
      <c r="B46" s="23" t="str">
        <f ca="1">IFERROR(__xludf.DUMMYFUNCTION("""COMPUTED_VALUE"""),"Estável")</f>
        <v>Estável</v>
      </c>
      <c r="C46" s="25">
        <f ca="1">SUMIF(Principal!T:T,B46,Principal!S:S)</f>
        <v>0</v>
      </c>
    </row>
    <row r="47" spans="2:4" x14ac:dyDescent="0.2">
      <c r="B47" s="23" t="str">
        <f ca="1">IFERROR(__xludf.DUMMYFUNCTION("""COMPUTED_VALUE"""),"Desceu")</f>
        <v>Desceu</v>
      </c>
      <c r="C47" s="25">
        <f ca="1">SUMIF(Principal!T:T,B47,Principal!S:S)</f>
        <v>-6338819961.3153486</v>
      </c>
    </row>
    <row r="48" spans="2:4" x14ac:dyDescent="0.2">
      <c r="C48" s="25">
        <f ca="1">SUM(C45:C47)</f>
        <v>13380407048.826561</v>
      </c>
    </row>
    <row r="49" spans="2:4" x14ac:dyDescent="0.2">
      <c r="C49" s="25"/>
    </row>
    <row r="50" spans="2:4" x14ac:dyDescent="0.2">
      <c r="C50" s="25"/>
    </row>
    <row r="51" spans="2:4" x14ac:dyDescent="0.2">
      <c r="C51" s="25"/>
    </row>
    <row r="52" spans="2:4" s="28" customFormat="1" ht="20.100000000000001" customHeight="1" x14ac:dyDescent="0.25">
      <c r="B52" s="29" t="str">
        <f ca="1">"Análise por "&amp;IFERROR(__xludf.DUMMYFUNCTION("UNIQUE(Principal!T:T)"),"Faixa Etária")</f>
        <v>Análise por Faixa Etária</v>
      </c>
      <c r="C52" s="30" t="s">
        <v>1109</v>
      </c>
      <c r="D52" s="29" t="s">
        <v>1108</v>
      </c>
    </row>
    <row r="53" spans="2:4" x14ac:dyDescent="0.2">
      <c r="B53" s="23" t="str">
        <f ca="1">IFERROR(__xludf.DUMMYFUNCTION("""COMPUTED_VALUE"""),"Entre 50 e 100 anos")</f>
        <v>Entre 50 e 100 anos</v>
      </c>
      <c r="C53" s="25">
        <f ca="1">SUMIF(Principal!O:O,B53,Principal!S:S)</f>
        <v>11203676198.474773</v>
      </c>
      <c r="D53" s="23">
        <f ca="1">COUNTIF(Principal!O:O,B53)</f>
        <v>34</v>
      </c>
    </row>
    <row r="54" spans="2:4" x14ac:dyDescent="0.2">
      <c r="B54" s="23" t="str">
        <f ca="1">IFERROR(__xludf.DUMMYFUNCTION("""COMPUTED_VALUE"""),"Menor de 50 anos")</f>
        <v>Menor de 50 anos</v>
      </c>
      <c r="C54" s="25">
        <f ca="1">SUMIF(Principal!O:O,B54,Principal!S:S)</f>
        <v>2379139160.213974</v>
      </c>
      <c r="D54" s="23">
        <f ca="1">COUNTIF(Principal!O:O,B54)</f>
        <v>40</v>
      </c>
    </row>
    <row r="55" spans="2:4" x14ac:dyDescent="0.2">
      <c r="B55" s="23" t="str">
        <f ca="1">IFERROR(__xludf.DUMMYFUNCTION("""COMPUTED_VALUE"""),"Mais de 100 anos")</f>
        <v>Mais de 100 anos</v>
      </c>
      <c r="C55" s="25">
        <f ca="1">SUMIF(Principal!O:O,B55,Principal!S:S)</f>
        <v>-202408309.86218894</v>
      </c>
      <c r="D55" s="23">
        <f ca="1">COUNTIF(Principal!O:O,B55)</f>
        <v>7</v>
      </c>
    </row>
    <row r="56" spans="2:4" x14ac:dyDescent="0.2">
      <c r="C56" s="25"/>
    </row>
    <row r="57" spans="2:4" x14ac:dyDescent="0.2">
      <c r="C57" s="25"/>
    </row>
    <row r="58" spans="2:4" x14ac:dyDescent="0.2">
      <c r="C58" s="25"/>
    </row>
    <row r="59" spans="2:4" x14ac:dyDescent="0.2">
      <c r="C59" s="25"/>
    </row>
    <row r="60" spans="2:4" x14ac:dyDescent="0.2">
      <c r="C60" s="25"/>
    </row>
    <row r="61" spans="2:4" x14ac:dyDescent="0.2">
      <c r="C61" s="25"/>
    </row>
    <row r="62" spans="2:4" x14ac:dyDescent="0.2">
      <c r="C62" s="25"/>
    </row>
    <row r="63" spans="2:4" x14ac:dyDescent="0.2">
      <c r="C63" s="25"/>
    </row>
    <row r="64" spans="2:4" x14ac:dyDescent="0.2">
      <c r="C64" s="25"/>
    </row>
    <row r="65" spans="3:3" x14ac:dyDescent="0.2">
      <c r="C65" s="25"/>
    </row>
    <row r="66" spans="3:3" x14ac:dyDescent="0.2">
      <c r="C66" s="25"/>
    </row>
    <row r="67" spans="3:3" x14ac:dyDescent="0.2">
      <c r="C67" s="25"/>
    </row>
    <row r="68" spans="3:3" x14ac:dyDescent="0.2">
      <c r="C68" s="25"/>
    </row>
    <row r="69" spans="3:3" x14ac:dyDescent="0.2">
      <c r="C69" s="25"/>
    </row>
    <row r="70" spans="3:3" x14ac:dyDescent="0.2">
      <c r="C70" s="25"/>
    </row>
    <row r="71" spans="3:3" x14ac:dyDescent="0.2">
      <c r="C71" s="25"/>
    </row>
    <row r="72" spans="3:3" x14ac:dyDescent="0.2">
      <c r="C72" s="25"/>
    </row>
    <row r="73" spans="3:3" x14ac:dyDescent="0.2">
      <c r="C73" s="25"/>
    </row>
    <row r="74" spans="3:3" x14ac:dyDescent="0.2">
      <c r="C74" s="25"/>
    </row>
    <row r="75" spans="3:3" x14ac:dyDescent="0.2">
      <c r="C75" s="25"/>
    </row>
    <row r="76" spans="3:3" x14ac:dyDescent="0.2">
      <c r="C76" s="25"/>
    </row>
    <row r="77" spans="3:3" x14ac:dyDescent="0.2">
      <c r="C77" s="25"/>
    </row>
    <row r="78" spans="3:3" x14ac:dyDescent="0.2">
      <c r="C78" s="25"/>
    </row>
    <row r="79" spans="3:3" x14ac:dyDescent="0.2">
      <c r="C79" s="25"/>
    </row>
    <row r="80" spans="3:3" x14ac:dyDescent="0.2">
      <c r="C80" s="25"/>
    </row>
    <row r="81" spans="3:3" x14ac:dyDescent="0.2">
      <c r="C81" s="25"/>
    </row>
    <row r="82" spans="3:3" x14ac:dyDescent="0.2">
      <c r="C82" s="25"/>
    </row>
    <row r="83" spans="3:3" x14ac:dyDescent="0.2">
      <c r="C83" s="25"/>
    </row>
    <row r="84" spans="3:3" x14ac:dyDescent="0.2">
      <c r="C84" s="25"/>
    </row>
    <row r="85" spans="3:3" x14ac:dyDescent="0.2">
      <c r="C85" s="25"/>
    </row>
    <row r="86" spans="3:3" x14ac:dyDescent="0.2">
      <c r="C86" s="25"/>
    </row>
    <row r="87" spans="3:3" x14ac:dyDescent="0.2">
      <c r="C87" s="25"/>
    </row>
    <row r="88" spans="3:3" x14ac:dyDescent="0.2">
      <c r="C88" s="25"/>
    </row>
    <row r="89" spans="3:3" x14ac:dyDescent="0.2">
      <c r="C89" s="25"/>
    </row>
    <row r="90" spans="3:3" x14ac:dyDescent="0.2">
      <c r="C90" s="25"/>
    </row>
    <row r="91" spans="3:3" x14ac:dyDescent="0.2">
      <c r="C91" s="25"/>
    </row>
    <row r="92" spans="3:3" x14ac:dyDescent="0.2">
      <c r="C92" s="25"/>
    </row>
    <row r="93" spans="3:3" x14ac:dyDescent="0.2">
      <c r="C93" s="25"/>
    </row>
    <row r="94" spans="3:3" x14ac:dyDescent="0.2">
      <c r="C94" s="25"/>
    </row>
    <row r="95" spans="3:3" x14ac:dyDescent="0.2">
      <c r="C95" s="25"/>
    </row>
    <row r="96" spans="3:3" x14ac:dyDescent="0.2">
      <c r="C96" s="25"/>
    </row>
    <row r="97" spans="3:3" x14ac:dyDescent="0.2">
      <c r="C97" s="25"/>
    </row>
    <row r="98" spans="3:3" x14ac:dyDescent="0.2">
      <c r="C98" s="25"/>
    </row>
    <row r="99" spans="3:3" x14ac:dyDescent="0.2">
      <c r="C99" s="25"/>
    </row>
    <row r="100" spans="3:3" x14ac:dyDescent="0.2">
      <c r="C100" s="25"/>
    </row>
    <row r="101" spans="3:3" x14ac:dyDescent="0.2">
      <c r="C101" s="25"/>
    </row>
    <row r="102" spans="3:3" x14ac:dyDescent="0.2">
      <c r="C102" s="25"/>
    </row>
    <row r="103" spans="3:3" x14ac:dyDescent="0.2">
      <c r="C103" s="25"/>
    </row>
    <row r="104" spans="3:3" x14ac:dyDescent="0.2">
      <c r="C104" s="25"/>
    </row>
    <row r="105" spans="3:3" x14ac:dyDescent="0.2">
      <c r="C105" s="25"/>
    </row>
    <row r="106" spans="3:3" x14ac:dyDescent="0.2">
      <c r="C106" s="25"/>
    </row>
    <row r="107" spans="3:3" x14ac:dyDescent="0.2">
      <c r="C107" s="25"/>
    </row>
    <row r="108" spans="3:3" x14ac:dyDescent="0.2">
      <c r="C108" s="25"/>
    </row>
    <row r="109" spans="3:3" x14ac:dyDescent="0.2">
      <c r="C109" s="25"/>
    </row>
    <row r="110" spans="3:3" x14ac:dyDescent="0.2">
      <c r="C110" s="25"/>
    </row>
    <row r="111" spans="3:3" x14ac:dyDescent="0.2">
      <c r="C111" s="25"/>
    </row>
    <row r="112" spans="3:3" x14ac:dyDescent="0.2">
      <c r="C112" s="25"/>
    </row>
    <row r="113" spans="3:3" x14ac:dyDescent="0.2">
      <c r="C113" s="25"/>
    </row>
    <row r="114" spans="3:3" x14ac:dyDescent="0.2">
      <c r="C114" s="25"/>
    </row>
    <row r="115" spans="3:3" x14ac:dyDescent="0.2">
      <c r="C115" s="25"/>
    </row>
    <row r="116" spans="3:3" x14ac:dyDescent="0.2">
      <c r="C116" s="25"/>
    </row>
    <row r="117" spans="3:3" x14ac:dyDescent="0.2">
      <c r="C117" s="25"/>
    </row>
    <row r="118" spans="3:3" x14ac:dyDescent="0.2">
      <c r="C118" s="25"/>
    </row>
    <row r="119" spans="3:3" x14ac:dyDescent="0.2">
      <c r="C119" s="25"/>
    </row>
    <row r="120" spans="3:3" x14ac:dyDescent="0.2">
      <c r="C120" s="25"/>
    </row>
    <row r="121" spans="3:3" x14ac:dyDescent="0.2">
      <c r="C121" s="25"/>
    </row>
    <row r="122" spans="3:3" x14ac:dyDescent="0.2">
      <c r="C122" s="25"/>
    </row>
    <row r="123" spans="3:3" x14ac:dyDescent="0.2">
      <c r="C123" s="25"/>
    </row>
    <row r="124" spans="3:3" x14ac:dyDescent="0.2">
      <c r="C124" s="25"/>
    </row>
    <row r="125" spans="3:3" x14ac:dyDescent="0.2">
      <c r="C125" s="25"/>
    </row>
    <row r="126" spans="3:3" x14ac:dyDescent="0.2">
      <c r="C126" s="25"/>
    </row>
    <row r="127" spans="3:3" x14ac:dyDescent="0.2">
      <c r="C127" s="25"/>
    </row>
    <row r="128" spans="3:3" x14ac:dyDescent="0.2">
      <c r="C128" s="25"/>
    </row>
    <row r="129" spans="3:3" x14ac:dyDescent="0.2">
      <c r="C129" s="25"/>
    </row>
    <row r="130" spans="3:3" x14ac:dyDescent="0.2">
      <c r="C130" s="25"/>
    </row>
    <row r="131" spans="3:3" x14ac:dyDescent="0.2">
      <c r="C131" s="25"/>
    </row>
    <row r="132" spans="3:3" x14ac:dyDescent="0.2">
      <c r="C132" s="25"/>
    </row>
    <row r="133" spans="3:3" x14ac:dyDescent="0.2">
      <c r="C133" s="25"/>
    </row>
    <row r="134" spans="3:3" x14ac:dyDescent="0.2">
      <c r="C134" s="25"/>
    </row>
    <row r="135" spans="3:3" x14ac:dyDescent="0.2">
      <c r="C135" s="25"/>
    </row>
    <row r="136" spans="3:3" x14ac:dyDescent="0.2">
      <c r="C136" s="25"/>
    </row>
    <row r="137" spans="3:3" x14ac:dyDescent="0.2">
      <c r="C137" s="25"/>
    </row>
    <row r="138" spans="3:3" x14ac:dyDescent="0.2">
      <c r="C138" s="25"/>
    </row>
    <row r="139" spans="3:3" x14ac:dyDescent="0.2">
      <c r="C139" s="25"/>
    </row>
    <row r="140" spans="3:3" x14ac:dyDescent="0.2">
      <c r="C140" s="25"/>
    </row>
    <row r="141" spans="3:3" x14ac:dyDescent="0.2">
      <c r="C141" s="25"/>
    </row>
    <row r="142" spans="3:3" x14ac:dyDescent="0.2">
      <c r="C142" s="25"/>
    </row>
    <row r="143" spans="3:3" x14ac:dyDescent="0.2">
      <c r="C143" s="25"/>
    </row>
    <row r="144" spans="3:3" x14ac:dyDescent="0.2">
      <c r="C144" s="25"/>
    </row>
    <row r="145" spans="3:3" x14ac:dyDescent="0.2">
      <c r="C145" s="25"/>
    </row>
    <row r="146" spans="3:3" x14ac:dyDescent="0.2">
      <c r="C146" s="25"/>
    </row>
    <row r="147" spans="3:3" x14ac:dyDescent="0.2">
      <c r="C147" s="25"/>
    </row>
    <row r="148" spans="3:3" x14ac:dyDescent="0.2">
      <c r="C148" s="25"/>
    </row>
    <row r="149" spans="3:3" x14ac:dyDescent="0.2">
      <c r="C149" s="25"/>
    </row>
    <row r="150" spans="3:3" x14ac:dyDescent="0.2">
      <c r="C150" s="25"/>
    </row>
    <row r="151" spans="3:3" x14ac:dyDescent="0.2">
      <c r="C151" s="25"/>
    </row>
    <row r="152" spans="3:3" x14ac:dyDescent="0.2">
      <c r="C152" s="25"/>
    </row>
    <row r="153" spans="3:3" x14ac:dyDescent="0.2">
      <c r="C153" s="25"/>
    </row>
    <row r="154" spans="3:3" x14ac:dyDescent="0.2">
      <c r="C154" s="25"/>
    </row>
    <row r="155" spans="3:3" x14ac:dyDescent="0.2">
      <c r="C155" s="25"/>
    </row>
    <row r="156" spans="3:3" x14ac:dyDescent="0.2">
      <c r="C156" s="25"/>
    </row>
    <row r="157" spans="3:3" x14ac:dyDescent="0.2">
      <c r="C157" s="25"/>
    </row>
    <row r="158" spans="3:3" x14ac:dyDescent="0.2">
      <c r="C158" s="25"/>
    </row>
    <row r="159" spans="3:3" x14ac:dyDescent="0.2">
      <c r="C159" s="25"/>
    </row>
    <row r="160" spans="3:3" x14ac:dyDescent="0.2">
      <c r="C160" s="25"/>
    </row>
    <row r="161" spans="3:3" x14ac:dyDescent="0.2">
      <c r="C161" s="25"/>
    </row>
    <row r="162" spans="3:3" x14ac:dyDescent="0.2">
      <c r="C162" s="25"/>
    </row>
    <row r="163" spans="3:3" x14ac:dyDescent="0.2">
      <c r="C163" s="25"/>
    </row>
    <row r="164" spans="3:3" x14ac:dyDescent="0.2">
      <c r="C164" s="25"/>
    </row>
    <row r="165" spans="3:3" x14ac:dyDescent="0.2">
      <c r="C165" s="25"/>
    </row>
    <row r="166" spans="3:3" x14ac:dyDescent="0.2">
      <c r="C166" s="25"/>
    </row>
    <row r="167" spans="3:3" x14ac:dyDescent="0.2">
      <c r="C167" s="25"/>
    </row>
    <row r="168" spans="3:3" x14ac:dyDescent="0.2">
      <c r="C168" s="25"/>
    </row>
    <row r="169" spans="3:3" x14ac:dyDescent="0.2">
      <c r="C169" s="25"/>
    </row>
    <row r="170" spans="3:3" x14ac:dyDescent="0.2">
      <c r="C170" s="25"/>
    </row>
    <row r="171" spans="3:3" x14ac:dyDescent="0.2">
      <c r="C171" s="25"/>
    </row>
    <row r="172" spans="3:3" x14ac:dyDescent="0.2">
      <c r="C172" s="25"/>
    </row>
    <row r="173" spans="3:3" x14ac:dyDescent="0.2">
      <c r="C173" s="25"/>
    </row>
    <row r="174" spans="3:3" x14ac:dyDescent="0.2">
      <c r="C174" s="25"/>
    </row>
    <row r="175" spans="3:3" x14ac:dyDescent="0.2">
      <c r="C175" s="25"/>
    </row>
    <row r="176" spans="3:3" x14ac:dyDescent="0.2">
      <c r="C176" s="25"/>
    </row>
    <row r="177" spans="3:3" x14ac:dyDescent="0.2">
      <c r="C177" s="25"/>
    </row>
    <row r="178" spans="3:3" x14ac:dyDescent="0.2">
      <c r="C178" s="25"/>
    </row>
    <row r="179" spans="3:3" x14ac:dyDescent="0.2">
      <c r="C179" s="25"/>
    </row>
    <row r="180" spans="3:3" x14ac:dyDescent="0.2">
      <c r="C180" s="25"/>
    </row>
    <row r="181" spans="3:3" x14ac:dyDescent="0.2">
      <c r="C181" s="25"/>
    </row>
    <row r="182" spans="3:3" x14ac:dyDescent="0.2">
      <c r="C182" s="25"/>
    </row>
    <row r="183" spans="3:3" x14ac:dyDescent="0.2">
      <c r="C183" s="25"/>
    </row>
    <row r="184" spans="3:3" x14ac:dyDescent="0.2">
      <c r="C184" s="25"/>
    </row>
    <row r="185" spans="3:3" x14ac:dyDescent="0.2">
      <c r="C185" s="25"/>
    </row>
    <row r="186" spans="3:3" x14ac:dyDescent="0.2">
      <c r="C186" s="25"/>
    </row>
    <row r="187" spans="3:3" x14ac:dyDescent="0.2">
      <c r="C187" s="25"/>
    </row>
    <row r="188" spans="3:3" x14ac:dyDescent="0.2">
      <c r="C188" s="25"/>
    </row>
    <row r="189" spans="3:3" x14ac:dyDescent="0.2">
      <c r="C189" s="25"/>
    </row>
    <row r="190" spans="3:3" x14ac:dyDescent="0.2">
      <c r="C190" s="25"/>
    </row>
    <row r="191" spans="3:3" x14ac:dyDescent="0.2">
      <c r="C191" s="25"/>
    </row>
    <row r="192" spans="3:3" x14ac:dyDescent="0.2">
      <c r="C192" s="25"/>
    </row>
    <row r="193" spans="3:3" x14ac:dyDescent="0.2">
      <c r="C193" s="25"/>
    </row>
    <row r="194" spans="3:3" x14ac:dyDescent="0.2">
      <c r="C194" s="25"/>
    </row>
    <row r="195" spans="3:3" x14ac:dyDescent="0.2">
      <c r="C195" s="25"/>
    </row>
    <row r="196" spans="3:3" x14ac:dyDescent="0.2">
      <c r="C196" s="25"/>
    </row>
    <row r="197" spans="3:3" x14ac:dyDescent="0.2">
      <c r="C197" s="25"/>
    </row>
    <row r="198" spans="3:3" x14ac:dyDescent="0.2">
      <c r="C198" s="25"/>
    </row>
    <row r="199" spans="3:3" x14ac:dyDescent="0.2">
      <c r="C199" s="25"/>
    </row>
    <row r="200" spans="3:3" x14ac:dyDescent="0.2">
      <c r="C200" s="25"/>
    </row>
    <row r="201" spans="3:3" x14ac:dyDescent="0.2">
      <c r="C201" s="25"/>
    </row>
    <row r="202" spans="3:3" x14ac:dyDescent="0.2">
      <c r="C202" s="25"/>
    </row>
    <row r="203" spans="3:3" x14ac:dyDescent="0.2">
      <c r="C203" s="25"/>
    </row>
    <row r="204" spans="3:3" x14ac:dyDescent="0.2">
      <c r="C204" s="25"/>
    </row>
    <row r="205" spans="3:3" x14ac:dyDescent="0.2">
      <c r="C205" s="25"/>
    </row>
    <row r="206" spans="3:3" x14ac:dyDescent="0.2">
      <c r="C206" s="25"/>
    </row>
    <row r="207" spans="3:3" x14ac:dyDescent="0.2">
      <c r="C207" s="25"/>
    </row>
    <row r="208" spans="3:3" x14ac:dyDescent="0.2">
      <c r="C208" s="25"/>
    </row>
    <row r="209" spans="3:3" x14ac:dyDescent="0.2">
      <c r="C209" s="25"/>
    </row>
    <row r="210" spans="3:3" x14ac:dyDescent="0.2">
      <c r="C210" s="25"/>
    </row>
    <row r="211" spans="3:3" x14ac:dyDescent="0.2">
      <c r="C211" s="25"/>
    </row>
    <row r="212" spans="3:3" x14ac:dyDescent="0.2">
      <c r="C212" s="25"/>
    </row>
    <row r="213" spans="3:3" x14ac:dyDescent="0.2">
      <c r="C213" s="25"/>
    </row>
    <row r="214" spans="3:3" x14ac:dyDescent="0.2">
      <c r="C214" s="25"/>
    </row>
    <row r="215" spans="3:3" x14ac:dyDescent="0.2">
      <c r="C215" s="25"/>
    </row>
    <row r="216" spans="3:3" x14ac:dyDescent="0.2">
      <c r="C216" s="25"/>
    </row>
    <row r="217" spans="3:3" x14ac:dyDescent="0.2">
      <c r="C217" s="25"/>
    </row>
    <row r="218" spans="3:3" x14ac:dyDescent="0.2">
      <c r="C218" s="25"/>
    </row>
    <row r="219" spans="3:3" x14ac:dyDescent="0.2">
      <c r="C219" s="25"/>
    </row>
    <row r="220" spans="3:3" x14ac:dyDescent="0.2">
      <c r="C220" s="25"/>
    </row>
    <row r="221" spans="3:3" x14ac:dyDescent="0.2">
      <c r="C221" s="25"/>
    </row>
    <row r="222" spans="3:3" x14ac:dyDescent="0.2">
      <c r="C222" s="25"/>
    </row>
    <row r="223" spans="3:3" x14ac:dyDescent="0.2">
      <c r="C223" s="25"/>
    </row>
    <row r="224" spans="3:3" x14ac:dyDescent="0.2">
      <c r="C224" s="25"/>
    </row>
    <row r="225" spans="3:3" x14ac:dyDescent="0.2">
      <c r="C225" s="25"/>
    </row>
    <row r="226" spans="3:3" x14ac:dyDescent="0.2">
      <c r="C226" s="25"/>
    </row>
    <row r="227" spans="3:3" x14ac:dyDescent="0.2">
      <c r="C227" s="25"/>
    </row>
    <row r="228" spans="3:3" x14ac:dyDescent="0.2">
      <c r="C228" s="25"/>
    </row>
    <row r="229" spans="3:3" x14ac:dyDescent="0.2">
      <c r="C229" s="25"/>
    </row>
    <row r="230" spans="3:3" x14ac:dyDescent="0.2">
      <c r="C230" s="25"/>
    </row>
    <row r="231" spans="3:3" x14ac:dyDescent="0.2">
      <c r="C231" s="25"/>
    </row>
    <row r="232" spans="3:3" x14ac:dyDescent="0.2">
      <c r="C232" s="25"/>
    </row>
    <row r="233" spans="3:3" x14ac:dyDescent="0.2">
      <c r="C233" s="25"/>
    </row>
    <row r="234" spans="3:3" x14ac:dyDescent="0.2">
      <c r="C234" s="25"/>
    </row>
    <row r="235" spans="3:3" x14ac:dyDescent="0.2">
      <c r="C235" s="25"/>
    </row>
    <row r="236" spans="3:3" x14ac:dyDescent="0.2">
      <c r="C236" s="25"/>
    </row>
    <row r="237" spans="3:3" x14ac:dyDescent="0.2">
      <c r="C237" s="25"/>
    </row>
    <row r="238" spans="3:3" x14ac:dyDescent="0.2">
      <c r="C238" s="25"/>
    </row>
    <row r="239" spans="3:3" x14ac:dyDescent="0.2">
      <c r="C239" s="25"/>
    </row>
    <row r="240" spans="3:3" x14ac:dyDescent="0.2">
      <c r="C240" s="25"/>
    </row>
    <row r="241" spans="3:3" x14ac:dyDescent="0.2">
      <c r="C241" s="25"/>
    </row>
    <row r="242" spans="3:3" x14ac:dyDescent="0.2">
      <c r="C242" s="25"/>
    </row>
    <row r="243" spans="3:3" x14ac:dyDescent="0.2">
      <c r="C243" s="25"/>
    </row>
    <row r="244" spans="3:3" x14ac:dyDescent="0.2">
      <c r="C244" s="25"/>
    </row>
    <row r="245" spans="3:3" x14ac:dyDescent="0.2">
      <c r="C245" s="25"/>
    </row>
    <row r="246" spans="3:3" x14ac:dyDescent="0.2">
      <c r="C246" s="25"/>
    </row>
    <row r="247" spans="3:3" x14ac:dyDescent="0.2">
      <c r="C247" s="25"/>
    </row>
    <row r="248" spans="3:3" x14ac:dyDescent="0.2">
      <c r="C248" s="25"/>
    </row>
    <row r="249" spans="3:3" x14ac:dyDescent="0.2">
      <c r="C249" s="25"/>
    </row>
    <row r="250" spans="3:3" x14ac:dyDescent="0.2">
      <c r="C250" s="25"/>
    </row>
    <row r="251" spans="3:3" x14ac:dyDescent="0.2">
      <c r="C251" s="25"/>
    </row>
    <row r="252" spans="3:3" x14ac:dyDescent="0.2">
      <c r="C252" s="25"/>
    </row>
    <row r="253" spans="3:3" x14ac:dyDescent="0.2">
      <c r="C253" s="25"/>
    </row>
    <row r="254" spans="3:3" x14ac:dyDescent="0.2">
      <c r="C254" s="25"/>
    </row>
  </sheetData>
  <autoFilter ref="B8:D42" xr:uid="{00000000-0001-0000-0100-000000000000}">
    <sortState xmlns:xlrd2="http://schemas.microsoft.com/office/spreadsheetml/2017/richdata2" ref="B9:D42">
      <sortCondition ref="D8:D42"/>
    </sortState>
  </autoFilter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G15" sqref="G15"/>
    </sheetView>
  </sheetViews>
  <sheetFormatPr defaultColWidth="12.5703125" defaultRowHeight="15" customHeight="1" x14ac:dyDescent="0.25"/>
  <cols>
    <col min="1" max="1" width="16.140625" customWidth="1"/>
    <col min="2" max="2" width="15.28515625" customWidth="1"/>
    <col min="3" max="3" width="10.7109375" customWidth="1"/>
    <col min="4" max="6" width="12.5703125" customWidth="1"/>
  </cols>
  <sheetData>
    <row r="1" spans="1:26" ht="15" customHeight="1" x14ac:dyDescent="0.25">
      <c r="A1" s="3" t="s">
        <v>185</v>
      </c>
      <c r="B1" s="3" t="s">
        <v>13</v>
      </c>
      <c r="C1" s="3" t="s">
        <v>186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4" t="s">
        <v>187</v>
      </c>
      <c r="B2" s="4" t="s">
        <v>188</v>
      </c>
      <c r="C2" s="4">
        <v>60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4" t="s">
        <v>189</v>
      </c>
      <c r="B3" s="4" t="s">
        <v>190</v>
      </c>
      <c r="C3" s="4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5">
      <c r="A4" s="4" t="s">
        <v>191</v>
      </c>
      <c r="B4" s="4" t="s">
        <v>192</v>
      </c>
      <c r="C4" s="4">
        <v>69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25">
      <c r="A5" s="4" t="s">
        <v>193</v>
      </c>
      <c r="B5" s="4" t="s">
        <v>194</v>
      </c>
      <c r="C5" s="4">
        <v>94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4" t="s">
        <v>195</v>
      </c>
      <c r="B6" s="4" t="s">
        <v>196</v>
      </c>
      <c r="C6" s="4">
        <v>109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4" t="s">
        <v>197</v>
      </c>
      <c r="B7" s="4" t="s">
        <v>192</v>
      </c>
      <c r="C7" s="4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4" t="s">
        <v>191</v>
      </c>
      <c r="B8" s="4" t="s">
        <v>192</v>
      </c>
      <c r="C8" s="4">
        <v>69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4" t="s">
        <v>198</v>
      </c>
      <c r="B9" s="4" t="s">
        <v>190</v>
      </c>
      <c r="C9" s="4">
        <v>79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4" t="s">
        <v>199</v>
      </c>
      <c r="B10" s="4" t="s">
        <v>200</v>
      </c>
      <c r="C10" s="4">
        <v>48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4" t="s">
        <v>201</v>
      </c>
      <c r="B11" s="4" t="s">
        <v>202</v>
      </c>
      <c r="C11" s="4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4" t="s">
        <v>203</v>
      </c>
      <c r="B12" s="4" t="s">
        <v>204</v>
      </c>
      <c r="C12" s="4">
        <v>48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4" t="s">
        <v>205</v>
      </c>
      <c r="B13" s="4" t="s">
        <v>206</v>
      </c>
      <c r="C13" s="4">
        <v>19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4" t="s">
        <v>207</v>
      </c>
      <c r="B14" s="4" t="s">
        <v>208</v>
      </c>
      <c r="C14" s="4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4" t="s">
        <v>209</v>
      </c>
      <c r="B15" s="4" t="s">
        <v>192</v>
      </c>
      <c r="C15" s="4">
        <v>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4" t="s">
        <v>210</v>
      </c>
      <c r="B16" s="4" t="s">
        <v>196</v>
      </c>
      <c r="C16" s="4">
        <v>23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4" t="s">
        <v>211</v>
      </c>
      <c r="B17" s="4" t="s">
        <v>188</v>
      </c>
      <c r="C17" s="4">
        <v>80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4" t="s">
        <v>212</v>
      </c>
      <c r="B18" s="4" t="s">
        <v>213</v>
      </c>
      <c r="C18" s="4">
        <v>59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4" t="s">
        <v>214</v>
      </c>
      <c r="B19" s="4" t="s">
        <v>196</v>
      </c>
      <c r="C19" s="4">
        <v>83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4" t="s">
        <v>215</v>
      </c>
      <c r="B20" s="4" t="s">
        <v>216</v>
      </c>
      <c r="C20" s="4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4" t="s">
        <v>217</v>
      </c>
      <c r="B21" s="4" t="s">
        <v>218</v>
      </c>
      <c r="C21" s="4">
        <v>50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4" t="s">
        <v>219</v>
      </c>
      <c r="B22" s="4" t="s">
        <v>202</v>
      </c>
      <c r="C22" s="4">
        <v>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4" t="s">
        <v>220</v>
      </c>
      <c r="B23" s="4" t="s">
        <v>221</v>
      </c>
      <c r="C23" s="4">
        <v>29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4" t="s">
        <v>222</v>
      </c>
      <c r="B24" s="4" t="s">
        <v>223</v>
      </c>
      <c r="C24" s="4">
        <v>72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4" t="s">
        <v>224</v>
      </c>
      <c r="B25" s="4" t="s">
        <v>221</v>
      </c>
      <c r="C25" s="4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4" t="s">
        <v>225</v>
      </c>
      <c r="B26" s="4" t="s">
        <v>226</v>
      </c>
      <c r="C26" s="4">
        <v>18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4" t="s">
        <v>227</v>
      </c>
      <c r="B27" s="4" t="s">
        <v>228</v>
      </c>
      <c r="C27" s="4">
        <v>12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5">
      <c r="A28" s="4" t="s">
        <v>229</v>
      </c>
      <c r="B28" s="4" t="s">
        <v>230</v>
      </c>
      <c r="C28" s="4">
        <v>24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4" t="s">
        <v>231</v>
      </c>
      <c r="B29" s="4" t="s">
        <v>232</v>
      </c>
      <c r="C29" s="4">
        <v>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4" t="s">
        <v>233</v>
      </c>
      <c r="B30" s="4" t="s">
        <v>226</v>
      </c>
      <c r="C30" s="4">
        <v>25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4" t="s">
        <v>234</v>
      </c>
      <c r="B31" s="4" t="s">
        <v>235</v>
      </c>
      <c r="C31" s="4">
        <v>40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4" t="s">
        <v>236</v>
      </c>
      <c r="B32" s="4" t="s">
        <v>237</v>
      </c>
      <c r="C32" s="4">
        <v>24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4" t="s">
        <v>238</v>
      </c>
      <c r="B33" s="4" t="s">
        <v>192</v>
      </c>
      <c r="C33" s="4">
        <v>11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4" t="s">
        <v>239</v>
      </c>
      <c r="B34" s="4" t="s">
        <v>235</v>
      </c>
      <c r="C34" s="4">
        <v>54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4" t="s">
        <v>240</v>
      </c>
      <c r="B35" s="4" t="s">
        <v>202</v>
      </c>
      <c r="C35" s="4">
        <v>213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4" t="s">
        <v>241</v>
      </c>
      <c r="B36" s="4" t="s">
        <v>223</v>
      </c>
      <c r="C36" s="4">
        <v>117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4" t="s">
        <v>242</v>
      </c>
      <c r="B37" s="4" t="s">
        <v>188</v>
      </c>
      <c r="C37" s="4">
        <v>121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4" t="s">
        <v>243</v>
      </c>
      <c r="B38" s="4" t="s">
        <v>196</v>
      </c>
      <c r="C38" s="4">
        <v>84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4" t="s">
        <v>244</v>
      </c>
      <c r="B39" s="4" t="s">
        <v>221</v>
      </c>
      <c r="C39" s="4">
        <v>64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4" t="s">
        <v>245</v>
      </c>
      <c r="B40" s="4" t="s">
        <v>223</v>
      </c>
      <c r="C40" s="4">
        <v>64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4" t="s">
        <v>219</v>
      </c>
      <c r="B41" s="4" t="s">
        <v>202</v>
      </c>
      <c r="C41" s="4">
        <v>78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4" t="s">
        <v>246</v>
      </c>
      <c r="B42" s="4" t="s">
        <v>188</v>
      </c>
      <c r="C42" s="4">
        <v>121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4" t="s">
        <v>247</v>
      </c>
      <c r="B43" s="4" t="s">
        <v>196</v>
      </c>
      <c r="C43" s="4">
        <v>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4" t="s">
        <v>248</v>
      </c>
      <c r="B44" s="4" t="s">
        <v>196</v>
      </c>
      <c r="C44" s="4">
        <v>67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5">
      <c r="A45" s="4" t="s">
        <v>249</v>
      </c>
      <c r="B45" s="4" t="s">
        <v>228</v>
      </c>
      <c r="C45" s="4">
        <v>57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4" t="s">
        <v>250</v>
      </c>
      <c r="B46" s="4" t="s">
        <v>221</v>
      </c>
      <c r="C46" s="4">
        <v>16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4" t="s">
        <v>251</v>
      </c>
      <c r="B47" s="4" t="s">
        <v>252</v>
      </c>
      <c r="C47" s="4">
        <v>32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4" t="s">
        <v>253</v>
      </c>
      <c r="B48" s="4" t="s">
        <v>254</v>
      </c>
      <c r="C48" s="4">
        <v>11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5">
      <c r="A49" s="4" t="s">
        <v>255</v>
      </c>
      <c r="B49" s="4" t="s">
        <v>256</v>
      </c>
      <c r="C49" s="4">
        <v>47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A50" s="4" t="s">
        <v>257</v>
      </c>
      <c r="B50" s="4" t="s">
        <v>237</v>
      </c>
      <c r="C50" s="4">
        <v>55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5">
      <c r="A51" s="4" t="s">
        <v>258</v>
      </c>
      <c r="B51" s="4" t="s">
        <v>196</v>
      </c>
      <c r="C51" s="4">
        <v>69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customHeight="1" x14ac:dyDescent="0.25">
      <c r="A52" s="4" t="s">
        <v>259</v>
      </c>
      <c r="B52" s="4" t="s">
        <v>196</v>
      </c>
      <c r="C52" s="4">
        <v>64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customHeight="1" x14ac:dyDescent="0.25">
      <c r="A53" s="4" t="s">
        <v>260</v>
      </c>
      <c r="B53" s="4" t="s">
        <v>196</v>
      </c>
      <c r="C53" s="4">
        <v>17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 x14ac:dyDescent="0.25">
      <c r="A54" s="4" t="s">
        <v>261</v>
      </c>
      <c r="B54" s="4" t="s">
        <v>262</v>
      </c>
      <c r="C54" s="4">
        <v>59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customHeight="1" x14ac:dyDescent="0.25">
      <c r="A55" s="4" t="s">
        <v>263</v>
      </c>
      <c r="B55" s="4" t="s">
        <v>264</v>
      </c>
      <c r="C55" s="4">
        <v>46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customHeight="1" x14ac:dyDescent="0.25">
      <c r="A56" s="4" t="s">
        <v>127</v>
      </c>
      <c r="B56" s="4" t="s">
        <v>226</v>
      </c>
      <c r="C56" s="4">
        <v>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customHeight="1" x14ac:dyDescent="0.25">
      <c r="A57" s="4" t="s">
        <v>265</v>
      </c>
      <c r="B57" s="4" t="s">
        <v>266</v>
      </c>
      <c r="C57" s="4">
        <v>23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customHeight="1" x14ac:dyDescent="0.25">
      <c r="A58" s="4" t="s">
        <v>267</v>
      </c>
      <c r="B58" s="4" t="s">
        <v>213</v>
      </c>
      <c r="C58" s="4">
        <v>50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customHeight="1" x14ac:dyDescent="0.25">
      <c r="A59" s="4" t="s">
        <v>268</v>
      </c>
      <c r="B59" s="4" t="s">
        <v>196</v>
      </c>
      <c r="C59" s="4">
        <v>23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customHeight="1" x14ac:dyDescent="0.25">
      <c r="A60" s="4" t="s">
        <v>269</v>
      </c>
      <c r="B60" s="4" t="s">
        <v>196</v>
      </c>
      <c r="C60" s="4">
        <v>25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customHeight="1" x14ac:dyDescent="0.25">
      <c r="A61" s="4" t="s">
        <v>270</v>
      </c>
      <c r="B61" s="4" t="s">
        <v>196</v>
      </c>
      <c r="C61" s="4">
        <v>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customHeight="1" x14ac:dyDescent="0.25">
      <c r="A62" s="4" t="s">
        <v>271</v>
      </c>
      <c r="B62" s="4" t="s">
        <v>254</v>
      </c>
      <c r="C62" s="4">
        <v>83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customHeight="1" x14ac:dyDescent="0.25">
      <c r="A63" s="4" t="s">
        <v>259</v>
      </c>
      <c r="B63" s="4" t="s">
        <v>196</v>
      </c>
      <c r="C63" s="4">
        <v>64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customHeight="1" x14ac:dyDescent="0.25">
      <c r="A64" s="4" t="s">
        <v>272</v>
      </c>
      <c r="B64" s="4" t="s">
        <v>223</v>
      </c>
      <c r="C64" s="4">
        <v>9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customHeight="1" x14ac:dyDescent="0.25">
      <c r="A65" s="4" t="s">
        <v>273</v>
      </c>
      <c r="B65" s="4" t="s">
        <v>232</v>
      </c>
      <c r="C65" s="4">
        <v>42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customHeight="1" x14ac:dyDescent="0.25">
      <c r="A66" s="4" t="s">
        <v>274</v>
      </c>
      <c r="B66" s="4" t="s">
        <v>204</v>
      </c>
      <c r="C66" s="4">
        <v>95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customHeight="1" x14ac:dyDescent="0.25">
      <c r="A67" s="4" t="s">
        <v>275</v>
      </c>
      <c r="B67" s="4" t="s">
        <v>218</v>
      </c>
      <c r="C67" s="4">
        <v>17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customHeight="1" x14ac:dyDescent="0.25">
      <c r="A68" s="4" t="s">
        <v>276</v>
      </c>
      <c r="B68" s="4" t="s">
        <v>218</v>
      </c>
      <c r="C68" s="4">
        <v>113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customHeight="1" x14ac:dyDescent="0.25">
      <c r="A69" s="4" t="s">
        <v>277</v>
      </c>
      <c r="B69" s="4" t="s">
        <v>216</v>
      </c>
      <c r="C69" s="4">
        <v>58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customHeight="1" x14ac:dyDescent="0.25">
      <c r="A70" s="4" t="s">
        <v>278</v>
      </c>
      <c r="B70" s="4" t="s">
        <v>279</v>
      </c>
      <c r="C70" s="4">
        <v>53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customHeight="1" x14ac:dyDescent="0.25">
      <c r="A71" s="4" t="s">
        <v>280</v>
      </c>
      <c r="B71" s="4" t="s">
        <v>281</v>
      </c>
      <c r="C71" s="4">
        <v>54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customHeight="1" x14ac:dyDescent="0.25">
      <c r="A72" s="4" t="s">
        <v>282</v>
      </c>
      <c r="B72" s="4" t="s">
        <v>223</v>
      </c>
      <c r="C72" s="4">
        <v>49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customHeight="1" x14ac:dyDescent="0.25">
      <c r="A73" s="4" t="s">
        <v>283</v>
      </c>
      <c r="B73" s="4" t="s">
        <v>284</v>
      </c>
      <c r="C73" s="4">
        <v>126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customHeight="1" x14ac:dyDescent="0.25">
      <c r="A74" s="4" t="s">
        <v>285</v>
      </c>
      <c r="B74" s="4" t="s">
        <v>286</v>
      </c>
      <c r="C74" s="4">
        <v>61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customHeight="1" x14ac:dyDescent="0.25">
      <c r="A75" s="4" t="s">
        <v>287</v>
      </c>
      <c r="B75" s="4" t="s">
        <v>288</v>
      </c>
      <c r="C75" s="4">
        <v>82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customHeight="1" x14ac:dyDescent="0.25">
      <c r="A76" s="4" t="s">
        <v>289</v>
      </c>
      <c r="B76" s="4" t="s">
        <v>204</v>
      </c>
      <c r="C76" s="4">
        <v>45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customHeight="1" x14ac:dyDescent="0.25">
      <c r="A77" s="4" t="s">
        <v>290</v>
      </c>
      <c r="B77" s="4" t="s">
        <v>223</v>
      </c>
      <c r="C77" s="4">
        <v>54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customHeight="1" x14ac:dyDescent="0.25">
      <c r="A78" s="4" t="s">
        <v>291</v>
      </c>
      <c r="B78" s="4" t="s">
        <v>223</v>
      </c>
      <c r="C78" s="4">
        <v>37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customHeight="1" x14ac:dyDescent="0.25">
      <c r="A79" s="4" t="s">
        <v>292</v>
      </c>
      <c r="B79" s="4" t="s">
        <v>223</v>
      </c>
      <c r="C79" s="4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customHeight="1" x14ac:dyDescent="0.25">
      <c r="A80" s="4" t="s">
        <v>293</v>
      </c>
      <c r="B80" s="4" t="s">
        <v>294</v>
      </c>
      <c r="C80" s="4">
        <v>49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customHeight="1" x14ac:dyDescent="0.25">
      <c r="A81" s="4" t="s">
        <v>295</v>
      </c>
      <c r="B81" s="4" t="s">
        <v>296</v>
      </c>
      <c r="C81" s="4">
        <v>50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customHeight="1" x14ac:dyDescent="0.25">
      <c r="A82" s="4" t="s">
        <v>297</v>
      </c>
      <c r="B82" s="4" t="s">
        <v>208</v>
      </c>
      <c r="C82" s="4">
        <v>20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H17" sqref="H17"/>
    </sheetView>
  </sheetViews>
  <sheetFormatPr defaultColWidth="12.5703125" defaultRowHeight="15" customHeight="1" x14ac:dyDescent="0.25"/>
  <cols>
    <col min="1" max="1" width="18.42578125" customWidth="1"/>
    <col min="2" max="2" width="11.7109375" customWidth="1"/>
    <col min="3" max="6" width="8.5703125" customWidth="1"/>
  </cols>
  <sheetData>
    <row r="1" spans="1:26" ht="14.25" customHeight="1" x14ac:dyDescent="0.25">
      <c r="A1" s="5" t="s">
        <v>298</v>
      </c>
      <c r="B1" s="5" t="s">
        <v>299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s">
        <v>45</v>
      </c>
      <c r="B2" s="6">
        <v>235665566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s">
        <v>127</v>
      </c>
      <c r="B3" s="6">
        <v>532616595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150</v>
      </c>
      <c r="B4" s="6">
        <v>176733968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109</v>
      </c>
      <c r="B5" s="6">
        <v>4394245879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57</v>
      </c>
      <c r="B6" s="6">
        <v>62305891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158</v>
      </c>
      <c r="B7" s="6">
        <v>1349217892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s">
        <v>43</v>
      </c>
      <c r="B8" s="6">
        <v>327593725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160</v>
      </c>
      <c r="B9" s="6">
        <v>5602790110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111</v>
      </c>
      <c r="B10" s="6">
        <v>671750768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s">
        <v>97</v>
      </c>
      <c r="B11" s="6">
        <v>1500728902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s">
        <v>59</v>
      </c>
      <c r="B12" s="6">
        <v>5146576868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s">
        <v>77</v>
      </c>
      <c r="B13" s="6">
        <v>251003438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s">
        <v>85</v>
      </c>
      <c r="B14" s="6">
        <v>1420949112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s">
        <v>41</v>
      </c>
      <c r="B15" s="6">
        <v>265877867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s">
        <v>65</v>
      </c>
      <c r="B16" s="6">
        <v>1677525446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300</v>
      </c>
      <c r="B17" s="6">
        <v>1150645866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170</v>
      </c>
      <c r="B18" s="6">
        <v>533990587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172</v>
      </c>
      <c r="B19" s="6">
        <v>94843047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129</v>
      </c>
      <c r="B20" s="6">
        <v>995335937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117</v>
      </c>
      <c r="B21" s="6">
        <v>1437415777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s">
        <v>71</v>
      </c>
      <c r="B22" s="6">
        <v>1095462329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s">
        <v>131</v>
      </c>
      <c r="B23" s="6">
        <v>1814920980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103</v>
      </c>
      <c r="B24" s="6">
        <v>1679335290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91</v>
      </c>
      <c r="B25" s="6">
        <v>1168097881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27</v>
      </c>
      <c r="B26" s="6">
        <v>187732538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21</v>
      </c>
      <c r="B27" s="6">
        <v>1110559345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s">
        <v>176</v>
      </c>
      <c r="B28" s="6">
        <v>525582771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s">
        <v>152</v>
      </c>
      <c r="B29" s="6">
        <v>265784616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73</v>
      </c>
      <c r="B30" s="6">
        <v>302768240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 t="s">
        <v>141</v>
      </c>
      <c r="B31" s="6">
        <v>1980568384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 t="s">
        <v>119</v>
      </c>
      <c r="B32" s="6">
        <v>268544014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154</v>
      </c>
      <c r="B33" s="6">
        <v>734632705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 t="s">
        <v>301</v>
      </c>
      <c r="B34" s="6">
        <v>290386402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 t="s">
        <v>121</v>
      </c>
      <c r="B35" s="6">
        <v>1579130168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 t="s">
        <v>135</v>
      </c>
      <c r="B36" s="6">
        <v>255236961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 t="s">
        <v>47</v>
      </c>
      <c r="B37" s="6">
        <v>1095587251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 t="s">
        <v>145</v>
      </c>
      <c r="B38" s="6">
        <v>91514307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 t="s">
        <v>147</v>
      </c>
      <c r="B39" s="6">
        <v>240822651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 t="s">
        <v>99</v>
      </c>
      <c r="B40" s="6">
        <v>1118525506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 t="s">
        <v>89</v>
      </c>
      <c r="B41" s="6">
        <v>660411219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 t="s">
        <v>178</v>
      </c>
      <c r="B42" s="6">
        <v>198184909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 t="s">
        <v>156</v>
      </c>
      <c r="B43" s="6">
        <v>846244302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 t="s">
        <v>148</v>
      </c>
      <c r="B44" s="6">
        <v>496029967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 t="s">
        <v>166</v>
      </c>
      <c r="B45" s="6">
        <v>4394332306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 t="s">
        <v>162</v>
      </c>
      <c r="B46" s="6">
        <v>409490388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 t="s">
        <v>302</v>
      </c>
      <c r="B47" s="6">
        <v>217622138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 t="s">
        <v>139</v>
      </c>
      <c r="B48" s="6">
        <v>81838843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 t="s">
        <v>83</v>
      </c>
      <c r="B49" s="6">
        <v>5372783971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 t="s">
        <v>37</v>
      </c>
      <c r="B50" s="6">
        <v>4801593832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 t="s">
        <v>93</v>
      </c>
      <c r="B51" s="6">
        <v>1134986472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 t="s">
        <v>303</v>
      </c>
      <c r="B52" s="6">
        <v>706747385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 t="s">
        <v>174</v>
      </c>
      <c r="B53" s="6">
        <v>853202347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 t="s">
        <v>168</v>
      </c>
      <c r="B54" s="6">
        <v>951329770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 t="s">
        <v>79</v>
      </c>
      <c r="B55" s="6">
        <v>393173139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 t="s">
        <v>95</v>
      </c>
      <c r="B56" s="6">
        <v>2867627068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 t="s">
        <v>107</v>
      </c>
      <c r="B57" s="6">
        <v>331799687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 t="s">
        <v>61</v>
      </c>
      <c r="B58" s="6">
        <v>261036182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 t="s">
        <v>55</v>
      </c>
      <c r="B59" s="6">
        <v>376187582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 t="s">
        <v>35</v>
      </c>
      <c r="B60" s="6">
        <v>268505432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 t="s">
        <v>63</v>
      </c>
      <c r="B61" s="6">
        <v>159430826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 t="s">
        <v>23</v>
      </c>
      <c r="B62" s="6">
        <v>2379877655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 t="s">
        <v>31</v>
      </c>
      <c r="B63" s="6">
        <v>4566445852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 t="s">
        <v>81</v>
      </c>
      <c r="B64" s="6">
        <v>275005663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 t="s">
        <v>29</v>
      </c>
      <c r="B65" s="6">
        <v>800010734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 t="s">
        <v>143</v>
      </c>
      <c r="B66" s="6">
        <v>309729428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 t="s">
        <v>87</v>
      </c>
      <c r="B67" s="6">
        <v>1275798515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 t="s">
        <v>101</v>
      </c>
      <c r="B68" s="6">
        <v>1193047233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 t="s">
        <v>39</v>
      </c>
      <c r="B69" s="6">
        <v>1168230366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 t="s">
        <v>69</v>
      </c>
      <c r="B70" s="6">
        <v>1218352541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 t="s">
        <v>113</v>
      </c>
      <c r="B71" s="6">
        <v>340001799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 t="s">
        <v>304</v>
      </c>
      <c r="B72" s="6">
        <v>342918449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 t="s">
        <v>164</v>
      </c>
      <c r="B73" s="6">
        <v>142377330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 t="s">
        <v>49</v>
      </c>
      <c r="B74" s="6">
        <v>600865451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 t="s">
        <v>125</v>
      </c>
      <c r="B75" s="6">
        <v>195751130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 t="s">
        <v>25</v>
      </c>
      <c r="B76" s="6">
        <v>683452836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 t="s">
        <v>305</v>
      </c>
      <c r="B77" s="6">
        <v>218568234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 t="s">
        <v>67</v>
      </c>
      <c r="B78" s="6">
        <v>423091712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 t="s">
        <v>75</v>
      </c>
      <c r="B79" s="6">
        <v>807896814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 t="s">
        <v>115</v>
      </c>
      <c r="B80" s="6">
        <v>514122351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 t="s">
        <v>133</v>
      </c>
      <c r="B81" s="6">
        <v>395801044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 t="s">
        <v>53</v>
      </c>
      <c r="B82" s="6">
        <v>1086411192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 t="s">
        <v>19</v>
      </c>
      <c r="B83" s="6">
        <v>515117391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 t="s">
        <v>33</v>
      </c>
      <c r="B84" s="6">
        <v>4196924316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 t="s">
        <v>105</v>
      </c>
      <c r="B85" s="6">
        <v>421383330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 t="s">
        <v>137</v>
      </c>
      <c r="B86" s="6">
        <v>1114412532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 t="s">
        <v>123</v>
      </c>
      <c r="B87" s="6">
        <v>1481593024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 t="s">
        <v>51</v>
      </c>
      <c r="B88" s="6">
        <v>289347914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 t="s">
        <v>306</v>
      </c>
      <c r="B89" s="6">
        <v>96372098181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 t="s">
        <v>307</v>
      </c>
      <c r="B90" s="7">
        <v>17047850.7866643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F17" sqref="F17"/>
    </sheetView>
  </sheetViews>
  <sheetFormatPr defaultColWidth="12.5703125" defaultRowHeight="15" customHeight="1" x14ac:dyDescent="0.25"/>
  <cols>
    <col min="1" max="1" width="7.140625" customWidth="1"/>
    <col min="2" max="2" width="27" customWidth="1"/>
    <col min="3" max="6" width="8.5703125" customWidth="1"/>
  </cols>
  <sheetData>
    <row r="1" spans="1:26" ht="14.25" customHeight="1" x14ac:dyDescent="0.25">
      <c r="A1" s="5" t="s">
        <v>308</v>
      </c>
      <c r="B1" s="5" t="s">
        <v>309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s">
        <v>95</v>
      </c>
      <c r="B2" s="1" t="s">
        <v>245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s">
        <v>166</v>
      </c>
      <c r="B3" s="1" t="s">
        <v>289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31</v>
      </c>
      <c r="B4" s="1" t="s">
        <v>191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160</v>
      </c>
      <c r="B5" s="1" t="s">
        <v>283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19</v>
      </c>
      <c r="B6" s="1" t="s">
        <v>187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176</v>
      </c>
      <c r="B7" s="1" t="s">
        <v>295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s">
        <v>71</v>
      </c>
      <c r="B8" s="1" t="s">
        <v>229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33</v>
      </c>
      <c r="B9" s="1" t="s">
        <v>198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178</v>
      </c>
      <c r="B10" s="1" t="s">
        <v>297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s">
        <v>59</v>
      </c>
      <c r="B11" s="1" t="s">
        <v>219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s">
        <v>43</v>
      </c>
      <c r="B12" s="1" t="s">
        <v>207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s">
        <v>131</v>
      </c>
      <c r="B13" s="1" t="s">
        <v>267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s">
        <v>83</v>
      </c>
      <c r="B14" s="1" t="s">
        <v>239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s">
        <v>37</v>
      </c>
      <c r="B15" s="1" t="s">
        <v>201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s">
        <v>143</v>
      </c>
      <c r="B16" s="1" t="s">
        <v>272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55</v>
      </c>
      <c r="B17" s="1" t="s">
        <v>215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156</v>
      </c>
      <c r="B18" s="1" t="s">
        <v>280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168</v>
      </c>
      <c r="B19" s="1" t="s">
        <v>290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47</v>
      </c>
      <c r="B20" s="1" t="s">
        <v>210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174</v>
      </c>
      <c r="B21" s="1" t="s">
        <v>293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s">
        <v>310</v>
      </c>
      <c r="B22" s="1" t="s">
        <v>311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s">
        <v>312</v>
      </c>
      <c r="B23" s="1" t="s">
        <v>313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23</v>
      </c>
      <c r="B24" s="1" t="s">
        <v>191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79</v>
      </c>
      <c r="B25" s="1" t="s">
        <v>236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103</v>
      </c>
      <c r="B26" s="1" t="s">
        <v>248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314</v>
      </c>
      <c r="B27" s="1" t="s">
        <v>315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s">
        <v>148</v>
      </c>
      <c r="B28" s="1" t="s">
        <v>275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s">
        <v>85</v>
      </c>
      <c r="B29" s="1" t="s">
        <v>240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316</v>
      </c>
      <c r="B30" s="1" t="s">
        <v>317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 t="s">
        <v>69</v>
      </c>
      <c r="B31" s="1" t="s">
        <v>227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 t="s">
        <v>29</v>
      </c>
      <c r="B32" s="1" t="s">
        <v>197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318</v>
      </c>
      <c r="B33" s="1" t="s">
        <v>248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 t="s">
        <v>65</v>
      </c>
      <c r="B34" s="1" t="s">
        <v>224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 t="s">
        <v>109</v>
      </c>
      <c r="B35" s="1" t="s">
        <v>251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 t="s">
        <v>319</v>
      </c>
      <c r="B36" s="1" t="s">
        <v>320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 t="s">
        <v>321</v>
      </c>
      <c r="B37" s="1" t="s">
        <v>322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 t="s">
        <v>323</v>
      </c>
      <c r="B38" s="1" t="s">
        <v>324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 t="s">
        <v>49</v>
      </c>
      <c r="B39" s="1" t="s">
        <v>211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 t="s">
        <v>61</v>
      </c>
      <c r="B40" s="1" t="s">
        <v>220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 t="s">
        <v>158</v>
      </c>
      <c r="B41" s="1" t="s">
        <v>282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 t="s">
        <v>117</v>
      </c>
      <c r="B42" s="1" t="s">
        <v>258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 t="s">
        <v>325</v>
      </c>
      <c r="B43" s="1" t="s">
        <v>326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 t="s">
        <v>101</v>
      </c>
      <c r="B44" s="1" t="s">
        <v>247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 t="s">
        <v>63</v>
      </c>
      <c r="B45" s="1" t="s">
        <v>222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 t="s">
        <v>105</v>
      </c>
      <c r="B46" s="1" t="s">
        <v>249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 t="s">
        <v>99</v>
      </c>
      <c r="B47" s="1" t="s">
        <v>246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 t="s">
        <v>327</v>
      </c>
      <c r="B48" s="1" t="s">
        <v>328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 t="s">
        <v>21</v>
      </c>
      <c r="B49" s="1" t="s">
        <v>189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 t="s">
        <v>329</v>
      </c>
      <c r="B50" s="1" t="s">
        <v>330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 t="s">
        <v>331</v>
      </c>
      <c r="B51" s="1" t="s">
        <v>332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 t="s">
        <v>152</v>
      </c>
      <c r="B52" s="1" t="s">
        <v>277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 t="s">
        <v>333</v>
      </c>
      <c r="B53" s="1" t="s">
        <v>334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 t="s">
        <v>335</v>
      </c>
      <c r="B54" s="1" t="s">
        <v>322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 t="s">
        <v>107</v>
      </c>
      <c r="B55" s="1" t="s">
        <v>250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 t="s">
        <v>336</v>
      </c>
      <c r="B56" s="1" t="s">
        <v>337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 t="s">
        <v>87</v>
      </c>
      <c r="B57" s="1" t="s">
        <v>241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 t="s">
        <v>123</v>
      </c>
      <c r="B58" s="1" t="s">
        <v>261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 t="s">
        <v>53</v>
      </c>
      <c r="B59" s="1" t="s">
        <v>214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 t="s">
        <v>35</v>
      </c>
      <c r="B60" s="1" t="s">
        <v>199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 t="s">
        <v>89</v>
      </c>
      <c r="B61" s="1" t="s">
        <v>242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 t="s">
        <v>75</v>
      </c>
      <c r="B62" s="1" t="s">
        <v>233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 t="s">
        <v>338</v>
      </c>
      <c r="B63" s="1" t="s">
        <v>339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 t="s">
        <v>170</v>
      </c>
      <c r="B64" s="1" t="s">
        <v>291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 t="s">
        <v>57</v>
      </c>
      <c r="B65" s="1" t="s">
        <v>217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 t="s">
        <v>340</v>
      </c>
      <c r="B66" s="1" t="s">
        <v>341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 t="s">
        <v>162</v>
      </c>
      <c r="B67" s="1" t="s">
        <v>285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 t="s">
        <v>342</v>
      </c>
      <c r="B68" s="1" t="s">
        <v>343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 t="s">
        <v>97</v>
      </c>
      <c r="B69" s="1" t="s">
        <v>219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 t="s">
        <v>51</v>
      </c>
      <c r="B70" s="1" t="s">
        <v>212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 t="s">
        <v>344</v>
      </c>
      <c r="B71" s="1" t="s">
        <v>345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 t="s">
        <v>172</v>
      </c>
      <c r="B72" s="1" t="s">
        <v>292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 t="s">
        <v>25</v>
      </c>
      <c r="B73" s="1" t="s">
        <v>193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 t="s">
        <v>346</v>
      </c>
      <c r="B74" s="1" t="s">
        <v>347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 t="s">
        <v>77</v>
      </c>
      <c r="B75" s="1" t="s">
        <v>234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 t="s">
        <v>348</v>
      </c>
      <c r="B76" s="1" t="s">
        <v>349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 t="s">
        <v>111</v>
      </c>
      <c r="B77" s="1" t="s">
        <v>253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 t="s">
        <v>350</v>
      </c>
      <c r="B78" s="1" t="s">
        <v>351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 t="s">
        <v>352</v>
      </c>
      <c r="B79" s="1" t="s">
        <v>353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 t="s">
        <v>354</v>
      </c>
      <c r="B80" s="1" t="s">
        <v>355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 t="s">
        <v>356</v>
      </c>
      <c r="B81" s="1" t="s">
        <v>357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 t="s">
        <v>73</v>
      </c>
      <c r="B82" s="1" t="s">
        <v>231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 t="s">
        <v>45</v>
      </c>
      <c r="B83" s="1" t="s">
        <v>209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 t="s">
        <v>154</v>
      </c>
      <c r="B84" s="1" t="s">
        <v>278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 t="s">
        <v>141</v>
      </c>
      <c r="B85" s="1" t="s">
        <v>259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 t="s">
        <v>39</v>
      </c>
      <c r="B86" s="1" t="s">
        <v>203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 t="s">
        <v>164</v>
      </c>
      <c r="B87" s="1" t="s">
        <v>287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 t="s">
        <v>358</v>
      </c>
      <c r="B88" s="1" t="s">
        <v>359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 t="s">
        <v>360</v>
      </c>
      <c r="B89" s="1" t="s">
        <v>361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 t="s">
        <v>137</v>
      </c>
      <c r="B90" s="1" t="s">
        <v>270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 t="s">
        <v>362</v>
      </c>
      <c r="B91" s="1" t="s">
        <v>363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 t="s">
        <v>121</v>
      </c>
      <c r="B92" s="1" t="s">
        <v>260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 t="s">
        <v>81</v>
      </c>
      <c r="B93" s="1" t="s">
        <v>238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 t="s">
        <v>364</v>
      </c>
      <c r="B94" s="1" t="s">
        <v>365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 t="s">
        <v>129</v>
      </c>
      <c r="B95" s="1" t="s">
        <v>265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 t="s">
        <v>91</v>
      </c>
      <c r="B96" s="1" t="s">
        <v>243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 t="s">
        <v>41</v>
      </c>
      <c r="B97" s="1" t="s">
        <v>205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 t="s">
        <v>366</v>
      </c>
      <c r="B98" s="1" t="s">
        <v>367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 t="s">
        <v>147</v>
      </c>
      <c r="B99" s="1" t="s">
        <v>274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 t="s">
        <v>368</v>
      </c>
      <c r="B100" s="1" t="s">
        <v>369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 t="s">
        <v>370</v>
      </c>
      <c r="B101" s="1" t="s">
        <v>371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 t="s">
        <v>27</v>
      </c>
      <c r="B102" s="1" t="s">
        <v>195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 t="s">
        <v>372</v>
      </c>
      <c r="B103" s="1" t="s">
        <v>373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 t="s">
        <v>374</v>
      </c>
      <c r="B104" s="1" t="s">
        <v>187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 t="s">
        <v>139</v>
      </c>
      <c r="B105" s="1" t="s">
        <v>271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 t="s">
        <v>375</v>
      </c>
      <c r="B106" s="1" t="s">
        <v>376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 t="s">
        <v>377</v>
      </c>
      <c r="B107" s="1" t="s">
        <v>378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 t="s">
        <v>93</v>
      </c>
      <c r="B108" s="1" t="s">
        <v>244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 t="s">
        <v>113</v>
      </c>
      <c r="B109" s="1" t="s">
        <v>255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 t="s">
        <v>379</v>
      </c>
      <c r="B110" s="1" t="s">
        <v>380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 t="s">
        <v>150</v>
      </c>
      <c r="B111" s="1" t="s">
        <v>276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 t="s">
        <v>125</v>
      </c>
      <c r="B112" s="1" t="s">
        <v>263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 t="s">
        <v>381</v>
      </c>
      <c r="B113" s="1" t="s">
        <v>382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 t="s">
        <v>383</v>
      </c>
      <c r="B114" s="1" t="s">
        <v>384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 t="s">
        <v>127</v>
      </c>
      <c r="B115" s="1" t="s">
        <v>127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 t="s">
        <v>145</v>
      </c>
      <c r="B116" s="1" t="s">
        <v>273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 t="s">
        <v>115</v>
      </c>
      <c r="B117" s="1" t="s">
        <v>257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 t="s">
        <v>385</v>
      </c>
      <c r="B118" s="1" t="s">
        <v>386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 t="s">
        <v>387</v>
      </c>
      <c r="B119" s="1" t="s">
        <v>388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 t="s">
        <v>389</v>
      </c>
      <c r="B120" s="1" t="s">
        <v>390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 t="s">
        <v>67</v>
      </c>
      <c r="B121" s="1" t="s">
        <v>225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 t="s">
        <v>391</v>
      </c>
      <c r="B122" s="1" t="s">
        <v>392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 t="s">
        <v>393</v>
      </c>
      <c r="B123" s="1" t="s">
        <v>394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 t="s">
        <v>395</v>
      </c>
      <c r="B124" s="1" t="s">
        <v>396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 t="s">
        <v>397</v>
      </c>
      <c r="B125" s="1" t="s">
        <v>398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 t="s">
        <v>399</v>
      </c>
      <c r="B126" s="1" t="s">
        <v>400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 t="s">
        <v>401</v>
      </c>
      <c r="B127" s="1" t="s">
        <v>402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 t="s">
        <v>403</v>
      </c>
      <c r="B128" s="1" t="s">
        <v>404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 t="s">
        <v>405</v>
      </c>
      <c r="B129" s="1" t="s">
        <v>406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 t="s">
        <v>133</v>
      </c>
      <c r="B130" s="1" t="s">
        <v>268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 t="s">
        <v>135</v>
      </c>
      <c r="B131" s="1" t="s">
        <v>269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 t="s">
        <v>407</v>
      </c>
      <c r="B132" s="1" t="s">
        <v>408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 t="s">
        <v>409</v>
      </c>
      <c r="B133" s="1" t="s">
        <v>410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 t="s">
        <v>411</v>
      </c>
      <c r="B134" s="1" t="s">
        <v>412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 t="s">
        <v>413</v>
      </c>
      <c r="B135" s="1" t="s">
        <v>414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 t="s">
        <v>415</v>
      </c>
      <c r="B136" s="1" t="s">
        <v>416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 t="s">
        <v>417</v>
      </c>
      <c r="B137" s="1" t="s">
        <v>418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 t="s">
        <v>419</v>
      </c>
      <c r="B138" s="1" t="s">
        <v>420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 t="s">
        <v>421</v>
      </c>
      <c r="B139" s="1" t="s">
        <v>422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 t="s">
        <v>423</v>
      </c>
      <c r="B140" s="1" t="s">
        <v>424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 t="s">
        <v>425</v>
      </c>
      <c r="B141" s="1" t="s">
        <v>426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 t="s">
        <v>427</v>
      </c>
      <c r="B142" s="1" t="s">
        <v>428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 t="s">
        <v>429</v>
      </c>
      <c r="B143" s="1" t="s">
        <v>430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 t="s">
        <v>431</v>
      </c>
      <c r="B144" s="1" t="s">
        <v>432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 t="s">
        <v>433</v>
      </c>
      <c r="B145" s="1" t="s">
        <v>433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 t="s">
        <v>434</v>
      </c>
      <c r="B146" s="1" t="s">
        <v>435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 t="s">
        <v>436</v>
      </c>
      <c r="B147" s="1" t="s">
        <v>437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 t="s">
        <v>438</v>
      </c>
      <c r="B148" s="1" t="s">
        <v>439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 t="s">
        <v>440</v>
      </c>
      <c r="B149" s="1" t="s">
        <v>201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 t="s">
        <v>441</v>
      </c>
      <c r="B150" s="1" t="s">
        <v>442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 t="s">
        <v>443</v>
      </c>
      <c r="B151" s="1" t="s">
        <v>444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 t="s">
        <v>445</v>
      </c>
      <c r="B152" s="1" t="s">
        <v>446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 t="s">
        <v>447</v>
      </c>
      <c r="B153" s="1" t="s">
        <v>448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 t="s">
        <v>449</v>
      </c>
      <c r="B154" s="1" t="s">
        <v>450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 t="s">
        <v>451</v>
      </c>
      <c r="B155" s="1" t="s">
        <v>452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 t="s">
        <v>453</v>
      </c>
      <c r="B156" s="1" t="s">
        <v>454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 t="s">
        <v>455</v>
      </c>
      <c r="B157" s="1" t="s">
        <v>456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 t="s">
        <v>457</v>
      </c>
      <c r="B158" s="1" t="s">
        <v>458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 t="s">
        <v>459</v>
      </c>
      <c r="B159" s="1" t="s">
        <v>460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 t="s">
        <v>461</v>
      </c>
      <c r="B160" s="1" t="s">
        <v>462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 t="s">
        <v>463</v>
      </c>
      <c r="B161" s="1" t="s">
        <v>464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 t="s">
        <v>465</v>
      </c>
      <c r="B162" s="1" t="s">
        <v>466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 t="s">
        <v>467</v>
      </c>
      <c r="B163" s="1" t="s">
        <v>468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 t="s">
        <v>469</v>
      </c>
      <c r="B164" s="1" t="s">
        <v>470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 t="s">
        <v>471</v>
      </c>
      <c r="B165" s="1" t="s">
        <v>472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 t="s">
        <v>473</v>
      </c>
      <c r="B166" s="1" t="s">
        <v>474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 t="s">
        <v>475</v>
      </c>
      <c r="B167" s="1" t="s">
        <v>476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 t="s">
        <v>477</v>
      </c>
      <c r="B168" s="1" t="s">
        <v>478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 t="s">
        <v>479</v>
      </c>
      <c r="B169" s="1" t="s">
        <v>480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 t="s">
        <v>481</v>
      </c>
      <c r="B170" s="1" t="s">
        <v>482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 t="s">
        <v>483</v>
      </c>
      <c r="B171" s="1" t="s">
        <v>484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 t="s">
        <v>485</v>
      </c>
      <c r="B172" s="1" t="s">
        <v>258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 t="s">
        <v>119</v>
      </c>
      <c r="B173" s="1" t="s">
        <v>259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 t="s">
        <v>486</v>
      </c>
      <c r="B174" s="1" t="s">
        <v>487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 t="s">
        <v>488</v>
      </c>
      <c r="B175" s="1" t="s">
        <v>489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 t="s">
        <v>490</v>
      </c>
      <c r="B176" s="1" t="s">
        <v>491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 t="s">
        <v>492</v>
      </c>
      <c r="B177" s="1" t="s">
        <v>493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 t="s">
        <v>494</v>
      </c>
      <c r="B178" s="1" t="s">
        <v>495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 t="s">
        <v>496</v>
      </c>
      <c r="B179" s="1" t="s">
        <v>497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 t="s">
        <v>498</v>
      </c>
      <c r="B180" s="1" t="s">
        <v>380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 t="s">
        <v>499</v>
      </c>
      <c r="B181" s="1" t="s">
        <v>500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 t="s">
        <v>501</v>
      </c>
      <c r="B182" s="1" t="s">
        <v>502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 t="s">
        <v>503</v>
      </c>
      <c r="B183" s="1" t="s">
        <v>504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 t="s">
        <v>505</v>
      </c>
      <c r="B184" s="1" t="s">
        <v>506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 t="s">
        <v>507</v>
      </c>
      <c r="B185" s="1" t="s">
        <v>508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 t="s">
        <v>509</v>
      </c>
      <c r="B186" s="1" t="s">
        <v>510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 t="s">
        <v>511</v>
      </c>
      <c r="B187" s="1" t="s">
        <v>512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 t="s">
        <v>513</v>
      </c>
      <c r="B188" s="1" t="s">
        <v>514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 t="s">
        <v>515</v>
      </c>
      <c r="B189" s="1" t="s">
        <v>516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 t="s">
        <v>517</v>
      </c>
      <c r="B190" s="1" t="s">
        <v>518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 t="s">
        <v>519</v>
      </c>
      <c r="B191" s="1" t="s">
        <v>398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 t="s">
        <v>520</v>
      </c>
      <c r="B192" s="1" t="s">
        <v>430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 t="s">
        <v>521</v>
      </c>
      <c r="B193" s="1" t="s">
        <v>522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 t="s">
        <v>523</v>
      </c>
      <c r="B194" s="1" t="s">
        <v>524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 t="s">
        <v>525</v>
      </c>
      <c r="B195" s="1" t="s">
        <v>526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 t="s">
        <v>527</v>
      </c>
      <c r="B196" s="1" t="s">
        <v>528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 t="s">
        <v>529</v>
      </c>
      <c r="B197" s="1" t="s">
        <v>530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 t="s">
        <v>531</v>
      </c>
      <c r="B198" s="1" t="s">
        <v>532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 t="s">
        <v>533</v>
      </c>
      <c r="B199" s="1" t="s">
        <v>534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 t="s">
        <v>535</v>
      </c>
      <c r="B200" s="1" t="s">
        <v>536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 t="s">
        <v>537</v>
      </c>
      <c r="B201" s="1" t="s">
        <v>538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 t="s">
        <v>539</v>
      </c>
      <c r="B202" s="1" t="s">
        <v>540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 t="s">
        <v>541</v>
      </c>
      <c r="B203" s="1" t="s">
        <v>542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 t="s">
        <v>543</v>
      </c>
      <c r="B204" s="1" t="s">
        <v>544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 t="s">
        <v>545</v>
      </c>
      <c r="B205" s="1" t="s">
        <v>546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 t="s">
        <v>547</v>
      </c>
      <c r="B206" s="1" t="s">
        <v>548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 t="s">
        <v>549</v>
      </c>
      <c r="B207" s="1" t="s">
        <v>550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 t="s">
        <v>551</v>
      </c>
      <c r="B208" s="1" t="s">
        <v>311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 t="s">
        <v>552</v>
      </c>
      <c r="B209" s="1" t="s">
        <v>553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 t="s">
        <v>554</v>
      </c>
      <c r="B210" s="1" t="s">
        <v>555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 t="s">
        <v>556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 t="s">
        <v>558</v>
      </c>
      <c r="B212" s="1" t="s">
        <v>559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 t="s">
        <v>560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 t="s">
        <v>562</v>
      </c>
      <c r="B214" s="1" t="s">
        <v>563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 t="s">
        <v>564</v>
      </c>
      <c r="B215" s="1" t="s">
        <v>328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 t="s">
        <v>565</v>
      </c>
      <c r="B216" s="1" t="s">
        <v>566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 t="s">
        <v>567</v>
      </c>
      <c r="B217" s="1" t="s">
        <v>568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 t="s">
        <v>569</v>
      </c>
      <c r="B218" s="1" t="s">
        <v>570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 t="s">
        <v>571</v>
      </c>
      <c r="B219" s="1" t="s">
        <v>239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 t="s">
        <v>572</v>
      </c>
      <c r="B220" s="1" t="s">
        <v>573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 t="s">
        <v>574</v>
      </c>
      <c r="B221" s="1" t="s">
        <v>575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 t="s">
        <v>574</v>
      </c>
      <c r="B222" s="1" t="s">
        <v>576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 t="s">
        <v>577</v>
      </c>
      <c r="B223" s="1" t="s">
        <v>578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 t="s">
        <v>579</v>
      </c>
      <c r="B224" s="1" t="s">
        <v>580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 t="s">
        <v>581</v>
      </c>
      <c r="B225" s="1" t="s">
        <v>582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 t="s">
        <v>583</v>
      </c>
      <c r="B226" s="1" t="s">
        <v>584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 t="s">
        <v>585</v>
      </c>
      <c r="B227" s="1" t="s">
        <v>586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 t="s">
        <v>587</v>
      </c>
      <c r="B228" s="1" t="s">
        <v>588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 t="s">
        <v>589</v>
      </c>
      <c r="B229" s="1" t="s">
        <v>590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 t="s">
        <v>591</v>
      </c>
      <c r="B230" s="1" t="s">
        <v>588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 t="s">
        <v>592</v>
      </c>
      <c r="B231" s="1" t="s">
        <v>593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 t="s">
        <v>594</v>
      </c>
      <c r="B232" s="1" t="s">
        <v>595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 t="s">
        <v>596</v>
      </c>
      <c r="B233" s="1" t="s">
        <v>597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 t="s">
        <v>598</v>
      </c>
      <c r="B234" s="1" t="s">
        <v>599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 t="s">
        <v>600</v>
      </c>
      <c r="B235" s="1" t="s">
        <v>561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 t="s">
        <v>601</v>
      </c>
      <c r="B236" s="1" t="s">
        <v>602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 t="s">
        <v>603</v>
      </c>
      <c r="B237" s="1" t="s">
        <v>604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 t="s">
        <v>605</v>
      </c>
      <c r="B238" s="1" t="s">
        <v>246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 t="s">
        <v>606</v>
      </c>
      <c r="B239" s="1" t="s">
        <v>607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 t="s">
        <v>608</v>
      </c>
      <c r="B240" s="1" t="s">
        <v>578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 t="s">
        <v>609</v>
      </c>
      <c r="B241" s="1" t="s">
        <v>610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 t="s">
        <v>611</v>
      </c>
      <c r="B242" s="1" t="s">
        <v>612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 t="s">
        <v>613</v>
      </c>
      <c r="B243" s="1" t="s">
        <v>614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 t="s">
        <v>615</v>
      </c>
      <c r="B244" s="1" t="s">
        <v>242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 t="s">
        <v>616</v>
      </c>
      <c r="B245" s="1" t="s">
        <v>617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 t="s">
        <v>618</v>
      </c>
      <c r="B246" s="1" t="s">
        <v>532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 t="s">
        <v>619</v>
      </c>
      <c r="B247" s="1" t="s">
        <v>620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 t="s">
        <v>621</v>
      </c>
      <c r="B248" s="1" t="s">
        <v>622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 t="s">
        <v>623</v>
      </c>
      <c r="B249" s="1" t="s">
        <v>624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 t="s">
        <v>625</v>
      </c>
      <c r="B250" s="1" t="s">
        <v>626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 t="s">
        <v>627</v>
      </c>
      <c r="B251" s="1" t="s">
        <v>628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 t="s">
        <v>629</v>
      </c>
      <c r="B252" s="1" t="s">
        <v>384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 t="s">
        <v>630</v>
      </c>
      <c r="B253" s="1" t="s">
        <v>631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 t="s">
        <v>632</v>
      </c>
      <c r="B254" s="1" t="s">
        <v>633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 t="s">
        <v>634</v>
      </c>
      <c r="B255" s="1" t="s">
        <v>635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 t="s">
        <v>636</v>
      </c>
      <c r="B256" s="1" t="s">
        <v>234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 t="s">
        <v>637</v>
      </c>
      <c r="B257" s="1" t="s">
        <v>205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 t="s">
        <v>638</v>
      </c>
      <c r="B258" s="1" t="s">
        <v>639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 t="s">
        <v>640</v>
      </c>
      <c r="B259" s="1" t="s">
        <v>641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 t="s">
        <v>642</v>
      </c>
      <c r="B260" s="1" t="s">
        <v>633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 t="s">
        <v>643</v>
      </c>
      <c r="B261" s="1" t="s">
        <v>644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 t="s">
        <v>645</v>
      </c>
      <c r="B262" s="1" t="s">
        <v>646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 t="s">
        <v>647</v>
      </c>
      <c r="B263" s="1" t="s">
        <v>648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 t="s">
        <v>649</v>
      </c>
      <c r="B264" s="1" t="s">
        <v>650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 t="s">
        <v>651</v>
      </c>
      <c r="B265" s="1" t="s">
        <v>652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 t="s">
        <v>653</v>
      </c>
      <c r="B266" s="1" t="s">
        <v>654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 t="s">
        <v>655</v>
      </c>
      <c r="B267" s="1" t="s">
        <v>656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 t="s">
        <v>657</v>
      </c>
      <c r="B268" s="1" t="s">
        <v>557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 t="s">
        <v>658</v>
      </c>
      <c r="B269" s="1" t="s">
        <v>659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 t="s">
        <v>660</v>
      </c>
      <c r="B270" s="1" t="s">
        <v>659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 t="s">
        <v>661</v>
      </c>
      <c r="B271" s="1" t="s">
        <v>662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 t="s">
        <v>663</v>
      </c>
      <c r="B272" s="1" t="s">
        <v>664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 t="s">
        <v>665</v>
      </c>
      <c r="B273" s="1" t="s">
        <v>666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 t="s">
        <v>667</v>
      </c>
      <c r="B274" s="1" t="s">
        <v>668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 t="s">
        <v>669</v>
      </c>
      <c r="B275" s="1" t="s">
        <v>670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 t="s">
        <v>671</v>
      </c>
      <c r="B276" s="1" t="s">
        <v>672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 t="s">
        <v>673</v>
      </c>
      <c r="B277" s="1" t="s">
        <v>674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 t="s">
        <v>675</v>
      </c>
      <c r="B278" s="1" t="s">
        <v>676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 t="s">
        <v>677</v>
      </c>
      <c r="B279" s="1" t="s">
        <v>674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 t="s">
        <v>678</v>
      </c>
      <c r="B280" s="1" t="s">
        <v>538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 t="s">
        <v>679</v>
      </c>
      <c r="B281" s="1" t="s">
        <v>680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 t="s">
        <v>681</v>
      </c>
      <c r="B282" s="1" t="s">
        <v>674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 t="s">
        <v>682</v>
      </c>
      <c r="B283" s="1" t="s">
        <v>683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 t="s">
        <v>684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 t="s">
        <v>685</v>
      </c>
      <c r="B285" s="1" t="s">
        <v>686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 t="s">
        <v>687</v>
      </c>
      <c r="B286" s="1" t="s">
        <v>648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 t="s">
        <v>688</v>
      </c>
      <c r="B287" s="1" t="s">
        <v>624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 t="s">
        <v>689</v>
      </c>
      <c r="B288" s="1" t="s">
        <v>690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 t="s">
        <v>691</v>
      </c>
      <c r="B289" s="1" t="s">
        <v>692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 t="s">
        <v>693</v>
      </c>
      <c r="B290" s="1" t="s">
        <v>694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 t="s">
        <v>695</v>
      </c>
      <c r="B291" s="1" t="s">
        <v>696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 t="s">
        <v>697</v>
      </c>
      <c r="B292" s="1" t="s">
        <v>698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 t="s">
        <v>699</v>
      </c>
      <c r="B293" s="1" t="s">
        <v>700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 t="s">
        <v>701</v>
      </c>
      <c r="B294" s="1" t="s">
        <v>702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 t="s">
        <v>703</v>
      </c>
      <c r="B295" s="1" t="s">
        <v>704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 t="s">
        <v>705</v>
      </c>
      <c r="B296" s="1" t="s">
        <v>706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 t="s">
        <v>707</v>
      </c>
      <c r="B297" s="1" t="s">
        <v>708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 t="s">
        <v>709</v>
      </c>
      <c r="B298" s="1" t="s">
        <v>710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 t="s">
        <v>711</v>
      </c>
      <c r="B299" s="1" t="s">
        <v>712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 t="s">
        <v>713</v>
      </c>
      <c r="B300" s="1" t="s">
        <v>714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 t="s">
        <v>715</v>
      </c>
      <c r="B301" s="1" t="s">
        <v>716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 t="s">
        <v>717</v>
      </c>
      <c r="B302" s="1" t="s">
        <v>718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 t="s">
        <v>719</v>
      </c>
      <c r="B303" s="1" t="s">
        <v>268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 t="s">
        <v>720</v>
      </c>
      <c r="B304" s="1" t="s">
        <v>721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 t="s">
        <v>722</v>
      </c>
      <c r="B305" s="1" t="s">
        <v>723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 t="s">
        <v>724</v>
      </c>
      <c r="B306" s="1" t="s">
        <v>725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 t="s">
        <v>726</v>
      </c>
      <c r="B307" s="1" t="s">
        <v>727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 t="s">
        <v>728</v>
      </c>
      <c r="B308" s="1" t="s">
        <v>729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 t="s">
        <v>730</v>
      </c>
      <c r="B309" s="1" t="s">
        <v>446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 t="s">
        <v>731</v>
      </c>
      <c r="B310" s="1" t="s">
        <v>732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 t="s">
        <v>733</v>
      </c>
      <c r="B311" s="1" t="s">
        <v>690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 t="s">
        <v>734</v>
      </c>
      <c r="B312" s="1" t="s">
        <v>735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 t="s">
        <v>736</v>
      </c>
      <c r="B313" s="1" t="s">
        <v>696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 t="s">
        <v>737</v>
      </c>
      <c r="B314" s="1" t="s">
        <v>639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 t="s">
        <v>738</v>
      </c>
      <c r="B315" s="1" t="s">
        <v>739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 t="s">
        <v>740</v>
      </c>
      <c r="B316" s="1" t="s">
        <v>741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 t="s">
        <v>742</v>
      </c>
      <c r="B317" s="1" t="s">
        <v>743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 t="s">
        <v>744</v>
      </c>
      <c r="B318" s="1" t="s">
        <v>745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 t="s">
        <v>746</v>
      </c>
      <c r="B319" s="1" t="s">
        <v>747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 t="s">
        <v>748</v>
      </c>
      <c r="B320" s="1" t="s">
        <v>749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 t="s">
        <v>750</v>
      </c>
      <c r="B321" s="1" t="s">
        <v>683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 t="s">
        <v>751</v>
      </c>
      <c r="B322" s="1" t="s">
        <v>752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 t="s">
        <v>753</v>
      </c>
      <c r="B323" s="1" t="s">
        <v>754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 t="s">
        <v>755</v>
      </c>
      <c r="B324" s="1" t="s">
        <v>756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 t="s">
        <v>757</v>
      </c>
      <c r="B325" s="1" t="s">
        <v>758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 t="s">
        <v>759</v>
      </c>
      <c r="B326" s="1" t="s">
        <v>704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 t="s">
        <v>760</v>
      </c>
      <c r="B327" s="1" t="s">
        <v>462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 t="s">
        <v>761</v>
      </c>
      <c r="B328" s="1" t="s">
        <v>762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 t="s">
        <v>763</v>
      </c>
      <c r="B329" s="1" t="s">
        <v>664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 t="s">
        <v>764</v>
      </c>
      <c r="B330" s="1" t="s">
        <v>765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 t="s">
        <v>766</v>
      </c>
      <c r="B331" s="1" t="s">
        <v>767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 t="s">
        <v>768</v>
      </c>
      <c r="B332" s="1" t="s">
        <v>769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 t="s">
        <v>770</v>
      </c>
      <c r="B333" s="1" t="s">
        <v>771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 t="s">
        <v>772</v>
      </c>
      <c r="B334" s="1" t="s">
        <v>773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 t="s">
        <v>774</v>
      </c>
      <c r="B335" s="1" t="s">
        <v>666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 t="s">
        <v>775</v>
      </c>
      <c r="B336" s="1" t="s">
        <v>776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 t="s">
        <v>777</v>
      </c>
      <c r="B337" s="1" t="s">
        <v>692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 t="s">
        <v>778</v>
      </c>
      <c r="B338" s="1" t="s">
        <v>779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 t="s">
        <v>780</v>
      </c>
      <c r="B339" s="1" t="s">
        <v>781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 t="s">
        <v>782</v>
      </c>
      <c r="B340" s="1" t="s">
        <v>783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 t="s">
        <v>784</v>
      </c>
      <c r="B341" s="1" t="s">
        <v>752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 t="s">
        <v>785</v>
      </c>
      <c r="B342" s="1" t="s">
        <v>620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 t="s">
        <v>786</v>
      </c>
      <c r="B343" s="1" t="s">
        <v>723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 t="s">
        <v>787</v>
      </c>
      <c r="B344" s="1" t="s">
        <v>779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 t="s">
        <v>788</v>
      </c>
      <c r="B345" s="1" t="s">
        <v>789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 t="s">
        <v>790</v>
      </c>
      <c r="B346" s="1" t="s">
        <v>791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 t="s">
        <v>792</v>
      </c>
      <c r="B347" s="1" t="s">
        <v>793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 t="s">
        <v>794</v>
      </c>
      <c r="B348" s="1" t="s">
        <v>668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 t="s">
        <v>795</v>
      </c>
      <c r="B349" s="1" t="s">
        <v>739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 t="s">
        <v>796</v>
      </c>
      <c r="B350" s="1" t="s">
        <v>773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 t="s">
        <v>797</v>
      </c>
      <c r="B351" s="1" t="s">
        <v>798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 t="s">
        <v>799</v>
      </c>
      <c r="B352" s="1" t="s">
        <v>800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 t="s">
        <v>801</v>
      </c>
      <c r="B353" s="1" t="s">
        <v>248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 t="s">
        <v>802</v>
      </c>
      <c r="B354" s="1" t="s">
        <v>765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 t="s">
        <v>803</v>
      </c>
      <c r="B355" s="1" t="s">
        <v>597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 t="s">
        <v>804</v>
      </c>
      <c r="B356" s="1" t="s">
        <v>570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 t="s">
        <v>805</v>
      </c>
      <c r="B357" s="1" t="s">
        <v>276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 t="s">
        <v>806</v>
      </c>
      <c r="B358" s="1" t="s">
        <v>807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 t="s">
        <v>808</v>
      </c>
      <c r="B359" s="1" t="s">
        <v>809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 t="s">
        <v>810</v>
      </c>
      <c r="B360" s="1" t="s">
        <v>811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 t="s">
        <v>812</v>
      </c>
      <c r="B361" s="1" t="s">
        <v>813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 t="s">
        <v>814</v>
      </c>
      <c r="B362" s="1" t="s">
        <v>758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 t="s">
        <v>815</v>
      </c>
      <c r="B363" s="1" t="s">
        <v>725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 t="s">
        <v>816</v>
      </c>
      <c r="B364" s="1" t="s">
        <v>708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 t="s">
        <v>817</v>
      </c>
      <c r="B365" s="1" t="s">
        <v>818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 t="s">
        <v>819</v>
      </c>
      <c r="B366" s="1" t="s">
        <v>793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 t="s">
        <v>820</v>
      </c>
      <c r="B367" s="1" t="s">
        <v>821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 t="s">
        <v>822</v>
      </c>
      <c r="B368" s="1" t="s">
        <v>823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 t="s">
        <v>824</v>
      </c>
      <c r="B369" s="1" t="s">
        <v>825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 t="s">
        <v>826</v>
      </c>
      <c r="B370" s="1" t="s">
        <v>827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 t="s">
        <v>828</v>
      </c>
      <c r="B371" s="1" t="s">
        <v>821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 t="s">
        <v>829</v>
      </c>
      <c r="B372" s="1" t="s">
        <v>830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 t="s">
        <v>831</v>
      </c>
      <c r="B373" s="1" t="s">
        <v>729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 t="s">
        <v>832</v>
      </c>
      <c r="B374" s="1" t="s">
        <v>833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 t="s">
        <v>834</v>
      </c>
      <c r="B375" s="1" t="s">
        <v>835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 t="s">
        <v>836</v>
      </c>
      <c r="B376" s="1" t="s">
        <v>837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 t="s">
        <v>838</v>
      </c>
      <c r="B377" s="1" t="s">
        <v>835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 t="s">
        <v>839</v>
      </c>
      <c r="B378" s="1" t="s">
        <v>840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 t="s">
        <v>841</v>
      </c>
      <c r="B379" s="1" t="s">
        <v>557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 t="s">
        <v>842</v>
      </c>
      <c r="B380" s="1" t="s">
        <v>732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 t="s">
        <v>843</v>
      </c>
      <c r="B381" s="1" t="s">
        <v>844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 t="s">
        <v>845</v>
      </c>
      <c r="B382" s="1" t="s">
        <v>846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 t="s">
        <v>847</v>
      </c>
      <c r="B383" s="1" t="s">
        <v>793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 t="s">
        <v>848</v>
      </c>
      <c r="B384" s="1" t="s">
        <v>576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 t="s">
        <v>848</v>
      </c>
      <c r="B385" s="1" t="s">
        <v>575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 t="s">
        <v>849</v>
      </c>
      <c r="B386" s="1" t="s">
        <v>850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 t="s">
        <v>851</v>
      </c>
      <c r="B387" s="1" t="s">
        <v>800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 t="s">
        <v>852</v>
      </c>
      <c r="B388" s="1" t="s">
        <v>708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 t="s">
        <v>853</v>
      </c>
      <c r="B389" s="1" t="s">
        <v>854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 t="s">
        <v>855</v>
      </c>
      <c r="B390" s="1" t="s">
        <v>856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 t="s">
        <v>857</v>
      </c>
      <c r="B391" s="1" t="s">
        <v>706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 t="s">
        <v>858</v>
      </c>
      <c r="B392" s="1" t="s">
        <v>827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 t="s">
        <v>859</v>
      </c>
      <c r="B393" s="1" t="s">
        <v>706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 t="s">
        <v>860</v>
      </c>
      <c r="B394" s="1" t="s">
        <v>861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 t="s">
        <v>862</v>
      </c>
      <c r="B395" s="1" t="s">
        <v>789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 t="s">
        <v>863</v>
      </c>
      <c r="B396" s="1" t="s">
        <v>864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 t="s">
        <v>865</v>
      </c>
      <c r="B397" s="1" t="s">
        <v>866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 t="s">
        <v>867</v>
      </c>
      <c r="B398" s="1" t="s">
        <v>827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 t="s">
        <v>868</v>
      </c>
      <c r="B399" s="1" t="s">
        <v>856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 t="s">
        <v>869</v>
      </c>
      <c r="B400" s="1" t="s">
        <v>706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 t="s">
        <v>870</v>
      </c>
      <c r="B401" s="1" t="s">
        <v>837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 t="s">
        <v>871</v>
      </c>
      <c r="B402" s="1" t="s">
        <v>872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 t="s">
        <v>873</v>
      </c>
      <c r="B403" s="1" t="s">
        <v>762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 t="s">
        <v>874</v>
      </c>
      <c r="B404" s="1" t="s">
        <v>850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 t="s">
        <v>875</v>
      </c>
      <c r="B405" s="1" t="s">
        <v>876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 t="s">
        <v>877</v>
      </c>
      <c r="B406" s="1" t="s">
        <v>878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 t="s">
        <v>879</v>
      </c>
      <c r="B407" s="1" t="s">
        <v>259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 t="s">
        <v>880</v>
      </c>
      <c r="B408" s="1" t="s">
        <v>793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 t="s">
        <v>881</v>
      </c>
      <c r="B409" s="1" t="s">
        <v>876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 t="s">
        <v>882</v>
      </c>
      <c r="B410" s="1" t="s">
        <v>876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 t="s">
        <v>883</v>
      </c>
      <c r="B411" s="1" t="s">
        <v>205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 t="s">
        <v>884</v>
      </c>
      <c r="B412" s="1" t="s">
        <v>187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 t="s">
        <v>885</v>
      </c>
      <c r="B413" s="1" t="s">
        <v>886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 t="s">
        <v>887</v>
      </c>
      <c r="B414" s="1" t="s">
        <v>888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 t="s">
        <v>889</v>
      </c>
      <c r="B415" s="1" t="s">
        <v>756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 t="s">
        <v>890</v>
      </c>
      <c r="B416" s="1" t="s">
        <v>718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 t="s">
        <v>891</v>
      </c>
      <c r="B417" s="1" t="s">
        <v>769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 t="s">
        <v>892</v>
      </c>
      <c r="B418" s="1" t="s">
        <v>888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 t="s">
        <v>893</v>
      </c>
      <c r="B419" s="1" t="s">
        <v>894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 t="s">
        <v>895</v>
      </c>
      <c r="B420" s="1" t="s">
        <v>416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 t="s">
        <v>896</v>
      </c>
      <c r="B421" s="1" t="s">
        <v>878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 t="s">
        <v>897</v>
      </c>
      <c r="B422" s="1" t="s">
        <v>793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 t="s">
        <v>898</v>
      </c>
      <c r="B423" s="1" t="s">
        <v>899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 t="s">
        <v>900</v>
      </c>
      <c r="B424" s="1" t="s">
        <v>901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 t="s">
        <v>902</v>
      </c>
      <c r="B425" s="1" t="s">
        <v>901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 t="s">
        <v>903</v>
      </c>
      <c r="B426" s="1" t="s">
        <v>854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 t="s">
        <v>904</v>
      </c>
      <c r="B427" s="1" t="s">
        <v>692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 t="s">
        <v>905</v>
      </c>
      <c r="B428" s="1" t="s">
        <v>906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 t="s">
        <v>907</v>
      </c>
      <c r="B429" s="1" t="s">
        <v>908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 t="s">
        <v>909</v>
      </c>
      <c r="B430" s="1" t="s">
        <v>793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 t="s">
        <v>910</v>
      </c>
      <c r="B431" s="1" t="s">
        <v>911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 t="s">
        <v>912</v>
      </c>
      <c r="B432" s="1" t="s">
        <v>913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 t="s">
        <v>914</v>
      </c>
      <c r="B433" s="1" t="s">
        <v>793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 t="s">
        <v>915</v>
      </c>
      <c r="B434" s="1" t="s">
        <v>916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 t="s">
        <v>917</v>
      </c>
      <c r="B435" s="1" t="s">
        <v>918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 t="s">
        <v>919</v>
      </c>
      <c r="B436" s="1" t="s">
        <v>743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 t="s">
        <v>920</v>
      </c>
      <c r="B437" s="1" t="s">
        <v>921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 t="s">
        <v>922</v>
      </c>
      <c r="B438" s="1" t="s">
        <v>921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 t="s">
        <v>923</v>
      </c>
      <c r="B439" s="1" t="s">
        <v>854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 t="s">
        <v>924</v>
      </c>
      <c r="B440" s="1" t="s">
        <v>924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 t="s">
        <v>925</v>
      </c>
      <c r="B441" s="1" t="s">
        <v>866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 t="s">
        <v>926</v>
      </c>
      <c r="B442" s="1" t="s">
        <v>771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 t="s">
        <v>927</v>
      </c>
      <c r="B443" s="1" t="s">
        <v>928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 t="s">
        <v>929</v>
      </c>
      <c r="B444" s="1" t="s">
        <v>930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 t="s">
        <v>931</v>
      </c>
      <c r="B445" s="1" t="s">
        <v>700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 t="s">
        <v>932</v>
      </c>
      <c r="B446" s="1" t="s">
        <v>830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 t="s">
        <v>933</v>
      </c>
      <c r="B447" s="1" t="s">
        <v>934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 t="s">
        <v>935</v>
      </c>
      <c r="B448" s="1" t="s">
        <v>686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 t="s">
        <v>936</v>
      </c>
      <c r="B449" s="1" t="s">
        <v>937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 t="s">
        <v>938</v>
      </c>
      <c r="B450" s="1" t="s">
        <v>938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 t="s">
        <v>939</v>
      </c>
      <c r="B451" s="1" t="s">
        <v>940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 t="s">
        <v>941</v>
      </c>
      <c r="B452" s="1" t="s">
        <v>942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 t="s">
        <v>943</v>
      </c>
      <c r="B453" s="1" t="s">
        <v>944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 t="s">
        <v>945</v>
      </c>
      <c r="B454" s="1" t="s">
        <v>946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 t="s">
        <v>947</v>
      </c>
      <c r="B455" s="1" t="s">
        <v>948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 t="s">
        <v>949</v>
      </c>
      <c r="B456" s="1" t="s">
        <v>949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 t="s">
        <v>950</v>
      </c>
      <c r="B457" s="1" t="s">
        <v>950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 t="s">
        <v>951</v>
      </c>
      <c r="B458" s="1" t="s">
        <v>942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 t="s">
        <v>952</v>
      </c>
      <c r="B459" s="1" t="s">
        <v>953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 t="s">
        <v>954</v>
      </c>
      <c r="B460" s="1" t="s">
        <v>955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 t="s">
        <v>956</v>
      </c>
      <c r="B461" s="1" t="s">
        <v>957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 t="s">
        <v>958</v>
      </c>
      <c r="B462" s="1" t="s">
        <v>957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 t="s">
        <v>959</v>
      </c>
      <c r="B463" s="1" t="s">
        <v>960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 t="s">
        <v>961</v>
      </c>
      <c r="B464" s="1" t="s">
        <v>960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 t="s">
        <v>962</v>
      </c>
      <c r="B465" s="1" t="s">
        <v>963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 t="s">
        <v>964</v>
      </c>
      <c r="B466" s="1" t="s">
        <v>965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 t="s">
        <v>966</v>
      </c>
      <c r="B467" s="1" t="s">
        <v>965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 t="s">
        <v>967</v>
      </c>
      <c r="B468" s="1" t="s">
        <v>963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 t="s">
        <v>968</v>
      </c>
      <c r="B469" s="1" t="s">
        <v>968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 t="s">
        <v>969</v>
      </c>
      <c r="B470" s="1" t="s">
        <v>970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 t="s">
        <v>971</v>
      </c>
      <c r="B471" s="1" t="s">
        <v>972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 t="s">
        <v>973</v>
      </c>
      <c r="B472" s="1" t="s">
        <v>972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 t="s">
        <v>974</v>
      </c>
      <c r="B473" s="1" t="s">
        <v>934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 t="s">
        <v>975</v>
      </c>
      <c r="B474" s="1" t="s">
        <v>975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 t="s">
        <v>976</v>
      </c>
      <c r="B475" s="1" t="s">
        <v>514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 t="s">
        <v>977</v>
      </c>
      <c r="B476" s="1" t="s">
        <v>978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 t="s">
        <v>979</v>
      </c>
      <c r="B477" s="1" t="s">
        <v>979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 t="s">
        <v>980</v>
      </c>
      <c r="B478" s="1" t="s">
        <v>798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 t="s">
        <v>981</v>
      </c>
      <c r="B479" s="1" t="s">
        <v>809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 t="s">
        <v>982</v>
      </c>
      <c r="B480" s="1" t="s">
        <v>983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 t="s">
        <v>984</v>
      </c>
      <c r="B481" s="1" t="s">
        <v>985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 t="s">
        <v>986</v>
      </c>
      <c r="B482" s="1" t="s">
        <v>985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 t="s">
        <v>987</v>
      </c>
      <c r="B483" s="1" t="s">
        <v>988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 t="s">
        <v>989</v>
      </c>
      <c r="B484" s="1" t="s">
        <v>988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 t="s">
        <v>990</v>
      </c>
      <c r="B485" s="1" t="s">
        <v>990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 t="s">
        <v>991</v>
      </c>
      <c r="B486" s="1" t="s">
        <v>888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 t="s">
        <v>992</v>
      </c>
      <c r="B487" s="1" t="s">
        <v>993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 t="s">
        <v>994</v>
      </c>
      <c r="B488" s="1" t="s">
        <v>993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 t="s">
        <v>995</v>
      </c>
      <c r="B489" s="1" t="s">
        <v>993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 t="s">
        <v>996</v>
      </c>
      <c r="B490" s="1" t="s">
        <v>997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 t="s">
        <v>998</v>
      </c>
      <c r="B491" s="1" t="s">
        <v>999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 t="s">
        <v>1000</v>
      </c>
      <c r="B492" s="1" t="s">
        <v>1001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 t="s">
        <v>1002</v>
      </c>
      <c r="B493" s="1" t="s">
        <v>997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 t="s">
        <v>1003</v>
      </c>
      <c r="B494" s="1" t="s">
        <v>1004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 t="s">
        <v>1005</v>
      </c>
      <c r="B495" s="1" t="s">
        <v>1006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 t="s">
        <v>1007</v>
      </c>
      <c r="B496" s="1" t="s">
        <v>1006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 t="s">
        <v>1008</v>
      </c>
      <c r="B497" s="1" t="s">
        <v>1009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 t="s">
        <v>1010</v>
      </c>
      <c r="B498" s="1" t="s">
        <v>1010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 t="s">
        <v>1011</v>
      </c>
      <c r="B499" s="1" t="s">
        <v>1011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 t="s">
        <v>1012</v>
      </c>
      <c r="B500" s="1" t="s">
        <v>1012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 t="s">
        <v>1013</v>
      </c>
      <c r="B501" s="1" t="s">
        <v>1013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 t="s">
        <v>1014</v>
      </c>
      <c r="B502" s="1" t="s">
        <v>1014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 t="s">
        <v>1015</v>
      </c>
      <c r="B503" s="1" t="s">
        <v>1016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 t="s">
        <v>1017</v>
      </c>
      <c r="B504" s="1" t="s">
        <v>1017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 t="s">
        <v>1018</v>
      </c>
      <c r="B505" s="1" t="s">
        <v>1018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 t="s">
        <v>1019</v>
      </c>
      <c r="B506" s="1" t="s">
        <v>1019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 t="s">
        <v>1020</v>
      </c>
      <c r="B507" s="1" t="s">
        <v>512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 t="s">
        <v>1021</v>
      </c>
      <c r="B508" s="1" t="s">
        <v>617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 t="s">
        <v>1022</v>
      </c>
      <c r="B509" s="1" t="s">
        <v>1022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 t="s">
        <v>1023</v>
      </c>
      <c r="B510" s="1" t="s">
        <v>1024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 t="s">
        <v>1025</v>
      </c>
      <c r="B511" s="1" t="s">
        <v>1025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 t="s">
        <v>1026</v>
      </c>
      <c r="B512" s="1" t="s">
        <v>1026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 t="s">
        <v>1027</v>
      </c>
      <c r="B513" s="1" t="s">
        <v>1027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 t="s">
        <v>1028</v>
      </c>
      <c r="B514" s="1" t="s">
        <v>1029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 t="s">
        <v>1030</v>
      </c>
      <c r="B515" s="1" t="s">
        <v>1031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 t="s">
        <v>1032</v>
      </c>
      <c r="B516" s="1" t="s">
        <v>1033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 t="s">
        <v>1034</v>
      </c>
      <c r="B517" s="1" t="s">
        <v>1034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 t="s">
        <v>1035</v>
      </c>
      <c r="B518" s="1" t="s">
        <v>1036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 t="s">
        <v>1037</v>
      </c>
      <c r="B519" s="1" t="s">
        <v>1036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 t="s">
        <v>1038</v>
      </c>
      <c r="B520" s="1" t="s">
        <v>1039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 t="s">
        <v>1040</v>
      </c>
      <c r="B521" s="1" t="s">
        <v>963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 t="s">
        <v>1041</v>
      </c>
      <c r="B522" s="1" t="s">
        <v>872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 t="s">
        <v>1042</v>
      </c>
      <c r="B523" s="1" t="s">
        <v>633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 t="s">
        <v>1043</v>
      </c>
      <c r="B524" s="1" t="s">
        <v>948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 t="s">
        <v>1044</v>
      </c>
      <c r="B525" s="1" t="s">
        <v>741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 t="s">
        <v>1045</v>
      </c>
      <c r="B526" s="1" t="s">
        <v>1046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 t="s">
        <v>1047</v>
      </c>
      <c r="B527" s="1" t="s">
        <v>1048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 t="s">
        <v>1049</v>
      </c>
      <c r="B528" s="1" t="s">
        <v>1050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 t="s">
        <v>1051</v>
      </c>
      <c r="B529" s="1" t="s">
        <v>970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 t="s">
        <v>1052</v>
      </c>
      <c r="B530" s="1" t="s">
        <v>978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 t="s">
        <v>1053</v>
      </c>
      <c r="B531" s="1" t="s">
        <v>861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 t="s">
        <v>1054</v>
      </c>
      <c r="B532" s="1" t="s">
        <v>823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 t="s">
        <v>1055</v>
      </c>
      <c r="B533" s="1" t="s">
        <v>700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 t="s">
        <v>1056</v>
      </c>
      <c r="B534" s="1" t="s">
        <v>791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 t="s">
        <v>1057</v>
      </c>
      <c r="B535" s="1" t="s">
        <v>624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 t="s">
        <v>1058</v>
      </c>
      <c r="B536" s="1" t="s">
        <v>1059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2.5703125" defaultRowHeight="15" customHeight="1" x14ac:dyDescent="0.25"/>
  <cols>
    <col min="1" max="1" width="20" customWidth="1"/>
    <col min="2" max="2" width="33.7109375" customWidth="1"/>
    <col min="3" max="3" width="36.42578125" customWidth="1"/>
    <col min="4" max="14" width="8.5703125" customWidth="1"/>
  </cols>
  <sheetData>
    <row r="1" spans="1:14" ht="14.25" customHeight="1" x14ac:dyDescent="0.25">
      <c r="A1" s="2" t="s">
        <v>1060</v>
      </c>
      <c r="B1" s="2" t="s">
        <v>13</v>
      </c>
      <c r="C1" s="2" t="s">
        <v>1061</v>
      </c>
      <c r="D1" s="2" t="s">
        <v>1062</v>
      </c>
    </row>
    <row r="2" spans="1:14" ht="14.25" customHeight="1" x14ac:dyDescent="0.25">
      <c r="A2" s="2" t="s">
        <v>187</v>
      </c>
      <c r="B2" s="2" t="s">
        <v>1063</v>
      </c>
      <c r="C2" s="2">
        <v>1962</v>
      </c>
      <c r="D2" s="2">
        <f t="shared" ref="D2:D79" si="0">2024-C2</f>
        <v>62</v>
      </c>
    </row>
    <row r="3" spans="1:14" ht="14.25" customHeight="1" x14ac:dyDescent="0.25">
      <c r="A3" s="2" t="s">
        <v>189</v>
      </c>
      <c r="B3" s="2" t="s">
        <v>190</v>
      </c>
      <c r="C3" s="2">
        <v>1941</v>
      </c>
      <c r="D3" s="2">
        <f t="shared" si="0"/>
        <v>83</v>
      </c>
      <c r="G3" s="8"/>
      <c r="H3" s="8"/>
      <c r="I3" s="8"/>
      <c r="J3" s="8"/>
      <c r="K3" s="8"/>
      <c r="L3" s="8"/>
      <c r="M3" s="8"/>
      <c r="N3" s="8"/>
    </row>
    <row r="4" spans="1:14" ht="14.25" customHeight="1" x14ac:dyDescent="0.25">
      <c r="A4" s="2" t="s">
        <v>191</v>
      </c>
      <c r="B4" s="2" t="s">
        <v>1064</v>
      </c>
      <c r="C4" s="2">
        <v>1953</v>
      </c>
      <c r="D4" s="2">
        <f t="shared" si="0"/>
        <v>71</v>
      </c>
      <c r="G4" s="8"/>
      <c r="H4" s="8"/>
      <c r="I4" s="8"/>
      <c r="J4" s="8"/>
      <c r="K4" s="8"/>
      <c r="L4" s="8"/>
      <c r="M4" s="8"/>
      <c r="N4" s="8"/>
    </row>
    <row r="5" spans="1:14" ht="14.25" customHeight="1" x14ac:dyDescent="0.25">
      <c r="A5" s="2" t="s">
        <v>193</v>
      </c>
      <c r="B5" s="2" t="s">
        <v>194</v>
      </c>
      <c r="C5" s="2">
        <v>1924</v>
      </c>
      <c r="D5" s="2">
        <f t="shared" si="0"/>
        <v>100</v>
      </c>
      <c r="G5" s="8"/>
      <c r="H5" s="8"/>
      <c r="I5" s="8"/>
      <c r="J5" s="8"/>
      <c r="K5" s="8"/>
      <c r="L5" s="8"/>
      <c r="M5" s="8"/>
      <c r="N5" s="8"/>
    </row>
    <row r="6" spans="1:14" ht="14.25" customHeight="1" x14ac:dyDescent="0.25">
      <c r="A6" s="2" t="s">
        <v>195</v>
      </c>
      <c r="B6" s="2" t="s">
        <v>1065</v>
      </c>
      <c r="C6" s="2">
        <v>1912</v>
      </c>
      <c r="D6" s="2">
        <f t="shared" si="0"/>
        <v>112</v>
      </c>
      <c r="G6" s="8"/>
      <c r="H6" s="8"/>
      <c r="I6" s="8"/>
      <c r="J6" s="8"/>
      <c r="K6" s="8"/>
      <c r="L6" s="8"/>
      <c r="M6" s="8"/>
      <c r="N6" s="8"/>
    </row>
    <row r="7" spans="1:14" ht="14.25" customHeight="1" x14ac:dyDescent="0.25">
      <c r="A7" s="2" t="s">
        <v>197</v>
      </c>
      <c r="B7" s="2" t="s">
        <v>1064</v>
      </c>
      <c r="C7" s="2">
        <v>2010</v>
      </c>
      <c r="D7" s="2">
        <f t="shared" si="0"/>
        <v>14</v>
      </c>
      <c r="G7" s="8"/>
      <c r="H7" s="8"/>
      <c r="I7" s="8"/>
      <c r="J7" s="8"/>
      <c r="K7" s="8"/>
      <c r="L7" s="8"/>
      <c r="M7" s="8"/>
      <c r="N7" s="8"/>
    </row>
    <row r="8" spans="1:14" ht="14.25" customHeight="1" x14ac:dyDescent="0.25">
      <c r="A8" s="2" t="s">
        <v>198</v>
      </c>
      <c r="B8" s="2" t="s">
        <v>190</v>
      </c>
      <c r="C8" s="2">
        <v>1942</v>
      </c>
      <c r="D8" s="2">
        <f t="shared" si="0"/>
        <v>82</v>
      </c>
      <c r="G8" s="8"/>
      <c r="H8" s="8"/>
      <c r="I8" s="8"/>
      <c r="J8" s="8"/>
      <c r="K8" s="8"/>
      <c r="L8" s="8"/>
      <c r="M8" s="8"/>
      <c r="N8" s="8"/>
    </row>
    <row r="9" spans="1:14" ht="14.25" customHeight="1" x14ac:dyDescent="0.25">
      <c r="A9" s="2" t="s">
        <v>199</v>
      </c>
      <c r="B9" s="2" t="s">
        <v>200</v>
      </c>
      <c r="C9" s="2">
        <v>1974</v>
      </c>
      <c r="D9" s="2">
        <f t="shared" si="0"/>
        <v>50</v>
      </c>
      <c r="G9" s="8"/>
      <c r="H9" s="8"/>
      <c r="I9" s="8"/>
      <c r="J9" s="8"/>
      <c r="K9" s="8"/>
      <c r="L9" s="8"/>
      <c r="M9" s="8"/>
      <c r="N9" s="8"/>
    </row>
    <row r="10" spans="1:14" ht="14.25" customHeight="1" x14ac:dyDescent="0.25">
      <c r="A10" s="2" t="s">
        <v>201</v>
      </c>
      <c r="B10" s="2" t="s">
        <v>1066</v>
      </c>
      <c r="C10" s="2">
        <v>1924</v>
      </c>
      <c r="D10" s="2">
        <f t="shared" si="0"/>
        <v>100</v>
      </c>
      <c r="G10" s="8"/>
      <c r="H10" s="8"/>
      <c r="I10" s="8"/>
      <c r="J10" s="8"/>
      <c r="K10" s="8"/>
      <c r="L10" s="8"/>
      <c r="M10" s="8"/>
      <c r="N10" s="8"/>
    </row>
    <row r="11" spans="1:14" ht="14.25" customHeight="1" x14ac:dyDescent="0.25">
      <c r="A11" s="2" t="s">
        <v>203</v>
      </c>
      <c r="B11" s="2" t="s">
        <v>204</v>
      </c>
      <c r="C11" s="2">
        <v>1977</v>
      </c>
      <c r="D11" s="2">
        <f t="shared" si="0"/>
        <v>47</v>
      </c>
      <c r="G11" s="8"/>
      <c r="H11" s="8"/>
      <c r="I11" s="8"/>
      <c r="J11" s="8"/>
      <c r="K11" s="8"/>
      <c r="L11" s="8"/>
      <c r="M11" s="8"/>
      <c r="N11" s="8"/>
    </row>
    <row r="12" spans="1:14" ht="14.25" customHeight="1" x14ac:dyDescent="0.25">
      <c r="A12" s="2" t="s">
        <v>205</v>
      </c>
      <c r="B12" s="2" t="s">
        <v>206</v>
      </c>
      <c r="C12" s="2">
        <v>2002</v>
      </c>
      <c r="D12" s="2">
        <f t="shared" si="0"/>
        <v>22</v>
      </c>
      <c r="G12" s="8"/>
      <c r="H12" s="8"/>
      <c r="I12" s="8"/>
      <c r="J12" s="8"/>
      <c r="K12" s="8"/>
      <c r="L12" s="8"/>
      <c r="M12" s="8"/>
      <c r="N12" s="8"/>
    </row>
    <row r="13" spans="1:14" ht="14.25" customHeight="1" x14ac:dyDescent="0.25">
      <c r="A13" s="2" t="s">
        <v>207</v>
      </c>
      <c r="B13" s="2" t="s">
        <v>1067</v>
      </c>
      <c r="C13" s="2">
        <v>2008</v>
      </c>
      <c r="D13" s="2">
        <f t="shared" si="0"/>
        <v>16</v>
      </c>
      <c r="G13" s="8"/>
      <c r="H13" s="8"/>
      <c r="I13" s="8"/>
      <c r="J13" s="8"/>
      <c r="K13" s="8"/>
      <c r="L13" s="8"/>
      <c r="M13" s="8"/>
      <c r="N13" s="8"/>
    </row>
    <row r="14" spans="1:14" ht="14.25" customHeight="1" x14ac:dyDescent="0.25">
      <c r="A14" s="2" t="s">
        <v>209</v>
      </c>
      <c r="B14" s="2" t="s">
        <v>1064</v>
      </c>
      <c r="C14" s="2">
        <v>2010</v>
      </c>
      <c r="D14" s="2">
        <f t="shared" si="0"/>
        <v>14</v>
      </c>
      <c r="G14" s="8"/>
      <c r="H14" s="8"/>
      <c r="I14" s="8"/>
      <c r="J14" s="8"/>
      <c r="K14" s="8"/>
      <c r="L14" s="8"/>
      <c r="M14" s="8"/>
      <c r="N14" s="8"/>
    </row>
    <row r="15" spans="1:14" ht="14.25" customHeight="1" x14ac:dyDescent="0.25">
      <c r="A15" s="2" t="s">
        <v>210</v>
      </c>
      <c r="B15" s="2" t="s">
        <v>1065</v>
      </c>
      <c r="C15" s="2">
        <v>1999</v>
      </c>
      <c r="D15" s="2">
        <f t="shared" si="0"/>
        <v>25</v>
      </c>
      <c r="G15" s="8"/>
      <c r="H15" s="8"/>
      <c r="I15" s="8"/>
      <c r="J15" s="8"/>
      <c r="K15" s="8"/>
      <c r="L15" s="8"/>
      <c r="M15" s="8"/>
      <c r="N15" s="8"/>
    </row>
    <row r="16" spans="1:14" ht="14.25" customHeight="1" x14ac:dyDescent="0.25">
      <c r="A16" s="2" t="s">
        <v>211</v>
      </c>
      <c r="B16" s="2" t="s">
        <v>1063</v>
      </c>
      <c r="C16" s="2">
        <v>1941</v>
      </c>
      <c r="D16" s="2">
        <f t="shared" si="0"/>
        <v>83</v>
      </c>
    </row>
    <row r="17" spans="1:4" ht="14.25" customHeight="1" x14ac:dyDescent="0.25">
      <c r="A17" s="2" t="s">
        <v>212</v>
      </c>
      <c r="B17" s="2" t="s">
        <v>213</v>
      </c>
      <c r="C17" s="2">
        <v>1968</v>
      </c>
      <c r="D17" s="2">
        <f t="shared" si="0"/>
        <v>56</v>
      </c>
    </row>
    <row r="18" spans="1:4" ht="14.25" customHeight="1" x14ac:dyDescent="0.25">
      <c r="A18" s="2" t="s">
        <v>214</v>
      </c>
      <c r="B18" s="2" t="s">
        <v>206</v>
      </c>
      <c r="C18" s="2">
        <v>1937</v>
      </c>
      <c r="D18" s="2">
        <f t="shared" si="0"/>
        <v>87</v>
      </c>
    </row>
    <row r="19" spans="1:4" ht="14.25" customHeight="1" x14ac:dyDescent="0.25">
      <c r="A19" s="2" t="s">
        <v>215</v>
      </c>
      <c r="B19" s="2" t="s">
        <v>1068</v>
      </c>
      <c r="C19" s="2">
        <v>1979</v>
      </c>
      <c r="D19" s="2">
        <f t="shared" si="0"/>
        <v>45</v>
      </c>
    </row>
    <row r="20" spans="1:4" ht="14.25" customHeight="1" x14ac:dyDescent="0.25">
      <c r="A20" s="2" t="s">
        <v>217</v>
      </c>
      <c r="B20" s="2" t="s">
        <v>1069</v>
      </c>
      <c r="C20" s="2">
        <v>1972</v>
      </c>
      <c r="D20" s="2">
        <f t="shared" si="0"/>
        <v>52</v>
      </c>
    </row>
    <row r="21" spans="1:4" ht="14.25" customHeight="1" x14ac:dyDescent="0.25">
      <c r="A21" s="2" t="s">
        <v>219</v>
      </c>
      <c r="B21" s="2" t="s">
        <v>1066</v>
      </c>
      <c r="C21" s="2">
        <v>1943</v>
      </c>
      <c r="D21" s="2">
        <f t="shared" si="0"/>
        <v>81</v>
      </c>
    </row>
    <row r="22" spans="1:4" ht="14.25" customHeight="1" x14ac:dyDescent="0.25">
      <c r="A22" s="2" t="s">
        <v>220</v>
      </c>
      <c r="B22" s="2" t="s">
        <v>221</v>
      </c>
      <c r="C22" s="2">
        <v>1992</v>
      </c>
      <c r="D22" s="2">
        <f t="shared" si="0"/>
        <v>32</v>
      </c>
    </row>
    <row r="23" spans="1:4" ht="14.25" customHeight="1" x14ac:dyDescent="0.25">
      <c r="A23" s="2" t="s">
        <v>222</v>
      </c>
      <c r="B23" s="2" t="s">
        <v>223</v>
      </c>
      <c r="C23" s="2">
        <v>1948</v>
      </c>
      <c r="D23" s="2">
        <f t="shared" si="0"/>
        <v>76</v>
      </c>
    </row>
    <row r="24" spans="1:4" ht="14.25" customHeight="1" x14ac:dyDescent="0.25">
      <c r="A24" s="2" t="s">
        <v>224</v>
      </c>
      <c r="B24" s="2" t="s">
        <v>221</v>
      </c>
      <c r="C24" s="2">
        <v>2009</v>
      </c>
      <c r="D24" s="2">
        <f t="shared" si="0"/>
        <v>15</v>
      </c>
    </row>
    <row r="25" spans="1:4" ht="14.25" customHeight="1" x14ac:dyDescent="0.25">
      <c r="A25" s="2" t="s">
        <v>225</v>
      </c>
      <c r="B25" s="2" t="s">
        <v>226</v>
      </c>
      <c r="C25" s="2">
        <v>2003</v>
      </c>
      <c r="D25" s="2">
        <f t="shared" si="0"/>
        <v>21</v>
      </c>
    </row>
    <row r="26" spans="1:4" ht="14.25" customHeight="1" x14ac:dyDescent="0.25">
      <c r="A26" s="2" t="s">
        <v>227</v>
      </c>
      <c r="B26" s="2" t="s">
        <v>1070</v>
      </c>
      <c r="C26" s="2">
        <v>2008</v>
      </c>
      <c r="D26" s="2">
        <f t="shared" si="0"/>
        <v>16</v>
      </c>
    </row>
    <row r="27" spans="1:4" ht="14.25" customHeight="1" x14ac:dyDescent="0.25">
      <c r="A27" s="2" t="s">
        <v>229</v>
      </c>
      <c r="B27" s="2" t="s">
        <v>1066</v>
      </c>
      <c r="C27" s="2">
        <v>1995</v>
      </c>
      <c r="D27" s="2">
        <f t="shared" si="0"/>
        <v>29</v>
      </c>
    </row>
    <row r="28" spans="1:4" ht="14.25" customHeight="1" x14ac:dyDescent="0.25">
      <c r="A28" s="2" t="s">
        <v>231</v>
      </c>
      <c r="B28" s="2" t="s">
        <v>1071</v>
      </c>
      <c r="C28" s="2">
        <v>2005</v>
      </c>
      <c r="D28" s="2">
        <f t="shared" si="0"/>
        <v>19</v>
      </c>
    </row>
    <row r="29" spans="1:4" ht="14.25" customHeight="1" x14ac:dyDescent="0.25">
      <c r="A29" s="2" t="s">
        <v>233</v>
      </c>
      <c r="B29" s="2" t="s">
        <v>226</v>
      </c>
      <c r="C29" s="2">
        <v>1998</v>
      </c>
      <c r="D29" s="2">
        <f t="shared" si="0"/>
        <v>26</v>
      </c>
    </row>
    <row r="30" spans="1:4" ht="14.25" customHeight="1" x14ac:dyDescent="0.25">
      <c r="A30" s="2" t="s">
        <v>234</v>
      </c>
      <c r="B30" s="2" t="s">
        <v>1072</v>
      </c>
      <c r="C30" s="2">
        <v>1973</v>
      </c>
      <c r="D30" s="2">
        <f t="shared" si="0"/>
        <v>51</v>
      </c>
    </row>
    <row r="31" spans="1:4" ht="14.25" customHeight="1" x14ac:dyDescent="0.25">
      <c r="A31" s="2" t="s">
        <v>236</v>
      </c>
      <c r="B31" s="2" t="s">
        <v>1073</v>
      </c>
      <c r="C31" s="2">
        <v>1998</v>
      </c>
      <c r="D31" s="2">
        <f t="shared" si="0"/>
        <v>26</v>
      </c>
    </row>
    <row r="32" spans="1:4" ht="14.25" customHeight="1" x14ac:dyDescent="0.25">
      <c r="A32" s="2" t="s">
        <v>238</v>
      </c>
      <c r="B32" s="2" t="s">
        <v>1064</v>
      </c>
      <c r="C32" s="2">
        <v>2012</v>
      </c>
      <c r="D32" s="2">
        <f t="shared" si="0"/>
        <v>12</v>
      </c>
    </row>
    <row r="33" spans="1:4" ht="14.25" customHeight="1" x14ac:dyDescent="0.25">
      <c r="A33" s="2" t="s">
        <v>239</v>
      </c>
      <c r="B33" s="2" t="s">
        <v>235</v>
      </c>
      <c r="C33" s="2">
        <v>1966</v>
      </c>
      <c r="D33" s="2">
        <f t="shared" si="0"/>
        <v>58</v>
      </c>
    </row>
    <row r="34" spans="1:4" ht="14.25" customHeight="1" x14ac:dyDescent="0.25">
      <c r="A34" s="2" t="s">
        <v>240</v>
      </c>
      <c r="B34" s="2" t="s">
        <v>1066</v>
      </c>
      <c r="C34" s="2">
        <v>1808</v>
      </c>
      <c r="D34" s="2">
        <f t="shared" si="0"/>
        <v>216</v>
      </c>
    </row>
    <row r="35" spans="1:4" ht="14.25" customHeight="1" x14ac:dyDescent="0.25">
      <c r="A35" s="2" t="s">
        <v>241</v>
      </c>
      <c r="B35" s="2" t="s">
        <v>1074</v>
      </c>
      <c r="C35" s="2">
        <v>2011</v>
      </c>
      <c r="D35" s="2">
        <f t="shared" si="0"/>
        <v>13</v>
      </c>
    </row>
    <row r="36" spans="1:4" ht="14.25" customHeight="1" x14ac:dyDescent="0.25">
      <c r="A36" s="2" t="s">
        <v>242</v>
      </c>
      <c r="B36" s="2" t="s">
        <v>1063</v>
      </c>
      <c r="C36" s="2">
        <v>1901</v>
      </c>
      <c r="D36" s="2">
        <f t="shared" si="0"/>
        <v>123</v>
      </c>
    </row>
    <row r="37" spans="1:4" ht="14.25" customHeight="1" x14ac:dyDescent="0.25">
      <c r="A37" s="2" t="s">
        <v>243</v>
      </c>
      <c r="B37" s="2" t="s">
        <v>1075</v>
      </c>
      <c r="C37" s="2">
        <v>1936</v>
      </c>
      <c r="D37" s="2">
        <f t="shared" si="0"/>
        <v>88</v>
      </c>
    </row>
    <row r="38" spans="1:4" ht="14.25" customHeight="1" x14ac:dyDescent="0.25">
      <c r="A38" s="2" t="s">
        <v>244</v>
      </c>
      <c r="B38" s="2" t="s">
        <v>221</v>
      </c>
      <c r="C38" s="2">
        <v>1953</v>
      </c>
      <c r="D38" s="2">
        <f t="shared" si="0"/>
        <v>71</v>
      </c>
    </row>
    <row r="39" spans="1:4" ht="14.25" customHeight="1" x14ac:dyDescent="0.25">
      <c r="A39" s="2" t="s">
        <v>245</v>
      </c>
      <c r="B39" s="2" t="s">
        <v>223</v>
      </c>
      <c r="C39" s="2">
        <v>1957</v>
      </c>
      <c r="D39" s="2">
        <f t="shared" si="0"/>
        <v>67</v>
      </c>
    </row>
    <row r="40" spans="1:4" ht="14.25" customHeight="1" x14ac:dyDescent="0.25">
      <c r="A40" s="2" t="s">
        <v>246</v>
      </c>
      <c r="B40" s="2" t="s">
        <v>1063</v>
      </c>
      <c r="C40" s="2">
        <v>1901</v>
      </c>
      <c r="D40" s="2">
        <f t="shared" si="0"/>
        <v>123</v>
      </c>
    </row>
    <row r="41" spans="1:4" ht="14.25" customHeight="1" x14ac:dyDescent="0.25">
      <c r="A41" s="2" t="s">
        <v>247</v>
      </c>
      <c r="B41" s="2" t="s">
        <v>1075</v>
      </c>
      <c r="C41" s="2">
        <v>2010</v>
      </c>
      <c r="D41" s="2">
        <f t="shared" si="0"/>
        <v>14</v>
      </c>
    </row>
    <row r="42" spans="1:4" ht="14.25" customHeight="1" x14ac:dyDescent="0.25">
      <c r="A42" s="2" t="s">
        <v>248</v>
      </c>
      <c r="B42" s="2" t="s">
        <v>1065</v>
      </c>
      <c r="C42" s="2">
        <v>1954</v>
      </c>
      <c r="D42" s="2">
        <f t="shared" si="0"/>
        <v>70</v>
      </c>
    </row>
    <row r="43" spans="1:4" ht="14.25" customHeight="1" x14ac:dyDescent="0.25">
      <c r="A43" s="2" t="s">
        <v>249</v>
      </c>
      <c r="B43" s="2" t="s">
        <v>1076</v>
      </c>
      <c r="C43" s="2">
        <v>2015</v>
      </c>
      <c r="D43" s="2">
        <f t="shared" si="0"/>
        <v>9</v>
      </c>
    </row>
    <row r="44" spans="1:4" ht="14.25" customHeight="1" x14ac:dyDescent="0.25">
      <c r="A44" s="2" t="s">
        <v>250</v>
      </c>
      <c r="B44" s="2" t="s">
        <v>221</v>
      </c>
      <c r="C44" s="2">
        <v>2000</v>
      </c>
      <c r="D44" s="2">
        <f t="shared" si="0"/>
        <v>24</v>
      </c>
    </row>
    <row r="45" spans="1:4" ht="14.25" customHeight="1" x14ac:dyDescent="0.25">
      <c r="A45" s="2" t="s">
        <v>251</v>
      </c>
      <c r="B45" s="2" t="s">
        <v>252</v>
      </c>
      <c r="C45" s="2">
        <v>1999</v>
      </c>
      <c r="D45" s="2">
        <f t="shared" si="0"/>
        <v>25</v>
      </c>
    </row>
    <row r="46" spans="1:4" ht="14.25" customHeight="1" x14ac:dyDescent="0.25">
      <c r="A46" s="2" t="s">
        <v>253</v>
      </c>
      <c r="B46" s="2" t="s">
        <v>254</v>
      </c>
      <c r="C46" s="2">
        <v>2013</v>
      </c>
      <c r="D46" s="2">
        <f t="shared" si="0"/>
        <v>11</v>
      </c>
    </row>
    <row r="47" spans="1:4" ht="14.25" customHeight="1" x14ac:dyDescent="0.25">
      <c r="A47" s="2" t="s">
        <v>255</v>
      </c>
      <c r="B47" s="2" t="s">
        <v>256</v>
      </c>
      <c r="C47" s="2">
        <v>1973</v>
      </c>
      <c r="D47" s="2">
        <f t="shared" si="0"/>
        <v>51</v>
      </c>
    </row>
    <row r="48" spans="1:4" ht="14.25" customHeight="1" x14ac:dyDescent="0.25">
      <c r="A48" s="2" t="s">
        <v>257</v>
      </c>
      <c r="B48" s="2" t="s">
        <v>1073</v>
      </c>
      <c r="C48" s="2">
        <v>1983</v>
      </c>
      <c r="D48" s="2">
        <f t="shared" si="0"/>
        <v>41</v>
      </c>
    </row>
    <row r="49" spans="1:4" ht="14.25" customHeight="1" x14ac:dyDescent="0.25">
      <c r="A49" s="2" t="s">
        <v>258</v>
      </c>
      <c r="B49" s="2" t="s">
        <v>1065</v>
      </c>
      <c r="C49" s="2">
        <v>1952</v>
      </c>
      <c r="D49" s="2">
        <f t="shared" si="0"/>
        <v>72</v>
      </c>
    </row>
    <row r="50" spans="1:4" ht="14.25" customHeight="1" x14ac:dyDescent="0.25">
      <c r="A50" s="2" t="s">
        <v>259</v>
      </c>
      <c r="B50" s="2" t="s">
        <v>1065</v>
      </c>
      <c r="C50" s="2">
        <v>1962</v>
      </c>
      <c r="D50" s="2">
        <f t="shared" si="0"/>
        <v>62</v>
      </c>
    </row>
    <row r="51" spans="1:4" ht="14.25" customHeight="1" x14ac:dyDescent="0.25">
      <c r="A51" s="2" t="s">
        <v>260</v>
      </c>
      <c r="B51" s="2" t="s">
        <v>196</v>
      </c>
      <c r="C51" s="2">
        <v>2010</v>
      </c>
      <c r="D51" s="2">
        <f t="shared" si="0"/>
        <v>14</v>
      </c>
    </row>
    <row r="52" spans="1:4" ht="14.25" customHeight="1" x14ac:dyDescent="0.25">
      <c r="A52" s="2" t="s">
        <v>261</v>
      </c>
      <c r="B52" s="2" t="s">
        <v>1077</v>
      </c>
      <c r="C52" s="2">
        <v>1961</v>
      </c>
      <c r="D52" s="2">
        <f t="shared" si="0"/>
        <v>63</v>
      </c>
    </row>
    <row r="53" spans="1:4" ht="14.25" customHeight="1" x14ac:dyDescent="0.25">
      <c r="A53" s="2" t="s">
        <v>263</v>
      </c>
      <c r="B53" s="2" t="s">
        <v>264</v>
      </c>
      <c r="C53" s="2">
        <v>1977</v>
      </c>
      <c r="D53" s="2">
        <f t="shared" si="0"/>
        <v>47</v>
      </c>
    </row>
    <row r="54" spans="1:4" ht="14.25" customHeight="1" x14ac:dyDescent="0.25">
      <c r="A54" s="2" t="s">
        <v>127</v>
      </c>
      <c r="B54" s="2" t="s">
        <v>1076</v>
      </c>
      <c r="C54" s="2">
        <v>2009</v>
      </c>
      <c r="D54" s="2">
        <f t="shared" si="0"/>
        <v>15</v>
      </c>
    </row>
    <row r="55" spans="1:4" ht="14.25" customHeight="1" x14ac:dyDescent="0.25">
      <c r="A55" s="2" t="s">
        <v>265</v>
      </c>
      <c r="B55" s="2" t="s">
        <v>1078</v>
      </c>
      <c r="C55" s="2">
        <v>1998</v>
      </c>
      <c r="D55" s="2">
        <f t="shared" si="0"/>
        <v>26</v>
      </c>
    </row>
    <row r="56" spans="1:4" ht="14.25" customHeight="1" x14ac:dyDescent="0.25">
      <c r="A56" s="2" t="s">
        <v>267</v>
      </c>
      <c r="B56" s="2" t="s">
        <v>213</v>
      </c>
      <c r="C56" s="2">
        <v>1964</v>
      </c>
      <c r="D56" s="2">
        <f t="shared" si="0"/>
        <v>60</v>
      </c>
    </row>
    <row r="57" spans="1:4" ht="14.25" customHeight="1" x14ac:dyDescent="0.25">
      <c r="A57" s="2" t="s">
        <v>268</v>
      </c>
      <c r="B57" s="2" t="s">
        <v>1065</v>
      </c>
      <c r="C57" s="2">
        <v>1999</v>
      </c>
      <c r="D57" s="2">
        <f t="shared" si="0"/>
        <v>25</v>
      </c>
    </row>
    <row r="58" spans="1:4" ht="14.25" customHeight="1" x14ac:dyDescent="0.25">
      <c r="A58" s="2" t="s">
        <v>269</v>
      </c>
      <c r="B58" s="2" t="s">
        <v>196</v>
      </c>
      <c r="C58" s="2">
        <v>1992</v>
      </c>
      <c r="D58" s="2">
        <f t="shared" si="0"/>
        <v>32</v>
      </c>
    </row>
    <row r="59" spans="1:4" ht="14.25" customHeight="1" x14ac:dyDescent="0.25">
      <c r="A59" s="2" t="s">
        <v>270</v>
      </c>
      <c r="B59" s="2" t="s">
        <v>196</v>
      </c>
      <c r="C59" s="2">
        <v>2012</v>
      </c>
      <c r="D59" s="2">
        <f t="shared" si="0"/>
        <v>12</v>
      </c>
    </row>
    <row r="60" spans="1:4" ht="14.25" customHeight="1" x14ac:dyDescent="0.25">
      <c r="A60" s="2" t="s">
        <v>271</v>
      </c>
      <c r="B60" s="2" t="s">
        <v>254</v>
      </c>
      <c r="C60" s="2">
        <v>1939</v>
      </c>
      <c r="D60" s="2">
        <f t="shared" si="0"/>
        <v>85</v>
      </c>
    </row>
    <row r="61" spans="1:4" ht="14.25" customHeight="1" x14ac:dyDescent="0.25">
      <c r="A61" s="2" t="s">
        <v>272</v>
      </c>
      <c r="B61" s="2" t="s">
        <v>223</v>
      </c>
      <c r="C61" s="2">
        <v>2002</v>
      </c>
      <c r="D61" s="2">
        <f t="shared" si="0"/>
        <v>22</v>
      </c>
    </row>
    <row r="62" spans="1:4" ht="14.25" customHeight="1" x14ac:dyDescent="0.25">
      <c r="A62" s="2" t="s">
        <v>273</v>
      </c>
      <c r="B62" s="2" t="s">
        <v>1068</v>
      </c>
      <c r="C62" s="2">
        <v>1979</v>
      </c>
      <c r="D62" s="2">
        <f t="shared" si="0"/>
        <v>45</v>
      </c>
    </row>
    <row r="63" spans="1:4" ht="14.25" customHeight="1" x14ac:dyDescent="0.25">
      <c r="A63" s="2" t="s">
        <v>274</v>
      </c>
      <c r="B63" s="2" t="s">
        <v>204</v>
      </c>
      <c r="C63" s="2">
        <v>1926</v>
      </c>
      <c r="D63" s="2">
        <f t="shared" si="0"/>
        <v>98</v>
      </c>
    </row>
    <row r="64" spans="1:4" ht="14.25" customHeight="1" x14ac:dyDescent="0.25">
      <c r="A64" s="2" t="s">
        <v>275</v>
      </c>
      <c r="B64" s="2" t="s">
        <v>218</v>
      </c>
      <c r="C64" s="2">
        <v>1967</v>
      </c>
      <c r="D64" s="2">
        <f t="shared" si="0"/>
        <v>57</v>
      </c>
    </row>
    <row r="65" spans="1:4" ht="14.25" customHeight="1" x14ac:dyDescent="0.25">
      <c r="A65" s="2" t="s">
        <v>276</v>
      </c>
      <c r="B65" s="2" t="s">
        <v>1069</v>
      </c>
      <c r="C65" s="2">
        <v>1907</v>
      </c>
      <c r="D65" s="2">
        <f t="shared" si="0"/>
        <v>117</v>
      </c>
    </row>
    <row r="66" spans="1:4" ht="14.25" customHeight="1" x14ac:dyDescent="0.25">
      <c r="A66" s="2" t="s">
        <v>277</v>
      </c>
      <c r="B66" s="2" t="s">
        <v>1068</v>
      </c>
      <c r="C66" s="2">
        <v>1962</v>
      </c>
      <c r="D66" s="2">
        <f t="shared" si="0"/>
        <v>62</v>
      </c>
    </row>
    <row r="67" spans="1:4" ht="14.25" customHeight="1" x14ac:dyDescent="0.25">
      <c r="A67" s="2" t="s">
        <v>278</v>
      </c>
      <c r="B67" s="2" t="s">
        <v>279</v>
      </c>
      <c r="C67" s="2">
        <v>1969</v>
      </c>
      <c r="D67" s="2">
        <f t="shared" si="0"/>
        <v>55</v>
      </c>
    </row>
    <row r="68" spans="1:4" ht="14.25" customHeight="1" x14ac:dyDescent="0.25">
      <c r="A68" s="2" t="s">
        <v>280</v>
      </c>
      <c r="B68" s="2" t="s">
        <v>281</v>
      </c>
      <c r="C68" s="2">
        <v>1969</v>
      </c>
      <c r="D68" s="2">
        <f t="shared" si="0"/>
        <v>55</v>
      </c>
    </row>
    <row r="69" spans="1:4" ht="14.25" customHeight="1" x14ac:dyDescent="0.25">
      <c r="A69" s="2" t="s">
        <v>282</v>
      </c>
      <c r="B69" s="2" t="s">
        <v>223</v>
      </c>
      <c r="C69" s="2">
        <v>1974</v>
      </c>
      <c r="D69" s="2">
        <f t="shared" si="0"/>
        <v>50</v>
      </c>
    </row>
    <row r="70" spans="1:4" ht="14.25" customHeight="1" x14ac:dyDescent="0.25">
      <c r="A70" s="2" t="s">
        <v>283</v>
      </c>
      <c r="B70" s="2" t="s">
        <v>1066</v>
      </c>
      <c r="C70" s="2">
        <v>1890</v>
      </c>
      <c r="D70" s="2">
        <f t="shared" si="0"/>
        <v>134</v>
      </c>
    </row>
    <row r="71" spans="1:4" ht="14.25" customHeight="1" x14ac:dyDescent="0.25">
      <c r="A71" s="2" t="s">
        <v>285</v>
      </c>
      <c r="B71" s="2" t="s">
        <v>286</v>
      </c>
      <c r="C71" s="2">
        <v>2001</v>
      </c>
      <c r="D71" s="2">
        <f t="shared" si="0"/>
        <v>23</v>
      </c>
    </row>
    <row r="72" spans="1:4" ht="14.25" customHeight="1" x14ac:dyDescent="0.25">
      <c r="A72" s="2" t="s">
        <v>287</v>
      </c>
      <c r="B72" s="2" t="s">
        <v>1079</v>
      </c>
      <c r="C72" s="2">
        <v>1938</v>
      </c>
      <c r="D72" s="2">
        <f t="shared" si="0"/>
        <v>86</v>
      </c>
    </row>
    <row r="73" spans="1:4" ht="14.25" customHeight="1" x14ac:dyDescent="0.25">
      <c r="A73" s="2" t="s">
        <v>289</v>
      </c>
      <c r="B73" s="2" t="s">
        <v>204</v>
      </c>
      <c r="C73" s="2">
        <v>1979</v>
      </c>
      <c r="D73" s="2">
        <f t="shared" si="0"/>
        <v>45</v>
      </c>
    </row>
    <row r="74" spans="1:4" ht="14.25" customHeight="1" x14ac:dyDescent="0.25">
      <c r="A74" s="2" t="s">
        <v>290</v>
      </c>
      <c r="B74" s="2" t="s">
        <v>223</v>
      </c>
      <c r="C74" s="2">
        <v>1965</v>
      </c>
      <c r="D74" s="2">
        <f t="shared" si="0"/>
        <v>59</v>
      </c>
    </row>
    <row r="75" spans="1:4" ht="14.25" customHeight="1" x14ac:dyDescent="0.25">
      <c r="A75" s="2" t="s">
        <v>291</v>
      </c>
      <c r="B75" s="2" t="s">
        <v>223</v>
      </c>
      <c r="C75" s="2">
        <v>1975</v>
      </c>
      <c r="D75" s="2">
        <f t="shared" si="0"/>
        <v>49</v>
      </c>
    </row>
    <row r="76" spans="1:4" ht="14.25" customHeight="1" x14ac:dyDescent="0.25">
      <c r="A76" s="2" t="s">
        <v>292</v>
      </c>
      <c r="B76" s="2" t="s">
        <v>223</v>
      </c>
      <c r="C76" s="2">
        <v>1952</v>
      </c>
      <c r="D76" s="2">
        <f t="shared" si="0"/>
        <v>72</v>
      </c>
    </row>
    <row r="77" spans="1:4" ht="14.25" customHeight="1" x14ac:dyDescent="0.25">
      <c r="A77" s="2" t="s">
        <v>293</v>
      </c>
      <c r="B77" s="2" t="s">
        <v>1080</v>
      </c>
      <c r="C77" s="2">
        <v>1973</v>
      </c>
      <c r="D77" s="2">
        <f t="shared" si="0"/>
        <v>51</v>
      </c>
    </row>
    <row r="78" spans="1:4" ht="14.25" customHeight="1" x14ac:dyDescent="0.25">
      <c r="A78" s="2" t="s">
        <v>295</v>
      </c>
      <c r="B78" s="2" t="s">
        <v>296</v>
      </c>
      <c r="C78" s="2">
        <v>1972</v>
      </c>
      <c r="D78" s="2">
        <f t="shared" si="0"/>
        <v>52</v>
      </c>
    </row>
    <row r="79" spans="1:4" ht="14.25" customHeight="1" x14ac:dyDescent="0.25">
      <c r="A79" s="2" t="s">
        <v>297</v>
      </c>
      <c r="B79" s="2" t="s">
        <v>1067</v>
      </c>
      <c r="C79" s="2">
        <v>2000</v>
      </c>
      <c r="D79" s="2">
        <f t="shared" si="0"/>
        <v>24</v>
      </c>
    </row>
    <row r="80" spans="1: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5703125" defaultRowHeight="15" customHeight="1" x14ac:dyDescent="0.25"/>
  <cols>
    <col min="1" max="1" width="9" customWidth="1"/>
    <col min="2" max="2" width="17.42578125" customWidth="1"/>
    <col min="3" max="3" width="16.42578125" customWidth="1"/>
    <col min="4" max="4" width="18.42578125" customWidth="1"/>
    <col min="5" max="5" width="19.42578125" customWidth="1"/>
    <col min="6" max="6" width="20" customWidth="1"/>
    <col min="7" max="7" width="12.140625" customWidth="1"/>
    <col min="8" max="8" width="15.28515625" customWidth="1"/>
    <col min="9" max="9" width="14.7109375" customWidth="1"/>
    <col min="10" max="10" width="16.140625" customWidth="1"/>
    <col min="11" max="11" width="18.28515625" customWidth="1"/>
    <col min="12" max="26" width="8.5703125" customWidth="1"/>
  </cols>
  <sheetData>
    <row r="1" spans="1:26" ht="31.5" x14ac:dyDescent="0.25">
      <c r="A1" s="9" t="s">
        <v>1081</v>
      </c>
      <c r="B1" s="10" t="s">
        <v>1082</v>
      </c>
      <c r="C1" s="10" t="s">
        <v>1083</v>
      </c>
      <c r="D1" s="10" t="s">
        <v>1084</v>
      </c>
      <c r="E1" s="10" t="s">
        <v>1085</v>
      </c>
      <c r="F1" s="10" t="s">
        <v>1086</v>
      </c>
      <c r="G1" s="10" t="s">
        <v>1081</v>
      </c>
      <c r="H1" s="10" t="s">
        <v>1087</v>
      </c>
      <c r="I1" s="10" t="s">
        <v>1088</v>
      </c>
      <c r="J1" s="10" t="s">
        <v>1089</v>
      </c>
      <c r="K1" s="10" t="s">
        <v>11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x14ac:dyDescent="0.25">
      <c r="A2" s="12" t="s">
        <v>19</v>
      </c>
      <c r="B2" s="13">
        <v>9.02</v>
      </c>
      <c r="C2" s="14">
        <v>5.2</v>
      </c>
      <c r="D2" s="13">
        <v>9.18</v>
      </c>
      <c r="E2" s="13">
        <v>9.56</v>
      </c>
      <c r="F2" s="15">
        <v>45317.754861111112</v>
      </c>
      <c r="G2" s="11" t="s">
        <v>19</v>
      </c>
      <c r="H2" s="16" t="e">
        <f>VLOOKUP(G2,Total_de_acoes!A:B,4,0)</f>
        <v>#REF!</v>
      </c>
      <c r="I2" s="17">
        <f t="shared" ref="I2:I51" si="0">C2/100</f>
        <v>5.2000000000000005E-2</v>
      </c>
      <c r="J2" s="18">
        <f t="shared" ref="J2:J51" si="1">B2/(1+I2)</f>
        <v>8.5741444866920151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x14ac:dyDescent="0.25">
      <c r="A3" s="12" t="s">
        <v>21</v>
      </c>
      <c r="B3" s="13">
        <v>6.66</v>
      </c>
      <c r="C3" s="14">
        <v>2.4</v>
      </c>
      <c r="D3" s="13">
        <v>6.66</v>
      </c>
      <c r="E3" s="13">
        <v>6.86</v>
      </c>
      <c r="F3" s="15">
        <v>45317.754861111112</v>
      </c>
      <c r="G3" s="11" t="s">
        <v>21</v>
      </c>
      <c r="H3" s="16" t="e">
        <f>VLOOKUP(G3,Total_de_acoes!A:B,4,0)</f>
        <v>#REF!</v>
      </c>
      <c r="I3" s="17">
        <f t="shared" si="0"/>
        <v>2.4E-2</v>
      </c>
      <c r="J3" s="18">
        <f t="shared" si="1"/>
        <v>6.50390625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x14ac:dyDescent="0.25">
      <c r="A4" s="12" t="s">
        <v>23</v>
      </c>
      <c r="B4" s="13">
        <v>41.06</v>
      </c>
      <c r="C4" s="14">
        <v>2.19</v>
      </c>
      <c r="D4" s="13">
        <v>40.81</v>
      </c>
      <c r="E4" s="13">
        <v>42.34</v>
      </c>
      <c r="F4" s="15">
        <v>45317.754861111112</v>
      </c>
      <c r="G4" s="11" t="s">
        <v>23</v>
      </c>
      <c r="H4" s="16" t="e">
        <f>VLOOKUP(G4,Total_de_acoes!A:B,4,0)</f>
        <v>#REF!</v>
      </c>
      <c r="I4" s="17">
        <f t="shared" si="0"/>
        <v>2.1899999999999999E-2</v>
      </c>
      <c r="J4" s="18">
        <f t="shared" si="1"/>
        <v>40.180056757021234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x14ac:dyDescent="0.25">
      <c r="A5" s="12" t="s">
        <v>27</v>
      </c>
      <c r="B5" s="13">
        <v>36.36</v>
      </c>
      <c r="C5" s="14">
        <v>2.04</v>
      </c>
      <c r="D5" s="13">
        <v>36.36</v>
      </c>
      <c r="E5" s="13">
        <v>37.32</v>
      </c>
      <c r="F5" s="15">
        <v>45317.754861111112</v>
      </c>
      <c r="G5" s="11" t="s">
        <v>27</v>
      </c>
      <c r="H5" s="16" t="e">
        <f>VLOOKUP(G5,Total_de_acoes!A:B,4,0)</f>
        <v>#REF!</v>
      </c>
      <c r="I5" s="17">
        <f t="shared" si="0"/>
        <v>2.0400000000000001E-2</v>
      </c>
      <c r="J5" s="18">
        <f t="shared" si="1"/>
        <v>35.633085064680515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x14ac:dyDescent="0.25">
      <c r="A6" s="12" t="s">
        <v>25</v>
      </c>
      <c r="B6" s="13">
        <v>51.85</v>
      </c>
      <c r="C6" s="14">
        <v>2.04</v>
      </c>
      <c r="D6" s="13">
        <v>51.89</v>
      </c>
      <c r="E6" s="13">
        <v>53.17</v>
      </c>
      <c r="F6" s="15">
        <v>45317.754861111112</v>
      </c>
      <c r="G6" s="11" t="s">
        <v>25</v>
      </c>
      <c r="H6" s="16" t="e">
        <f>VLOOKUP(G6,Total_de_acoes!A:B,4,0)</f>
        <v>#REF!</v>
      </c>
      <c r="I6" s="17">
        <f t="shared" si="0"/>
        <v>2.0400000000000001E-2</v>
      </c>
      <c r="J6" s="18">
        <f t="shared" si="1"/>
        <v>50.813406507252061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x14ac:dyDescent="0.25">
      <c r="A7" s="12" t="s">
        <v>29</v>
      </c>
      <c r="B7" s="13">
        <v>44.8</v>
      </c>
      <c r="C7" s="14">
        <v>1.99</v>
      </c>
      <c r="D7" s="13">
        <v>44.25</v>
      </c>
      <c r="E7" s="13">
        <v>45.69</v>
      </c>
      <c r="F7" s="15">
        <v>45317.754861111112</v>
      </c>
      <c r="G7" s="11" t="s">
        <v>29</v>
      </c>
      <c r="H7" s="16" t="e">
        <f>VLOOKUP(G7,Total_de_acoes!A:B,4,0)</f>
        <v>#REF!</v>
      </c>
      <c r="I7" s="17">
        <f t="shared" si="0"/>
        <v>1.9900000000000001E-2</v>
      </c>
      <c r="J7" s="18">
        <f t="shared" si="1"/>
        <v>43.925875085792718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x14ac:dyDescent="0.25">
      <c r="A8" s="12" t="s">
        <v>31</v>
      </c>
      <c r="B8" s="13">
        <v>39.28</v>
      </c>
      <c r="C8" s="14">
        <v>1.73</v>
      </c>
      <c r="D8" s="13">
        <v>38.9</v>
      </c>
      <c r="E8" s="13">
        <v>40.090000000000003</v>
      </c>
      <c r="F8" s="15">
        <v>45317.754861111112</v>
      </c>
      <c r="G8" s="11" t="s">
        <v>31</v>
      </c>
      <c r="H8" s="16" t="e">
        <f>VLOOKUP(G8,Total_de_acoes!A:B,4,0)</f>
        <v>#REF!</v>
      </c>
      <c r="I8" s="17">
        <f t="shared" si="0"/>
        <v>1.7299999999999999E-2</v>
      </c>
      <c r="J8" s="18">
        <f t="shared" si="1"/>
        <v>38.61201218912808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x14ac:dyDescent="0.25">
      <c r="A9" s="12" t="s">
        <v>33</v>
      </c>
      <c r="B9" s="13">
        <v>68.37</v>
      </c>
      <c r="C9" s="14">
        <v>1.65</v>
      </c>
      <c r="D9" s="13">
        <v>67.5</v>
      </c>
      <c r="E9" s="13">
        <v>69.81</v>
      </c>
      <c r="F9" s="15">
        <v>45317.754861111112</v>
      </c>
      <c r="G9" s="11" t="s">
        <v>33</v>
      </c>
      <c r="H9" s="16" t="e">
        <f>VLOOKUP(G9,Total_de_acoes!A:B,4,0)</f>
        <v>#REF!</v>
      </c>
      <c r="I9" s="17">
        <f t="shared" si="0"/>
        <v>1.6500000000000001E-2</v>
      </c>
      <c r="J9" s="18">
        <f t="shared" si="1"/>
        <v>67.260206591244469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x14ac:dyDescent="0.25">
      <c r="A10" s="12" t="s">
        <v>35</v>
      </c>
      <c r="B10" s="13">
        <v>27.75</v>
      </c>
      <c r="C10" s="14">
        <v>1.59</v>
      </c>
      <c r="D10" s="13">
        <v>27.71</v>
      </c>
      <c r="E10" s="13">
        <v>28.36</v>
      </c>
      <c r="F10" s="15">
        <v>45317.754861111112</v>
      </c>
      <c r="G10" s="11" t="s">
        <v>35</v>
      </c>
      <c r="H10" s="16" t="e">
        <f>VLOOKUP(G10,Total_de_acoes!A:B,4,0)</f>
        <v>#REF!</v>
      </c>
      <c r="I10" s="17">
        <f t="shared" si="0"/>
        <v>1.5900000000000001E-2</v>
      </c>
      <c r="J10" s="18">
        <f t="shared" si="1"/>
        <v>27.31568067723201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x14ac:dyDescent="0.25">
      <c r="A11" s="12" t="s">
        <v>37</v>
      </c>
      <c r="B11" s="13">
        <v>32.33</v>
      </c>
      <c r="C11" s="14">
        <v>1.48</v>
      </c>
      <c r="D11" s="13">
        <v>32.35</v>
      </c>
      <c r="E11" s="13">
        <v>32.9</v>
      </c>
      <c r="F11" s="15">
        <v>45317.754861111112</v>
      </c>
      <c r="G11" s="11" t="s">
        <v>37</v>
      </c>
      <c r="H11" s="16" t="e">
        <f>VLOOKUP(G11,Total_de_acoes!A:B,4,0)</f>
        <v>#REF!</v>
      </c>
      <c r="I11" s="17">
        <f t="shared" si="0"/>
        <v>1.4800000000000001E-2</v>
      </c>
      <c r="J11" s="18">
        <f t="shared" si="1"/>
        <v>31.858494284588097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x14ac:dyDescent="0.25">
      <c r="A12" s="12" t="s">
        <v>39</v>
      </c>
      <c r="B12" s="13">
        <v>27.17</v>
      </c>
      <c r="C12" s="14">
        <v>1.44</v>
      </c>
      <c r="D12" s="13">
        <v>26.9</v>
      </c>
      <c r="E12" s="13">
        <v>27.91</v>
      </c>
      <c r="F12" s="15">
        <v>45317.754861111112</v>
      </c>
      <c r="G12" s="11" t="s">
        <v>39</v>
      </c>
      <c r="H12" s="16" t="e">
        <f>VLOOKUP(G12,Total_de_acoes!A:B,4,0)</f>
        <v>#REF!</v>
      </c>
      <c r="I12" s="17">
        <f t="shared" si="0"/>
        <v>1.44E-2</v>
      </c>
      <c r="J12" s="18">
        <f t="shared" si="1"/>
        <v>26.784305993690854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x14ac:dyDescent="0.25">
      <c r="A13" s="12" t="s">
        <v>43</v>
      </c>
      <c r="B13" s="13">
        <v>14.07</v>
      </c>
      <c r="C13" s="14">
        <v>1.42</v>
      </c>
      <c r="D13" s="13">
        <v>13.8</v>
      </c>
      <c r="E13" s="13">
        <v>14.36</v>
      </c>
      <c r="F13" s="15">
        <v>45317.754861111112</v>
      </c>
      <c r="G13" s="11" t="s">
        <v>43</v>
      </c>
      <c r="H13" s="16" t="e">
        <f>VLOOKUP(G13,Total_de_acoes!A:B,4,0)</f>
        <v>#REF!</v>
      </c>
      <c r="I13" s="17">
        <f t="shared" si="0"/>
        <v>1.4199999999999999E-2</v>
      </c>
      <c r="J13" s="18">
        <f t="shared" si="1"/>
        <v>13.873003352395978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x14ac:dyDescent="0.25">
      <c r="A14" s="12" t="s">
        <v>41</v>
      </c>
      <c r="B14" s="13">
        <v>18.29</v>
      </c>
      <c r="C14" s="14">
        <v>1.42</v>
      </c>
      <c r="D14" s="13">
        <v>18.29</v>
      </c>
      <c r="E14" s="13">
        <v>18.73</v>
      </c>
      <c r="F14" s="15">
        <v>45317.754861111112</v>
      </c>
      <c r="G14" s="11" t="s">
        <v>41</v>
      </c>
      <c r="H14" s="16" t="e">
        <f>VLOOKUP(G14,Total_de_acoes!A:B,4,0)</f>
        <v>#REF!</v>
      </c>
      <c r="I14" s="17">
        <f t="shared" si="0"/>
        <v>1.4199999999999999E-2</v>
      </c>
      <c r="J14" s="18">
        <f t="shared" si="1"/>
        <v>18.033918359297967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x14ac:dyDescent="0.25">
      <c r="A15" s="12" t="s">
        <v>45</v>
      </c>
      <c r="B15" s="13">
        <v>28.35</v>
      </c>
      <c r="C15" s="14">
        <v>1.41</v>
      </c>
      <c r="D15" s="13">
        <v>28</v>
      </c>
      <c r="E15" s="13">
        <v>28.75</v>
      </c>
      <c r="F15" s="15">
        <v>45317.754861111112</v>
      </c>
      <c r="G15" s="11" t="s">
        <v>45</v>
      </c>
      <c r="H15" s="16" t="e">
        <f>VLOOKUP(G15,Total_de_acoes!A:B,4,0)</f>
        <v>#REF!</v>
      </c>
      <c r="I15" s="17">
        <f t="shared" si="0"/>
        <v>1.41E-2</v>
      </c>
      <c r="J15" s="18">
        <f t="shared" si="1"/>
        <v>27.955822897150185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x14ac:dyDescent="0.25">
      <c r="A16" s="12" t="s">
        <v>47</v>
      </c>
      <c r="B16" s="13">
        <v>34.85</v>
      </c>
      <c r="C16" s="14">
        <v>1.35</v>
      </c>
      <c r="D16" s="13">
        <v>34.85</v>
      </c>
      <c r="E16" s="13">
        <v>35.76</v>
      </c>
      <c r="F16" s="15">
        <v>45317.754861111112</v>
      </c>
      <c r="G16" s="11" t="s">
        <v>47</v>
      </c>
      <c r="H16" s="16" t="e">
        <f>VLOOKUP(G16,Total_de_acoes!A:B,4,0)</f>
        <v>#REF!</v>
      </c>
      <c r="I16" s="17">
        <f t="shared" si="0"/>
        <v>1.3500000000000002E-2</v>
      </c>
      <c r="J16" s="18">
        <f t="shared" si="1"/>
        <v>34.385791810557471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x14ac:dyDescent="0.25">
      <c r="A17" s="12" t="s">
        <v>49</v>
      </c>
      <c r="B17" s="13">
        <v>17.920000000000002</v>
      </c>
      <c r="C17" s="14">
        <v>1.34</v>
      </c>
      <c r="D17" s="13">
        <v>18</v>
      </c>
      <c r="E17" s="13">
        <v>18.48</v>
      </c>
      <c r="F17" s="15">
        <v>45317.754861111112</v>
      </c>
      <c r="G17" s="11" t="s">
        <v>49</v>
      </c>
      <c r="H17" s="16" t="e">
        <f>VLOOKUP(G17,Total_de_acoes!A:B,4,0)</f>
        <v>#REF!</v>
      </c>
      <c r="I17" s="17">
        <f t="shared" si="0"/>
        <v>1.34E-2</v>
      </c>
      <c r="J17" s="18">
        <f t="shared" si="1"/>
        <v>17.683047167949479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x14ac:dyDescent="0.25">
      <c r="A18" s="12" t="s">
        <v>53</v>
      </c>
      <c r="B18" s="13">
        <v>27.95</v>
      </c>
      <c r="C18" s="14">
        <v>1.29</v>
      </c>
      <c r="D18" s="13">
        <v>27.84</v>
      </c>
      <c r="E18" s="13">
        <v>28.39</v>
      </c>
      <c r="F18" s="15">
        <v>45317.754861111112</v>
      </c>
      <c r="G18" s="11" t="s">
        <v>53</v>
      </c>
      <c r="H18" s="16" t="e">
        <f>VLOOKUP(G18,Total_de_acoes!A:B,4,0)</f>
        <v>#REF!</v>
      </c>
      <c r="I18" s="17">
        <f t="shared" si="0"/>
        <v>1.29E-2</v>
      </c>
      <c r="J18" s="18">
        <f t="shared" si="1"/>
        <v>27.594036923684474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x14ac:dyDescent="0.25">
      <c r="A19" s="12" t="s">
        <v>51</v>
      </c>
      <c r="B19" s="13">
        <v>19.52</v>
      </c>
      <c r="C19" s="14">
        <v>1.28</v>
      </c>
      <c r="D19" s="13">
        <v>18.98</v>
      </c>
      <c r="E19" s="13">
        <v>19.78</v>
      </c>
      <c r="F19" s="15">
        <v>45317.754861111112</v>
      </c>
      <c r="G19" s="11" t="s">
        <v>51</v>
      </c>
      <c r="H19" s="16" t="e">
        <f>VLOOKUP(G19,Total_de_acoes!A:B,4,0)</f>
        <v>#REF!</v>
      </c>
      <c r="I19" s="17">
        <f t="shared" si="0"/>
        <v>1.2800000000000001E-2</v>
      </c>
      <c r="J19" s="18">
        <f t="shared" si="1"/>
        <v>19.273301737756714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x14ac:dyDescent="0.25">
      <c r="A20" s="12" t="s">
        <v>55</v>
      </c>
      <c r="B20" s="13">
        <v>7.98</v>
      </c>
      <c r="C20" s="14">
        <v>1.25</v>
      </c>
      <c r="D20" s="13">
        <v>7.93</v>
      </c>
      <c r="E20" s="13">
        <v>8.23</v>
      </c>
      <c r="F20" s="15">
        <v>45317.754861111112</v>
      </c>
      <c r="G20" s="11" t="s">
        <v>55</v>
      </c>
      <c r="H20" s="16" t="e">
        <f>VLOOKUP(G20,Total_de_acoes!A:B,4,0)</f>
        <v>#REF!</v>
      </c>
      <c r="I20" s="17">
        <f t="shared" si="0"/>
        <v>1.2500000000000001E-2</v>
      </c>
      <c r="J20" s="18">
        <f t="shared" si="1"/>
        <v>7.8814814814814822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2" t="s">
        <v>57</v>
      </c>
      <c r="B21" s="13">
        <v>57.25</v>
      </c>
      <c r="C21" s="14">
        <v>1.1399999999999999</v>
      </c>
      <c r="D21" s="13">
        <v>56.22</v>
      </c>
      <c r="E21" s="13">
        <v>59.29</v>
      </c>
      <c r="F21" s="15">
        <v>45317.754861111112</v>
      </c>
      <c r="G21" s="11" t="s">
        <v>57</v>
      </c>
      <c r="H21" s="16" t="e">
        <f>VLOOKUP(G21,Total_de_acoes!A:B,4,0)</f>
        <v>#REF!</v>
      </c>
      <c r="I21" s="17">
        <f t="shared" si="0"/>
        <v>1.1399999999999999E-2</v>
      </c>
      <c r="J21" s="18">
        <f t="shared" si="1"/>
        <v>56.604706347636935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2" t="s">
        <v>59</v>
      </c>
      <c r="B22" s="13">
        <v>15.36</v>
      </c>
      <c r="C22" s="14">
        <v>1.04</v>
      </c>
      <c r="D22" s="13">
        <v>15.35</v>
      </c>
      <c r="E22" s="13">
        <v>15.62</v>
      </c>
      <c r="F22" s="15">
        <v>45317.754861111112</v>
      </c>
      <c r="G22" s="11" t="s">
        <v>59</v>
      </c>
      <c r="H22" s="16" t="e">
        <f>VLOOKUP(G22,Total_de_acoes!A:B,4,0)</f>
        <v>#REF!</v>
      </c>
      <c r="I22" s="17">
        <f t="shared" si="0"/>
        <v>1.04E-2</v>
      </c>
      <c r="J22" s="18">
        <f t="shared" si="1"/>
        <v>15.20190023752969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2" t="s">
        <v>61</v>
      </c>
      <c r="B23" s="13">
        <v>7.12</v>
      </c>
      <c r="C23" s="14">
        <v>0.98</v>
      </c>
      <c r="D23" s="13">
        <v>7.11</v>
      </c>
      <c r="E23" s="13">
        <v>7.24</v>
      </c>
      <c r="F23" s="15">
        <v>45317.754861111112</v>
      </c>
      <c r="G23" s="11" t="s">
        <v>61</v>
      </c>
      <c r="H23" s="16" t="e">
        <f>VLOOKUP(G23,Total_de_acoes!A:B,4,0)</f>
        <v>#REF!</v>
      </c>
      <c r="I23" s="17">
        <f t="shared" si="0"/>
        <v>9.7999999999999997E-3</v>
      </c>
      <c r="J23" s="18">
        <f t="shared" si="1"/>
        <v>7.0509011685482275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2" t="s">
        <v>63</v>
      </c>
      <c r="B24" s="13">
        <v>4.09</v>
      </c>
      <c r="C24" s="14">
        <v>0.98</v>
      </c>
      <c r="D24" s="13">
        <v>4.08</v>
      </c>
      <c r="E24" s="13">
        <v>4.2</v>
      </c>
      <c r="F24" s="15">
        <v>45317.754861111112</v>
      </c>
      <c r="G24" s="11" t="s">
        <v>63</v>
      </c>
      <c r="H24" s="16" t="e">
        <f>VLOOKUP(G24,Total_de_acoes!A:B,4,0)</f>
        <v>#REF!</v>
      </c>
      <c r="I24" s="17">
        <f t="shared" si="0"/>
        <v>9.7999999999999997E-3</v>
      </c>
      <c r="J24" s="18">
        <f t="shared" si="1"/>
        <v>4.0503069914834615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2" t="s">
        <v>65</v>
      </c>
      <c r="B25" s="13">
        <v>14.47</v>
      </c>
      <c r="C25" s="14">
        <v>0.97</v>
      </c>
      <c r="D25" s="13">
        <v>14.46</v>
      </c>
      <c r="E25" s="13">
        <v>14.93</v>
      </c>
      <c r="F25" s="15">
        <v>45317.754861111112</v>
      </c>
      <c r="G25" s="11" t="s">
        <v>65</v>
      </c>
      <c r="H25" s="16" t="e">
        <f>VLOOKUP(G25,Total_de_acoes!A:B,4,0)</f>
        <v>#REF!</v>
      </c>
      <c r="I25" s="17">
        <f t="shared" si="0"/>
        <v>9.7000000000000003E-3</v>
      </c>
      <c r="J25" s="18">
        <f t="shared" si="1"/>
        <v>14.330989402792909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2" t="s">
        <v>67</v>
      </c>
      <c r="B26" s="13">
        <v>50.75</v>
      </c>
      <c r="C26" s="14">
        <v>0.89</v>
      </c>
      <c r="D26" s="13">
        <v>50.62</v>
      </c>
      <c r="E26" s="13">
        <v>51.26</v>
      </c>
      <c r="F26" s="15">
        <v>45317.754861111112</v>
      </c>
      <c r="G26" s="11" t="s">
        <v>67</v>
      </c>
      <c r="H26" s="16" t="e">
        <f>VLOOKUP(G26,Total_de_acoes!A:B,4,0)</f>
        <v>#REF!</v>
      </c>
      <c r="I26" s="17">
        <f t="shared" si="0"/>
        <v>8.8999999999999999E-3</v>
      </c>
      <c r="J26" s="18">
        <f t="shared" si="1"/>
        <v>50.302309445931215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2" t="s">
        <v>69</v>
      </c>
      <c r="B27" s="13">
        <v>22.45</v>
      </c>
      <c r="C27" s="14">
        <v>0.85</v>
      </c>
      <c r="D27" s="13">
        <v>22.32</v>
      </c>
      <c r="E27" s="13">
        <v>22.83</v>
      </c>
      <c r="F27" s="15">
        <v>45317.754861111112</v>
      </c>
      <c r="G27" s="11" t="s">
        <v>69</v>
      </c>
      <c r="H27" s="16" t="e">
        <f>VLOOKUP(G27,Total_de_acoes!A:B,4,0)</f>
        <v>#REF!</v>
      </c>
      <c r="I27" s="17">
        <f t="shared" si="0"/>
        <v>8.5000000000000006E-3</v>
      </c>
      <c r="J27" s="18">
        <f t="shared" si="1"/>
        <v>22.260783341596429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2" t="s">
        <v>71</v>
      </c>
      <c r="B28" s="13">
        <v>4.8600000000000003</v>
      </c>
      <c r="C28" s="14">
        <v>0.82</v>
      </c>
      <c r="D28" s="13">
        <v>4.82</v>
      </c>
      <c r="E28" s="13">
        <v>4.97</v>
      </c>
      <c r="F28" s="15">
        <v>45317.754861111112</v>
      </c>
      <c r="G28" s="11" t="s">
        <v>71</v>
      </c>
      <c r="H28" s="16" t="e">
        <f>VLOOKUP(G28,Total_de_acoes!A:B,4,0)</f>
        <v>#REF!</v>
      </c>
      <c r="I28" s="17">
        <f t="shared" si="0"/>
        <v>8.199999999999999E-3</v>
      </c>
      <c r="J28" s="18">
        <f t="shared" si="1"/>
        <v>4.8204721285459238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2" t="s">
        <v>73</v>
      </c>
      <c r="B29" s="13">
        <v>7.75</v>
      </c>
      <c r="C29" s="14">
        <v>0.77</v>
      </c>
      <c r="D29" s="13">
        <v>7.7</v>
      </c>
      <c r="E29" s="13">
        <v>7.85</v>
      </c>
      <c r="F29" s="15">
        <v>45317.754861111112</v>
      </c>
      <c r="G29" s="11" t="s">
        <v>73</v>
      </c>
      <c r="H29" s="16" t="e">
        <f>VLOOKUP(G29,Total_de_acoes!A:B,4,0)</f>
        <v>#REF!</v>
      </c>
      <c r="I29" s="17">
        <f t="shared" si="0"/>
        <v>7.7000000000000002E-3</v>
      </c>
      <c r="J29" s="18">
        <f t="shared" si="1"/>
        <v>7.6907809864046834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2" t="s">
        <v>75</v>
      </c>
      <c r="B30" s="13">
        <v>17.39</v>
      </c>
      <c r="C30" s="14">
        <v>0.75</v>
      </c>
      <c r="D30" s="13">
        <v>17.36</v>
      </c>
      <c r="E30" s="13">
        <v>17.57</v>
      </c>
      <c r="F30" s="15">
        <v>45317.754861111112</v>
      </c>
      <c r="G30" s="11" t="s">
        <v>75</v>
      </c>
      <c r="H30" s="16" t="e">
        <f>VLOOKUP(G30,Total_de_acoes!A:B,4,0)</f>
        <v>#REF!</v>
      </c>
      <c r="I30" s="17">
        <f t="shared" si="0"/>
        <v>7.4999999999999997E-3</v>
      </c>
      <c r="J30" s="18">
        <f t="shared" si="1"/>
        <v>17.260545905707197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2" t="s">
        <v>77</v>
      </c>
      <c r="B31" s="13">
        <v>23.05</v>
      </c>
      <c r="C31" s="14">
        <v>0.74</v>
      </c>
      <c r="D31" s="13">
        <v>22.69</v>
      </c>
      <c r="E31" s="13">
        <v>23.28</v>
      </c>
      <c r="F31" s="15">
        <v>45317.745833333334</v>
      </c>
      <c r="G31" s="11" t="s">
        <v>77</v>
      </c>
      <c r="H31" s="16" t="e">
        <f>VLOOKUP(G31,Total_de_acoes!A:B,4,0)</f>
        <v>#REF!</v>
      </c>
      <c r="I31" s="17">
        <f t="shared" si="0"/>
        <v>7.4000000000000003E-3</v>
      </c>
      <c r="J31" s="18">
        <f t="shared" si="1"/>
        <v>22.880682946198132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2" t="s">
        <v>79</v>
      </c>
      <c r="B32" s="13">
        <v>5.51</v>
      </c>
      <c r="C32" s="14">
        <v>0.73</v>
      </c>
      <c r="D32" s="13">
        <v>5.46</v>
      </c>
      <c r="E32" s="13">
        <v>5.6</v>
      </c>
      <c r="F32" s="15">
        <v>45317.754861111112</v>
      </c>
      <c r="G32" s="11" t="s">
        <v>79</v>
      </c>
      <c r="H32" s="16" t="e">
        <f>VLOOKUP(G32,Total_de_acoes!A:B,4,0)</f>
        <v>#REF!</v>
      </c>
      <c r="I32" s="17">
        <f t="shared" si="0"/>
        <v>7.3000000000000001E-3</v>
      </c>
      <c r="J32" s="18">
        <f t="shared" si="1"/>
        <v>5.4700684999503615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2" t="s">
        <v>81</v>
      </c>
      <c r="B33" s="13">
        <v>23.66</v>
      </c>
      <c r="C33" s="14">
        <v>0.72</v>
      </c>
      <c r="D33" s="13">
        <v>23.36</v>
      </c>
      <c r="E33" s="13">
        <v>23.99</v>
      </c>
      <c r="F33" s="15">
        <v>45317.754861111112</v>
      </c>
      <c r="G33" s="11" t="s">
        <v>81</v>
      </c>
      <c r="H33" s="16" t="e">
        <f>VLOOKUP(G33,Total_de_acoes!A:B,4,0)</f>
        <v>#REF!</v>
      </c>
      <c r="I33" s="17">
        <f t="shared" si="0"/>
        <v>7.1999999999999998E-3</v>
      </c>
      <c r="J33" s="18">
        <f t="shared" si="1"/>
        <v>23.490865766481331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2" t="s">
        <v>83</v>
      </c>
      <c r="B34" s="13">
        <v>9.94</v>
      </c>
      <c r="C34" s="14">
        <v>0.7</v>
      </c>
      <c r="D34" s="13">
        <v>9.93</v>
      </c>
      <c r="E34" s="13">
        <v>10.06</v>
      </c>
      <c r="F34" s="15">
        <v>45317.754861111112</v>
      </c>
      <c r="G34" s="11" t="s">
        <v>83</v>
      </c>
      <c r="H34" s="16" t="e">
        <f>VLOOKUP(G34,Total_de_acoes!A:B,4,0)</f>
        <v>#REF!</v>
      </c>
      <c r="I34" s="17">
        <f t="shared" si="0"/>
        <v>6.9999999999999993E-3</v>
      </c>
      <c r="J34" s="18">
        <f t="shared" si="1"/>
        <v>9.87090367428004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2" t="s">
        <v>303</v>
      </c>
      <c r="B35" s="13">
        <v>21.78</v>
      </c>
      <c r="C35" s="14">
        <v>0.69</v>
      </c>
      <c r="D35" s="13">
        <v>21.8</v>
      </c>
      <c r="E35" s="13">
        <v>22.22</v>
      </c>
      <c r="F35" s="15">
        <v>45317.754861111112</v>
      </c>
      <c r="G35" s="11" t="s">
        <v>303</v>
      </c>
      <c r="H35" s="16" t="e">
        <f>VLOOKUP(G35,Total_de_acoes!A:B,4,0)</f>
        <v>#REF!</v>
      </c>
      <c r="I35" s="17">
        <f t="shared" si="0"/>
        <v>6.8999999999999999E-3</v>
      </c>
      <c r="J35" s="18">
        <f t="shared" si="1"/>
        <v>21.630747839904661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2" t="s">
        <v>304</v>
      </c>
      <c r="B36" s="13">
        <v>29.18</v>
      </c>
      <c r="C36" s="14">
        <v>0.69</v>
      </c>
      <c r="D36" s="13">
        <v>29.02</v>
      </c>
      <c r="E36" s="13">
        <v>29.67</v>
      </c>
      <c r="F36" s="15">
        <v>45317.754861111112</v>
      </c>
      <c r="G36" s="11" t="s">
        <v>304</v>
      </c>
      <c r="H36" s="16" t="e">
        <f>VLOOKUP(G36,Total_de_acoes!A:B,4,0)</f>
        <v>#REF!</v>
      </c>
      <c r="I36" s="17">
        <f t="shared" si="0"/>
        <v>6.8999999999999999E-3</v>
      </c>
      <c r="J36" s="18">
        <f t="shared" si="1"/>
        <v>28.980037739596785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2" t="s">
        <v>85</v>
      </c>
      <c r="B37" s="13">
        <v>56.59</v>
      </c>
      <c r="C37" s="14">
        <v>0.67</v>
      </c>
      <c r="D37" s="13">
        <v>56.55</v>
      </c>
      <c r="E37" s="13">
        <v>56.99</v>
      </c>
      <c r="F37" s="15">
        <v>45317.754861111112</v>
      </c>
      <c r="G37" s="11" t="s">
        <v>85</v>
      </c>
      <c r="H37" s="16" t="e">
        <f>VLOOKUP(G37,Total_de_acoes!A:B,4,0)</f>
        <v>#REF!</v>
      </c>
      <c r="I37" s="17">
        <f t="shared" si="0"/>
        <v>6.7000000000000002E-3</v>
      </c>
      <c r="J37" s="18">
        <f t="shared" si="1"/>
        <v>56.213370418198082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2" t="s">
        <v>87</v>
      </c>
      <c r="B38" s="13">
        <v>26</v>
      </c>
      <c r="C38" s="14">
        <v>0.62</v>
      </c>
      <c r="D38" s="13">
        <v>25.87</v>
      </c>
      <c r="E38" s="13">
        <v>26.38</v>
      </c>
      <c r="F38" s="15">
        <v>45317.745833333334</v>
      </c>
      <c r="G38" s="11" t="s">
        <v>87</v>
      </c>
      <c r="H38" s="16" t="e">
        <f>VLOOKUP(G38,Total_de_acoes!A:B,4,0)</f>
        <v>#REF!</v>
      </c>
      <c r="I38" s="17">
        <f t="shared" si="0"/>
        <v>6.1999999999999998E-3</v>
      </c>
      <c r="J38" s="18">
        <f t="shared" si="1"/>
        <v>25.839793281653748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2" t="s">
        <v>91</v>
      </c>
      <c r="B39" s="13">
        <v>18.46</v>
      </c>
      <c r="C39" s="14">
        <v>0.6</v>
      </c>
      <c r="D39" s="13">
        <v>18.3</v>
      </c>
      <c r="E39" s="13">
        <v>18.66</v>
      </c>
      <c r="F39" s="15">
        <v>45317.754861111112</v>
      </c>
      <c r="G39" s="11" t="s">
        <v>91</v>
      </c>
      <c r="H39" s="16" t="e">
        <f>VLOOKUP(G39,Total_de_acoes!A:B,4,0)</f>
        <v>#REF!</v>
      </c>
      <c r="I39" s="17">
        <f t="shared" si="0"/>
        <v>6.0000000000000001E-3</v>
      </c>
      <c r="J39" s="18">
        <f t="shared" si="1"/>
        <v>18.34990059642147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2" t="s">
        <v>89</v>
      </c>
      <c r="B40" s="13">
        <v>10.02</v>
      </c>
      <c r="C40" s="14">
        <v>0.6</v>
      </c>
      <c r="D40" s="13">
        <v>10.02</v>
      </c>
      <c r="E40" s="13">
        <v>10.14</v>
      </c>
      <c r="F40" s="15">
        <v>45317.754861111112</v>
      </c>
      <c r="G40" s="11" t="s">
        <v>89</v>
      </c>
      <c r="H40" s="16" t="e">
        <f>VLOOKUP(G40,Total_de_acoes!A:B,4,0)</f>
        <v>#REF!</v>
      </c>
      <c r="I40" s="17">
        <f t="shared" si="0"/>
        <v>6.0000000000000001E-3</v>
      </c>
      <c r="J40" s="18">
        <f t="shared" si="1"/>
        <v>9.9602385685884691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2" t="s">
        <v>93</v>
      </c>
      <c r="B41" s="13">
        <v>24.2</v>
      </c>
      <c r="C41" s="14">
        <v>0.57999999999999996</v>
      </c>
      <c r="D41" s="13">
        <v>24.17</v>
      </c>
      <c r="E41" s="13">
        <v>24.56</v>
      </c>
      <c r="F41" s="15">
        <v>45317.754861111112</v>
      </c>
      <c r="G41" s="11" t="s">
        <v>93</v>
      </c>
      <c r="H41" s="16" t="e">
        <f>VLOOKUP(G41,Total_de_acoes!A:B,4,0)</f>
        <v>#REF!</v>
      </c>
      <c r="I41" s="17">
        <f t="shared" si="0"/>
        <v>5.7999999999999996E-3</v>
      </c>
      <c r="J41" s="18">
        <f t="shared" si="1"/>
        <v>24.060449393517597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2" t="s">
        <v>95</v>
      </c>
      <c r="B42" s="13">
        <v>2.06</v>
      </c>
      <c r="C42" s="14">
        <v>0.48</v>
      </c>
      <c r="D42" s="13">
        <v>2.02</v>
      </c>
      <c r="E42" s="13">
        <v>2.1</v>
      </c>
      <c r="F42" s="15">
        <v>45317.754861111112</v>
      </c>
      <c r="G42" s="11" t="s">
        <v>95</v>
      </c>
      <c r="H42" s="16" t="e">
        <f>VLOOKUP(G42,Total_de_acoes!A:B,4,0)</f>
        <v>#REF!</v>
      </c>
      <c r="I42" s="17">
        <f t="shared" si="0"/>
        <v>4.7999999999999996E-3</v>
      </c>
      <c r="J42" s="18">
        <f t="shared" si="1"/>
        <v>2.0501592356687901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2" t="s">
        <v>97</v>
      </c>
      <c r="B43" s="13">
        <v>13.7</v>
      </c>
      <c r="C43" s="14">
        <v>0.36</v>
      </c>
      <c r="D43" s="13">
        <v>13.67</v>
      </c>
      <c r="E43" s="13">
        <v>13.9</v>
      </c>
      <c r="F43" s="15">
        <v>45317.754861111112</v>
      </c>
      <c r="G43" s="11" t="s">
        <v>97</v>
      </c>
      <c r="H43" s="16" t="e">
        <f>VLOOKUP(G43,Total_de_acoes!A:B,4,0)</f>
        <v>#REF!</v>
      </c>
      <c r="I43" s="17">
        <f t="shared" si="0"/>
        <v>3.5999999999999999E-3</v>
      </c>
      <c r="J43" s="18">
        <f t="shared" si="1"/>
        <v>13.650856915105619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2" t="s">
        <v>305</v>
      </c>
      <c r="B44" s="13">
        <v>36.79</v>
      </c>
      <c r="C44" s="14">
        <v>0.3</v>
      </c>
      <c r="D44" s="13">
        <v>36.770000000000003</v>
      </c>
      <c r="E44" s="13">
        <v>36.97</v>
      </c>
      <c r="F44" s="15">
        <v>45317.754861111112</v>
      </c>
      <c r="G44" s="11" t="s">
        <v>305</v>
      </c>
      <c r="H44" s="16" t="e">
        <f>VLOOKUP(G44,Total_de_acoes!A:B,4,0)</f>
        <v>#REF!</v>
      </c>
      <c r="I44" s="17">
        <f t="shared" si="0"/>
        <v>3.0000000000000001E-3</v>
      </c>
      <c r="J44" s="18">
        <f t="shared" si="1"/>
        <v>36.67996011964108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2" t="s">
        <v>99</v>
      </c>
      <c r="B45" s="13">
        <v>21.78</v>
      </c>
      <c r="C45" s="14">
        <v>0.28000000000000003</v>
      </c>
      <c r="D45" s="13">
        <v>21.7</v>
      </c>
      <c r="E45" s="13">
        <v>21.94</v>
      </c>
      <c r="F45" s="15">
        <v>45317.754861111112</v>
      </c>
      <c r="G45" s="11" t="s">
        <v>99</v>
      </c>
      <c r="H45" s="16" t="e">
        <f>VLOOKUP(G45,Total_de_acoes!A:B,4,0)</f>
        <v>#REF!</v>
      </c>
      <c r="I45" s="17">
        <f t="shared" si="0"/>
        <v>2.8000000000000004E-3</v>
      </c>
      <c r="J45" s="18">
        <f t="shared" si="1"/>
        <v>21.719186278420427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2" t="s">
        <v>101</v>
      </c>
      <c r="B46" s="13">
        <v>3.73</v>
      </c>
      <c r="C46" s="14">
        <v>0.27</v>
      </c>
      <c r="D46" s="13">
        <v>3.71</v>
      </c>
      <c r="E46" s="13">
        <v>3.78</v>
      </c>
      <c r="F46" s="15">
        <v>45317.754861111112</v>
      </c>
      <c r="G46" s="11" t="s">
        <v>101</v>
      </c>
      <c r="H46" s="16" t="e">
        <f>VLOOKUP(G46,Total_de_acoes!A:B,4,0)</f>
        <v>#REF!</v>
      </c>
      <c r="I46" s="17">
        <f t="shared" si="0"/>
        <v>2.7000000000000001E-3</v>
      </c>
      <c r="J46" s="18">
        <f t="shared" si="1"/>
        <v>3.7199561184801038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2" t="s">
        <v>103</v>
      </c>
      <c r="B47" s="13">
        <v>10.050000000000001</v>
      </c>
      <c r="C47" s="14">
        <v>0.2</v>
      </c>
      <c r="D47" s="13">
        <v>9.9600000000000009</v>
      </c>
      <c r="E47" s="13">
        <v>10.130000000000001</v>
      </c>
      <c r="F47" s="15">
        <v>45317.754861111112</v>
      </c>
      <c r="G47" s="11" t="s">
        <v>103</v>
      </c>
      <c r="H47" s="16" t="e">
        <f>VLOOKUP(G47,Total_de_acoes!A:B,4,0)</f>
        <v>#REF!</v>
      </c>
      <c r="I47" s="17">
        <f t="shared" si="0"/>
        <v>2E-3</v>
      </c>
      <c r="J47" s="18">
        <f t="shared" si="1"/>
        <v>10.02994011976048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2" t="s">
        <v>105</v>
      </c>
      <c r="B48" s="13">
        <v>8.17</v>
      </c>
      <c r="C48" s="14">
        <v>0.12</v>
      </c>
      <c r="D48" s="13">
        <v>8.11</v>
      </c>
      <c r="E48" s="13">
        <v>8.27</v>
      </c>
      <c r="F48" s="15">
        <v>45317.754861111112</v>
      </c>
      <c r="G48" s="11" t="s">
        <v>105</v>
      </c>
      <c r="H48" s="16" t="e">
        <f>VLOOKUP(G48,Total_de_acoes!A:B,4,0)</f>
        <v>#REF!</v>
      </c>
      <c r="I48" s="17">
        <f t="shared" si="0"/>
        <v>1.1999999999999999E-3</v>
      </c>
      <c r="J48" s="18">
        <f t="shared" si="1"/>
        <v>8.1602077506991595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2" t="s">
        <v>300</v>
      </c>
      <c r="B49" s="13">
        <v>37</v>
      </c>
      <c r="C49" s="14">
        <v>0.11</v>
      </c>
      <c r="D49" s="13">
        <v>36.83</v>
      </c>
      <c r="E49" s="13">
        <v>37.36</v>
      </c>
      <c r="F49" s="15">
        <v>45317.754861111112</v>
      </c>
      <c r="G49" s="11" t="s">
        <v>300</v>
      </c>
      <c r="H49" s="16" t="e">
        <f>VLOOKUP(G49,Total_de_acoes!A:B,4,0)</f>
        <v>#REF!</v>
      </c>
      <c r="I49" s="17">
        <f t="shared" si="0"/>
        <v>1.1000000000000001E-3</v>
      </c>
      <c r="J49" s="18">
        <f t="shared" si="1"/>
        <v>36.95934472080711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2" t="s">
        <v>109</v>
      </c>
      <c r="B50" s="13">
        <v>13.2</v>
      </c>
      <c r="C50" s="14">
        <v>0</v>
      </c>
      <c r="D50" s="13">
        <v>13.15</v>
      </c>
      <c r="E50" s="13">
        <v>13.29</v>
      </c>
      <c r="F50" s="15">
        <v>45317.754861111112</v>
      </c>
      <c r="G50" s="11" t="s">
        <v>109</v>
      </c>
      <c r="H50" s="16" t="e">
        <f>VLOOKUP(G50,Total_de_acoes!A:B,4,0)</f>
        <v>#REF!</v>
      </c>
      <c r="I50" s="17">
        <f t="shared" si="0"/>
        <v>0</v>
      </c>
      <c r="J50" s="18">
        <f t="shared" si="1"/>
        <v>13.2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9" t="s">
        <v>107</v>
      </c>
      <c r="B51" s="20">
        <v>9.74</v>
      </c>
      <c r="C51" s="21">
        <v>0</v>
      </c>
      <c r="D51" s="20">
        <v>9.61</v>
      </c>
      <c r="E51" s="20">
        <v>9.86</v>
      </c>
      <c r="F51" s="22">
        <v>45317.754861111112</v>
      </c>
      <c r="G51" s="11" t="s">
        <v>107</v>
      </c>
      <c r="H51" s="16" t="e">
        <f>VLOOKUP(G51,Total_de_acoes!A:B,4,0)</f>
        <v>#REF!</v>
      </c>
      <c r="I51" s="17">
        <f t="shared" si="0"/>
        <v>0</v>
      </c>
      <c r="J51" s="18">
        <f t="shared" si="1"/>
        <v>9.74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2" r:id="rId1" xr:uid="{00000000-0004-0000-0600-000000000000}"/>
    <hyperlink ref="A3" r:id="rId2" xr:uid="{00000000-0004-0000-0600-000001000000}"/>
    <hyperlink ref="A4" r:id="rId3" xr:uid="{00000000-0004-0000-0600-000002000000}"/>
    <hyperlink ref="A5" r:id="rId4" xr:uid="{00000000-0004-0000-0600-000003000000}"/>
    <hyperlink ref="A6" r:id="rId5" xr:uid="{00000000-0004-0000-0600-000004000000}"/>
    <hyperlink ref="A7" r:id="rId6" xr:uid="{00000000-0004-0000-0600-000005000000}"/>
    <hyperlink ref="A8" r:id="rId7" xr:uid="{00000000-0004-0000-0600-000006000000}"/>
    <hyperlink ref="A9" r:id="rId8" xr:uid="{00000000-0004-0000-0600-000007000000}"/>
    <hyperlink ref="A10" r:id="rId9" xr:uid="{00000000-0004-0000-0600-000008000000}"/>
    <hyperlink ref="A11" r:id="rId10" xr:uid="{00000000-0004-0000-0600-000009000000}"/>
    <hyperlink ref="A12" r:id="rId11" xr:uid="{00000000-0004-0000-0600-00000A000000}"/>
    <hyperlink ref="A13" r:id="rId12" xr:uid="{00000000-0004-0000-0600-00000B000000}"/>
    <hyperlink ref="A14" r:id="rId13" xr:uid="{00000000-0004-0000-0600-00000C000000}"/>
    <hyperlink ref="A15" r:id="rId14" xr:uid="{00000000-0004-0000-0600-00000D000000}"/>
    <hyperlink ref="A16" r:id="rId15" xr:uid="{00000000-0004-0000-0600-00000E000000}"/>
    <hyperlink ref="A17" r:id="rId16" xr:uid="{00000000-0004-0000-0600-00000F000000}"/>
    <hyperlink ref="A18" r:id="rId17" xr:uid="{00000000-0004-0000-0600-000010000000}"/>
    <hyperlink ref="A19" r:id="rId18" xr:uid="{00000000-0004-0000-0600-000011000000}"/>
    <hyperlink ref="A20" r:id="rId19" xr:uid="{00000000-0004-0000-0600-000012000000}"/>
    <hyperlink ref="A21" r:id="rId20" xr:uid="{00000000-0004-0000-0600-000013000000}"/>
    <hyperlink ref="A22" r:id="rId21" xr:uid="{00000000-0004-0000-0600-000014000000}"/>
    <hyperlink ref="A23" r:id="rId22" xr:uid="{00000000-0004-0000-0600-000015000000}"/>
    <hyperlink ref="A24" r:id="rId23" xr:uid="{00000000-0004-0000-0600-000016000000}"/>
    <hyperlink ref="A25" r:id="rId24" xr:uid="{00000000-0004-0000-0600-000017000000}"/>
    <hyperlink ref="A26" r:id="rId25" xr:uid="{00000000-0004-0000-0600-000018000000}"/>
    <hyperlink ref="A27" r:id="rId26" xr:uid="{00000000-0004-0000-0600-000019000000}"/>
    <hyperlink ref="A28" r:id="rId27" xr:uid="{00000000-0004-0000-0600-00001A000000}"/>
    <hyperlink ref="A29" r:id="rId28" xr:uid="{00000000-0004-0000-0600-00001B000000}"/>
    <hyperlink ref="A30" r:id="rId29" xr:uid="{00000000-0004-0000-0600-00001C000000}"/>
    <hyperlink ref="A31" r:id="rId30" xr:uid="{00000000-0004-0000-0600-00001D000000}"/>
    <hyperlink ref="A32" r:id="rId31" xr:uid="{00000000-0004-0000-0600-00001E000000}"/>
    <hyperlink ref="A33" r:id="rId32" xr:uid="{00000000-0004-0000-0600-00001F000000}"/>
    <hyperlink ref="A34" r:id="rId33" xr:uid="{00000000-0004-0000-0600-000020000000}"/>
    <hyperlink ref="A35" r:id="rId34" xr:uid="{00000000-0004-0000-0600-000021000000}"/>
    <hyperlink ref="A36" r:id="rId35" xr:uid="{00000000-0004-0000-0600-000022000000}"/>
    <hyperlink ref="A37" r:id="rId36" xr:uid="{00000000-0004-0000-0600-000023000000}"/>
    <hyperlink ref="A38" r:id="rId37" xr:uid="{00000000-0004-0000-0600-000024000000}"/>
    <hyperlink ref="A39" r:id="rId38" xr:uid="{00000000-0004-0000-0600-000025000000}"/>
    <hyperlink ref="A40" r:id="rId39" xr:uid="{00000000-0004-0000-0600-000026000000}"/>
    <hyperlink ref="A41" r:id="rId40" xr:uid="{00000000-0004-0000-0600-000027000000}"/>
    <hyperlink ref="A42" r:id="rId41" xr:uid="{00000000-0004-0000-0600-000028000000}"/>
    <hyperlink ref="A43" r:id="rId42" xr:uid="{00000000-0004-0000-0600-000029000000}"/>
    <hyperlink ref="A44" r:id="rId43" xr:uid="{00000000-0004-0000-0600-00002A000000}"/>
    <hyperlink ref="A45" r:id="rId44" xr:uid="{00000000-0004-0000-0600-00002B000000}"/>
    <hyperlink ref="A46" r:id="rId45" xr:uid="{00000000-0004-0000-0600-00002C000000}"/>
    <hyperlink ref="A47" r:id="rId46" xr:uid="{00000000-0004-0000-0600-00002D000000}"/>
    <hyperlink ref="A48" r:id="rId47" xr:uid="{00000000-0004-0000-0600-00002E000000}"/>
    <hyperlink ref="A49" r:id="rId48" xr:uid="{00000000-0004-0000-0600-00002F000000}"/>
    <hyperlink ref="A50" r:id="rId49" xr:uid="{00000000-0004-0000-0600-000030000000}"/>
    <hyperlink ref="A51" r:id="rId50" xr:uid="{00000000-0004-0000-0600-000031000000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Principal</vt:lpstr>
      <vt:lpstr>Análises</vt:lpstr>
      <vt:lpstr>Chatgpt</vt:lpstr>
      <vt:lpstr>Total_de_acoes</vt:lpstr>
      <vt:lpstr>Ticker</vt:lpstr>
      <vt:lpstr>Chatgpt 2</vt:lpstr>
      <vt:lpstr>Planilha1</vt:lpstr>
      <vt:lpstr>Principal!DadosExternos_1</vt:lpstr>
      <vt:lpstr>Ticker!DadosExternos_2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Laudiano</cp:lastModifiedBy>
  <dcterms:created xsi:type="dcterms:W3CDTF">2024-03-27T01:47:23Z</dcterms:created>
  <dcterms:modified xsi:type="dcterms:W3CDTF">2024-03-27T02:22:09Z</dcterms:modified>
</cp:coreProperties>
</file>