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varez/Desktop/Light networks/"/>
    </mc:Choice>
  </mc:AlternateContent>
  <xr:revisionPtr revIDLastSave="0" documentId="13_ncr:1_{708447BF-418B-AD42-818E-797F12A40E89}" xr6:coauthVersionLast="47" xr6:coauthVersionMax="47" xr10:uidLastSave="{00000000-0000-0000-0000-000000000000}"/>
  <bookViews>
    <workbookView xWindow="34660" yWindow="820" windowWidth="31120" windowHeight="17340" activeTab="1" xr2:uid="{3500DE88-56C0-824C-A3B8-9E485A3A3ABC}"/>
  </bookViews>
  <sheets>
    <sheet name="schools business cycle" sheetId="1" r:id="rId1"/>
    <sheet name="P&amp;L LN" sheetId="2" r:id="rId2"/>
    <sheet name="BS LN" sheetId="3" r:id="rId3"/>
    <sheet name="Hoja1" sheetId="5" r:id="rId4"/>
    <sheet name="Hoja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4" i="1" l="1"/>
  <c r="R19" i="1"/>
  <c r="S19" i="1"/>
  <c r="R20" i="1"/>
  <c r="S20" i="1"/>
  <c r="R21" i="1"/>
  <c r="S21" i="1"/>
  <c r="Q20" i="1"/>
  <c r="Q21" i="1"/>
  <c r="Q19" i="1"/>
  <c r="T13" i="1"/>
  <c r="T14" i="1"/>
  <c r="T12" i="1"/>
  <c r="AB11" i="1"/>
  <c r="AC11" i="1" s="1"/>
  <c r="AB12" i="1"/>
  <c r="AC12" i="1" s="1"/>
  <c r="AB14" i="1"/>
  <c r="AC14" i="1" s="1"/>
  <c r="AB10" i="1"/>
  <c r="AC10" i="1" s="1"/>
  <c r="AA14" i="1"/>
  <c r="T20" i="1" s="1"/>
  <c r="AA15" i="1"/>
  <c r="T21" i="1" s="1"/>
  <c r="AA13" i="1"/>
  <c r="T19" i="1" s="1"/>
  <c r="O19" i="1"/>
  <c r="N20" i="1"/>
  <c r="O20" i="1" s="1"/>
  <c r="N21" i="1"/>
  <c r="O21" i="1" s="1"/>
  <c r="L19" i="1"/>
  <c r="N19" i="1" s="1"/>
  <c r="N13" i="1"/>
  <c r="O13" i="1" s="1"/>
  <c r="V13" i="1" s="1"/>
  <c r="N14" i="1"/>
  <c r="O14" i="1" s="1"/>
  <c r="N12" i="1"/>
  <c r="O12" i="1" s="1"/>
  <c r="V12" i="1" s="1"/>
  <c r="L12" i="1"/>
  <c r="D6" i="1"/>
  <c r="E6" i="1" s="1"/>
  <c r="V20" i="1" l="1"/>
  <c r="V22" i="1" s="1"/>
  <c r="AB13" i="1"/>
  <c r="AC13" i="1" s="1"/>
  <c r="V19" i="1"/>
  <c r="V15" i="1"/>
  <c r="V14" i="1"/>
  <c r="AB15" i="1"/>
  <c r="AC15" i="1" s="1"/>
  <c r="V21" i="1"/>
  <c r="N22" i="1"/>
  <c r="O22" i="1"/>
  <c r="O15" i="1"/>
  <c r="N15" i="1"/>
  <c r="D14" i="1"/>
  <c r="E7" i="1"/>
  <c r="E15" i="1" s="1"/>
  <c r="E14" i="1"/>
  <c r="H6" i="1"/>
  <c r="I6" i="1" s="1"/>
  <c r="I14" i="1" s="1"/>
  <c r="D7" i="1"/>
  <c r="D15" i="1" s="1"/>
  <c r="F6" i="1"/>
  <c r="E16" i="1" l="1"/>
  <c r="E13" i="1" s="1"/>
  <c r="I16" i="1"/>
  <c r="D16" i="1"/>
  <c r="D13" i="1" s="1"/>
  <c r="H7" i="1"/>
  <c r="H15" i="1" s="1"/>
  <c r="H14" i="1"/>
  <c r="F7" i="1"/>
  <c r="F15" i="1" s="1"/>
  <c r="F14" i="1"/>
  <c r="I7" i="1"/>
  <c r="I15" i="1" s="1"/>
  <c r="J6" i="1"/>
  <c r="I13" i="1" l="1"/>
  <c r="I20" i="1" s="1"/>
  <c r="I24" i="1"/>
  <c r="I30" i="1"/>
  <c r="I21" i="1"/>
  <c r="I19" i="1"/>
  <c r="I22" i="1"/>
  <c r="H16" i="1"/>
  <c r="H13" i="1" s="1"/>
  <c r="D22" i="1"/>
  <c r="D27" i="1"/>
  <c r="D21" i="1"/>
  <c r="D23" i="1"/>
  <c r="D19" i="1"/>
  <c r="D30" i="1"/>
  <c r="D20" i="1"/>
  <c r="D24" i="1"/>
  <c r="F16" i="1"/>
  <c r="F13" i="1" s="1"/>
  <c r="E22" i="1"/>
  <c r="E19" i="1"/>
  <c r="E27" i="1"/>
  <c r="E21" i="1"/>
  <c r="E30" i="1"/>
  <c r="E23" i="1"/>
  <c r="E20" i="1"/>
  <c r="E24" i="1"/>
  <c r="J7" i="1"/>
  <c r="J15" i="1" s="1"/>
  <c r="J14" i="1"/>
  <c r="I23" i="1" l="1"/>
  <c r="I27" i="1"/>
  <c r="D18" i="1"/>
  <c r="D25" i="1" s="1"/>
  <c r="D28" i="1" s="1"/>
  <c r="D32" i="1" s="1"/>
  <c r="D34" i="1" s="1"/>
  <c r="D36" i="1" s="1"/>
  <c r="E18" i="1"/>
  <c r="E25" i="1" s="1"/>
  <c r="E28" i="1" s="1"/>
  <c r="E32" i="1" s="1"/>
  <c r="E34" i="1" s="1"/>
  <c r="E36" i="1" s="1"/>
  <c r="I18" i="1"/>
  <c r="I25" i="1" s="1"/>
  <c r="I28" i="1" s="1"/>
  <c r="I32" i="1" s="1"/>
  <c r="I34" i="1" s="1"/>
  <c r="I36" i="1" s="1"/>
  <c r="J16" i="1"/>
  <c r="J13" i="1" s="1"/>
  <c r="F23" i="1"/>
  <c r="F27" i="1"/>
  <c r="F22" i="1"/>
  <c r="F19" i="1"/>
  <c r="F20" i="1"/>
  <c r="F24" i="1"/>
  <c r="F30" i="1"/>
  <c r="F21" i="1"/>
  <c r="H27" i="1"/>
  <c r="H23" i="1"/>
  <c r="H22" i="1"/>
  <c r="H30" i="1"/>
  <c r="H20" i="1"/>
  <c r="H24" i="1"/>
  <c r="H21" i="1"/>
  <c r="H19" i="1"/>
  <c r="F18" i="1" l="1"/>
  <c r="F25" i="1" s="1"/>
  <c r="F28" i="1" s="1"/>
  <c r="F32" i="1" s="1"/>
  <c r="F34" i="1" s="1"/>
  <c r="F36" i="1" s="1"/>
  <c r="H18" i="1"/>
  <c r="H25" i="1" s="1"/>
  <c r="H28" i="1" s="1"/>
  <c r="H32" i="1" s="1"/>
  <c r="H34" i="1" s="1"/>
  <c r="H36" i="1" s="1"/>
  <c r="J27" i="1"/>
  <c r="J20" i="1"/>
  <c r="J24" i="1"/>
  <c r="J30" i="1"/>
  <c r="J23" i="1"/>
  <c r="J19" i="1"/>
  <c r="J21" i="1"/>
  <c r="J22" i="1"/>
  <c r="J18" i="1" l="1"/>
  <c r="J25" i="1" s="1"/>
  <c r="J28" i="1" s="1"/>
  <c r="J32" i="1" l="1"/>
  <c r="J34" i="1" s="1"/>
  <c r="J36" i="1" s="1"/>
</calcChain>
</file>

<file path=xl/sharedStrings.xml><?xml version="1.0" encoding="utf-8"?>
<sst xmlns="http://schemas.openxmlformats.org/spreadsheetml/2006/main" count="102" uniqueCount="44">
  <si>
    <t xml:space="preserve">Small </t>
  </si>
  <si>
    <t>Medium</t>
  </si>
  <si>
    <t>Big</t>
  </si>
  <si>
    <t>Medim</t>
  </si>
  <si>
    <t>Universities</t>
  </si>
  <si>
    <t xml:space="preserve">   tuition</t>
  </si>
  <si>
    <t xml:space="preserve">   tech</t>
  </si>
  <si>
    <t>OPEX</t>
  </si>
  <si>
    <t>mainteinance</t>
  </si>
  <si>
    <t>High schools</t>
  </si>
  <si>
    <t>Advertising</t>
  </si>
  <si>
    <t>insurance</t>
  </si>
  <si>
    <t>SG&amp;A</t>
  </si>
  <si>
    <t>Salaries</t>
  </si>
  <si>
    <t>Other</t>
  </si>
  <si>
    <t>Depreciation</t>
  </si>
  <si>
    <t>EBITDA</t>
  </si>
  <si>
    <t>EBIT</t>
  </si>
  <si>
    <t>tax 30%</t>
  </si>
  <si>
    <t>Income</t>
  </si>
  <si>
    <t>financial expenses</t>
  </si>
  <si>
    <t>ave enrollment</t>
  </si>
  <si>
    <t xml:space="preserve">   in-school sales</t>
  </si>
  <si>
    <t>Per student</t>
  </si>
  <si>
    <t>% in-school sales usd</t>
  </si>
  <si>
    <t>ave tuition month usd</t>
  </si>
  <si>
    <t>SALES</t>
  </si>
  <si>
    <t>Average per school</t>
  </si>
  <si>
    <t>TOTAL MARKET</t>
  </si>
  <si>
    <t>Total Schools</t>
  </si>
  <si>
    <t>Small</t>
  </si>
  <si>
    <t>Target Schools</t>
  </si>
  <si>
    <t>Access points</t>
  </si>
  <si>
    <t>Swiches</t>
  </si>
  <si>
    <t>Services</t>
  </si>
  <si>
    <t>$ Sales per school</t>
  </si>
  <si>
    <t>total sale</t>
  </si>
  <si>
    <t>Total</t>
  </si>
  <si>
    <t>total schools</t>
  </si>
  <si>
    <t>Light network value proposition</t>
  </si>
  <si>
    <t>High Schools</t>
  </si>
  <si>
    <t>Type</t>
  </si>
  <si>
    <t>Size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</si>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</sst>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&quot;$&quot;* #,##0_-;\-&quot;$&quot;* #,##0_-;_-&quot;$&quot;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2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44" fontId="0" fillId="0" borderId="0" xfId="0" applyNumberFormat="1" applyAlignment="1">
      <alignment horizontal="center"/>
    </xf>
    <xf numFmtId="0" fontId="0" fillId="0" borderId="0" xfId="0" applyFill="1" applyAlignment="1">
      <alignment horizontal="right"/>
    </xf>
    <xf numFmtId="0" fontId="2" fillId="0" borderId="0" xfId="0" applyFont="1" applyFill="1"/>
    <xf numFmtId="0" fontId="0" fillId="0" borderId="0" xfId="0" applyFill="1"/>
    <xf numFmtId="9" fontId="0" fillId="0" borderId="0" xfId="0" applyNumberForma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0" fontId="0" fillId="0" borderId="0" xfId="3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4" fontId="0" fillId="0" borderId="0" xfId="2" applyFont="1" applyAlignment="1">
      <alignment vertical="center" wrapText="1"/>
    </xf>
    <xf numFmtId="0" fontId="4" fillId="3" borderId="0" xfId="0" applyFont="1" applyFill="1"/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9" fontId="4" fillId="3" borderId="0" xfId="0" applyNumberFormat="1" applyFont="1" applyFill="1"/>
    <xf numFmtId="1" fontId="4" fillId="3" borderId="0" xfId="0" applyNumberFormat="1" applyFont="1" applyFill="1"/>
    <xf numFmtId="8" fontId="4" fillId="3" borderId="0" xfId="0" applyNumberFormat="1" applyFont="1" applyFill="1"/>
    <xf numFmtId="165" fontId="4" fillId="3" borderId="0" xfId="2" applyNumberFormat="1" applyFont="1" applyFill="1"/>
    <xf numFmtId="1" fontId="3" fillId="3" borderId="0" xfId="0" applyNumberFormat="1" applyFont="1" applyFill="1"/>
    <xf numFmtId="165" fontId="3" fillId="3" borderId="0" xfId="0" applyNumberFormat="1" applyFont="1" applyFill="1"/>
    <xf numFmtId="44" fontId="4" fillId="3" borderId="0" xfId="2" applyFont="1" applyFill="1"/>
    <xf numFmtId="44" fontId="3" fillId="3" borderId="0" xfId="0" applyNumberFormat="1" applyFont="1" applyFill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1" xfId="0" applyFont="1" applyFill="1" applyBorder="1"/>
    <xf numFmtId="1" fontId="4" fillId="3" borderId="1" xfId="0" applyNumberFormat="1" applyFont="1" applyFill="1" applyBorder="1"/>
    <xf numFmtId="165" fontId="4" fillId="3" borderId="1" xfId="2" applyNumberFormat="1" applyFont="1" applyFill="1" applyBorder="1"/>
    <xf numFmtId="44" fontId="3" fillId="3" borderId="2" xfId="0" applyNumberFormat="1" applyFont="1" applyFill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B08446"/>
      <color rgb="FFF4A9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2696-5FEB-E348-9E19-D5E7D8B72968}">
  <dimension ref="A1:AC36"/>
  <sheetViews>
    <sheetView showGridLines="0" topLeftCell="I1" workbookViewId="0">
      <selection activeCell="V30" sqref="V30"/>
    </sheetView>
  </sheetViews>
  <sheetFormatPr baseColWidth="10" defaultRowHeight="16" x14ac:dyDescent="0.2"/>
  <cols>
    <col min="1" max="1" width="10.83203125" style="9"/>
    <col min="2" max="2" width="18.6640625" bestFit="1" customWidth="1"/>
    <col min="3" max="3" width="3.5" style="2" customWidth="1"/>
    <col min="4" max="4" width="13" style="2" bestFit="1" customWidth="1"/>
    <col min="5" max="5" width="14.1640625" style="2" bestFit="1" customWidth="1"/>
    <col min="6" max="6" width="12.5" style="2" bestFit="1" customWidth="1"/>
    <col min="7" max="7" width="5.83203125" style="2" customWidth="1"/>
    <col min="8" max="8" width="14.1640625" style="2" bestFit="1" customWidth="1"/>
    <col min="9" max="9" width="15.1640625" style="2" bestFit="1" customWidth="1"/>
    <col min="10" max="10" width="12.5" bestFit="1" customWidth="1"/>
    <col min="11" max="11" width="12.5" customWidth="1"/>
    <col min="15" max="15" width="13.6640625" customWidth="1"/>
    <col min="21" max="21" width="6.1640625" customWidth="1"/>
    <col min="22" max="22" width="15" bestFit="1" customWidth="1"/>
  </cols>
  <sheetData>
    <row r="1" spans="1:29" x14ac:dyDescent="0.2">
      <c r="M1" t="s">
        <v>28</v>
      </c>
    </row>
    <row r="3" spans="1:29" x14ac:dyDescent="0.2">
      <c r="A3" s="11"/>
      <c r="B3" s="11"/>
      <c r="D3" s="15" t="s">
        <v>4</v>
      </c>
      <c r="E3" s="15"/>
      <c r="F3" s="15"/>
      <c r="H3" s="15" t="s">
        <v>9</v>
      </c>
      <c r="I3" s="15"/>
      <c r="J3" s="15"/>
      <c r="K3" s="18"/>
      <c r="P3" s="2"/>
      <c r="Q3" s="2"/>
      <c r="S3" s="2"/>
      <c r="T3" s="2"/>
    </row>
    <row r="4" spans="1:29" ht="32" customHeight="1" x14ac:dyDescent="0.2">
      <c r="A4" s="11"/>
      <c r="B4" s="12" t="s">
        <v>23</v>
      </c>
      <c r="D4" s="3" t="s">
        <v>0</v>
      </c>
      <c r="E4" s="3" t="s">
        <v>1</v>
      </c>
      <c r="F4" s="3" t="s">
        <v>2</v>
      </c>
      <c r="G4" s="3"/>
      <c r="H4" s="3" t="s">
        <v>0</v>
      </c>
      <c r="I4" s="3" t="s">
        <v>3</v>
      </c>
      <c r="J4" s="3" t="s">
        <v>2</v>
      </c>
      <c r="K4" s="3"/>
    </row>
    <row r="5" spans="1:29" x14ac:dyDescent="0.2">
      <c r="A5" s="11"/>
      <c r="B5" s="13" t="s">
        <v>21</v>
      </c>
      <c r="D5" s="5">
        <v>11338</v>
      </c>
      <c r="E5" s="5">
        <v>19944</v>
      </c>
      <c r="F5" s="5">
        <v>41187</v>
      </c>
      <c r="G5" s="5"/>
      <c r="H5" s="5">
        <v>10254</v>
      </c>
      <c r="I5" s="5">
        <v>20213</v>
      </c>
      <c r="J5" s="5">
        <v>39267</v>
      </c>
      <c r="K5" s="5"/>
      <c r="M5" s="13"/>
      <c r="N5" s="13"/>
      <c r="O5" s="13"/>
    </row>
    <row r="6" spans="1:29" x14ac:dyDescent="0.2">
      <c r="A6" s="11"/>
      <c r="B6" s="13" t="s">
        <v>25</v>
      </c>
      <c r="D6" s="4">
        <f>7859/20</f>
        <v>392.95</v>
      </c>
      <c r="E6" s="4">
        <f>+D6*1.07</f>
        <v>420.45650000000001</v>
      </c>
      <c r="F6" s="4">
        <f>+E6*1.15</f>
        <v>483.52497499999998</v>
      </c>
      <c r="G6" s="4"/>
      <c r="H6" s="4">
        <f>+D6*0.6</f>
        <v>235.76999999999998</v>
      </c>
      <c r="I6" s="4">
        <f>+H6*1.09</f>
        <v>256.98930000000001</v>
      </c>
      <c r="J6" s="4">
        <f>+I6*1.11</f>
        <v>285.25812300000007</v>
      </c>
      <c r="K6" s="4"/>
    </row>
    <row r="7" spans="1:29" x14ac:dyDescent="0.2">
      <c r="A7" s="11"/>
      <c r="B7" s="13" t="s">
        <v>24</v>
      </c>
      <c r="D7" s="4">
        <f>+D6*0.4</f>
        <v>157.18</v>
      </c>
      <c r="E7" s="4">
        <f t="shared" ref="E7:J7" si="0">+E6*0.4</f>
        <v>168.18260000000001</v>
      </c>
      <c r="F7" s="4">
        <f t="shared" si="0"/>
        <v>193.40998999999999</v>
      </c>
      <c r="G7" s="4"/>
      <c r="H7" s="4">
        <f t="shared" si="0"/>
        <v>94.307999999999993</v>
      </c>
      <c r="I7" s="4">
        <f t="shared" si="0"/>
        <v>102.79572000000002</v>
      </c>
      <c r="J7" s="4">
        <f t="shared" si="0"/>
        <v>114.10324920000004</v>
      </c>
      <c r="K7" s="4"/>
      <c r="L7" s="28"/>
      <c r="M7" s="28"/>
      <c r="N7" s="29" t="s">
        <v>4</v>
      </c>
      <c r="O7" s="29" t="s">
        <v>9</v>
      </c>
      <c r="P7" s="28"/>
      <c r="Q7" s="28"/>
      <c r="R7" s="28"/>
      <c r="S7" s="28"/>
      <c r="T7" s="28"/>
      <c r="U7" s="28"/>
      <c r="V7" s="28"/>
    </row>
    <row r="8" spans="1:29" x14ac:dyDescent="0.2">
      <c r="A8" s="11"/>
      <c r="B8" s="13"/>
      <c r="J8" s="2"/>
      <c r="K8" s="2"/>
      <c r="L8" s="28"/>
      <c r="M8" s="30" t="s">
        <v>38</v>
      </c>
      <c r="N8" s="28">
        <v>2986</v>
      </c>
      <c r="O8" s="28">
        <v>6393</v>
      </c>
      <c r="P8" s="28"/>
      <c r="Q8" s="28"/>
      <c r="R8" s="28"/>
      <c r="S8" s="28"/>
      <c r="T8" s="28"/>
      <c r="U8" s="28"/>
      <c r="V8" s="28"/>
      <c r="AA8" t="s">
        <v>43</v>
      </c>
    </row>
    <row r="9" spans="1:29" ht="34" x14ac:dyDescent="0.2">
      <c r="A9" s="11"/>
      <c r="B9" s="13"/>
      <c r="J9" s="2"/>
      <c r="K9" s="2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Y9" s="1" t="s">
        <v>41</v>
      </c>
      <c r="Z9" s="1" t="s">
        <v>42</v>
      </c>
      <c r="AA9" s="19" t="s">
        <v>32</v>
      </c>
      <c r="AB9" s="20" t="s">
        <v>33</v>
      </c>
      <c r="AC9" s="20" t="s">
        <v>34</v>
      </c>
    </row>
    <row r="10" spans="1:29" x14ac:dyDescent="0.2">
      <c r="A10" s="11"/>
      <c r="B10" s="12" t="s">
        <v>27</v>
      </c>
      <c r="D10" s="15" t="s">
        <v>4</v>
      </c>
      <c r="E10" s="15"/>
      <c r="F10" s="15"/>
      <c r="G10" s="3"/>
      <c r="H10" s="15" t="s">
        <v>9</v>
      </c>
      <c r="I10" s="15"/>
      <c r="J10" s="15"/>
      <c r="K10" s="18"/>
      <c r="L10" s="28"/>
      <c r="M10" s="28"/>
      <c r="N10" s="29" t="s">
        <v>40</v>
      </c>
      <c r="O10" s="29"/>
      <c r="P10" s="28"/>
      <c r="Q10" s="31" t="s">
        <v>39</v>
      </c>
      <c r="R10" s="28"/>
      <c r="S10" s="28"/>
      <c r="T10" s="28"/>
      <c r="U10" s="28"/>
      <c r="V10" s="28"/>
      <c r="Y10" s="22" t="s">
        <v>40</v>
      </c>
      <c r="Z10" s="13" t="s">
        <v>30</v>
      </c>
      <c r="AA10" s="25">
        <v>214</v>
      </c>
      <c r="AB10" s="26">
        <f>+AA10*2.3</f>
        <v>492.2</v>
      </c>
      <c r="AC10" s="27">
        <f>+AB10*5.45</f>
        <v>2682.4900000000002</v>
      </c>
    </row>
    <row r="11" spans="1:29" ht="34" x14ac:dyDescent="0.2">
      <c r="A11" s="11"/>
      <c r="B11" s="13"/>
      <c r="D11" s="3" t="s">
        <v>0</v>
      </c>
      <c r="E11" s="3" t="s">
        <v>1</v>
      </c>
      <c r="F11" s="3" t="s">
        <v>2</v>
      </c>
      <c r="G11" s="3"/>
      <c r="H11" s="3" t="s">
        <v>0</v>
      </c>
      <c r="I11" s="3" t="s">
        <v>3</v>
      </c>
      <c r="J11" s="3" t="s">
        <v>2</v>
      </c>
      <c r="K11" s="3"/>
      <c r="L11" s="28"/>
      <c r="M11" s="28"/>
      <c r="N11" s="40" t="s">
        <v>29</v>
      </c>
      <c r="O11" s="40" t="s">
        <v>31</v>
      </c>
      <c r="P11" s="28"/>
      <c r="Q11" s="40" t="s">
        <v>32</v>
      </c>
      <c r="R11" s="41" t="s">
        <v>33</v>
      </c>
      <c r="S11" s="41" t="s">
        <v>34</v>
      </c>
      <c r="T11" s="40" t="s">
        <v>35</v>
      </c>
      <c r="U11" s="28"/>
      <c r="V11" s="42" t="s">
        <v>36</v>
      </c>
      <c r="Y11" s="24" t="s">
        <v>40</v>
      </c>
      <c r="Z11" s="21" t="s">
        <v>1</v>
      </c>
      <c r="AA11" s="25">
        <v>356</v>
      </c>
      <c r="AB11" s="26">
        <f t="shared" ref="AB11:AB15" si="1">+AA11*2.3</f>
        <v>818.8</v>
      </c>
      <c r="AC11" s="27">
        <f t="shared" ref="AC11:AC15" si="2">+AB11*5.45</f>
        <v>4462.46</v>
      </c>
    </row>
    <row r="12" spans="1:29" x14ac:dyDescent="0.2">
      <c r="A12" s="11"/>
      <c r="B12" s="13"/>
      <c r="J12" s="2"/>
      <c r="K12" s="2"/>
      <c r="L12" s="32">
        <f>1-L13-L14</f>
        <v>0.57999999999999996</v>
      </c>
      <c r="M12" s="43" t="s">
        <v>30</v>
      </c>
      <c r="N12" s="33">
        <f>+$N$8*L12</f>
        <v>1731.8799999999999</v>
      </c>
      <c r="O12" s="33">
        <f>+N12*20%</f>
        <v>346.37599999999998</v>
      </c>
      <c r="P12" s="28"/>
      <c r="Q12" s="28">
        <v>15</v>
      </c>
      <c r="R12" s="28">
        <v>2</v>
      </c>
      <c r="S12" s="28">
        <v>15</v>
      </c>
      <c r="T12" s="34">
        <f>+Q12*AA10</f>
        <v>3210</v>
      </c>
      <c r="U12" s="28"/>
      <c r="V12" s="35">
        <f>+T12*O12</f>
        <v>1111866.96</v>
      </c>
      <c r="Y12" s="22" t="s">
        <v>40</v>
      </c>
      <c r="Z12" s="13" t="s">
        <v>2</v>
      </c>
      <c r="AA12" s="25">
        <v>540</v>
      </c>
      <c r="AB12" s="26">
        <f t="shared" si="1"/>
        <v>1242</v>
      </c>
      <c r="AC12" s="27">
        <f t="shared" si="2"/>
        <v>6768.9000000000005</v>
      </c>
    </row>
    <row r="13" spans="1:29" x14ac:dyDescent="0.2">
      <c r="A13" s="11"/>
      <c r="B13" s="12" t="s">
        <v>26</v>
      </c>
      <c r="D13" s="8">
        <f>+SUM(D14:D16)</f>
        <v>55779944.092</v>
      </c>
      <c r="E13" s="8">
        <f t="shared" ref="E13:J13" si="3">+SUM(E14:E16)</f>
        <v>11823674.05476</v>
      </c>
      <c r="F13" s="8">
        <f t="shared" si="3"/>
        <v>28080069.834908247</v>
      </c>
      <c r="G13" s="8"/>
      <c r="H13" s="8">
        <f t="shared" si="3"/>
        <v>3408795.6677999995</v>
      </c>
      <c r="I13" s="8">
        <f t="shared" si="3"/>
        <v>7324279.8564690007</v>
      </c>
      <c r="J13" s="8">
        <f t="shared" si="3"/>
        <v>15793735.309335815</v>
      </c>
      <c r="K13" s="8"/>
      <c r="L13" s="32">
        <v>0.3</v>
      </c>
      <c r="M13" s="28" t="s">
        <v>1</v>
      </c>
      <c r="N13" s="33">
        <f>+$N$8*L13</f>
        <v>895.8</v>
      </c>
      <c r="O13" s="33">
        <f t="shared" ref="O13:O14" si="4">+N13*20%</f>
        <v>179.16</v>
      </c>
      <c r="P13" s="28"/>
      <c r="Q13" s="28">
        <v>28</v>
      </c>
      <c r="R13" s="28">
        <v>5</v>
      </c>
      <c r="S13" s="28">
        <v>28</v>
      </c>
      <c r="T13" s="34">
        <f>+Q13*AA11</f>
        <v>9968</v>
      </c>
      <c r="U13" s="28"/>
      <c r="V13" s="35">
        <f t="shared" ref="V13:V14" si="5">+T13*O13</f>
        <v>1785866.88</v>
      </c>
      <c r="Y13" s="23" t="s">
        <v>4</v>
      </c>
      <c r="Z13" s="13" t="s">
        <v>30</v>
      </c>
      <c r="AA13" s="27">
        <f>+AA10*1.18</f>
        <v>252.51999999999998</v>
      </c>
      <c r="AB13" s="26">
        <f t="shared" si="1"/>
        <v>580.79599999999994</v>
      </c>
      <c r="AC13" s="27">
        <f t="shared" si="2"/>
        <v>3165.3381999999997</v>
      </c>
    </row>
    <row r="14" spans="1:29" x14ac:dyDescent="0.2">
      <c r="A14" s="11"/>
      <c r="B14" s="13" t="s">
        <v>5</v>
      </c>
      <c r="D14" s="6">
        <f>+D5*D6*12</f>
        <v>53463205.199999996</v>
      </c>
      <c r="E14" s="6">
        <f t="shared" ref="E14:J14" si="6">+E5*E6</f>
        <v>8385584.4359999998</v>
      </c>
      <c r="F14" s="6">
        <f t="shared" si="6"/>
        <v>19914943.145324998</v>
      </c>
      <c r="G14" s="6"/>
      <c r="H14" s="6">
        <f t="shared" si="6"/>
        <v>2417585.5799999996</v>
      </c>
      <c r="I14" s="6">
        <f t="shared" si="6"/>
        <v>5194524.7209000001</v>
      </c>
      <c r="J14" s="6">
        <f t="shared" si="6"/>
        <v>11201230.715841003</v>
      </c>
      <c r="K14" s="6"/>
      <c r="L14" s="32">
        <v>0.12</v>
      </c>
      <c r="M14" s="44" t="s">
        <v>2</v>
      </c>
      <c r="N14" s="45">
        <f>+$N$8*L14</f>
        <v>358.32</v>
      </c>
      <c r="O14" s="45">
        <f t="shared" si="4"/>
        <v>71.664000000000001</v>
      </c>
      <c r="P14" s="28"/>
      <c r="Q14" s="28">
        <v>49</v>
      </c>
      <c r="R14" s="28">
        <v>11</v>
      </c>
      <c r="S14" s="28">
        <v>49</v>
      </c>
      <c r="T14" s="34">
        <f>+Q14*AA12</f>
        <v>26460</v>
      </c>
      <c r="U14" s="28"/>
      <c r="V14" s="46">
        <f t="shared" si="5"/>
        <v>1896229.44</v>
      </c>
      <c r="Y14" s="23" t="s">
        <v>4</v>
      </c>
      <c r="Z14" s="13" t="s">
        <v>1</v>
      </c>
      <c r="AA14" s="27">
        <f t="shared" ref="AA14:AA15" si="7">+AA11*1.18</f>
        <v>420.08</v>
      </c>
      <c r="AB14" s="26">
        <f t="shared" si="1"/>
        <v>966.18399999999986</v>
      </c>
      <c r="AC14" s="27">
        <f t="shared" si="2"/>
        <v>5265.7027999999991</v>
      </c>
    </row>
    <row r="15" spans="1:29" x14ac:dyDescent="0.2">
      <c r="A15" s="11"/>
      <c r="B15" s="13" t="s">
        <v>22</v>
      </c>
      <c r="D15" s="7">
        <f>+D5*D7</f>
        <v>1782106.84</v>
      </c>
      <c r="E15" s="7">
        <f t="shared" ref="E15:J15" si="8">+E5*E7</f>
        <v>3354233.7744</v>
      </c>
      <c r="F15" s="7">
        <f t="shared" si="8"/>
        <v>7965977.25813</v>
      </c>
      <c r="G15" s="7"/>
      <c r="H15" s="7">
        <f t="shared" si="8"/>
        <v>967034.23199999996</v>
      </c>
      <c r="I15" s="7">
        <f t="shared" si="8"/>
        <v>2077809.8883600004</v>
      </c>
      <c r="J15" s="7">
        <f t="shared" si="8"/>
        <v>4480492.2863364015</v>
      </c>
      <c r="K15" s="7"/>
      <c r="L15" s="28"/>
      <c r="M15" s="31" t="s">
        <v>37</v>
      </c>
      <c r="N15" s="36">
        <f>+SUM(N12:N14)</f>
        <v>2986</v>
      </c>
      <c r="O15" s="36">
        <f>+SUM(O12:O14)</f>
        <v>597.19999999999993</v>
      </c>
      <c r="P15" s="28"/>
      <c r="Q15" s="28"/>
      <c r="R15" s="28"/>
      <c r="S15" s="28"/>
      <c r="T15" s="28"/>
      <c r="U15" s="28"/>
      <c r="V15" s="37">
        <f>+SUM(V12:V14)</f>
        <v>4793963.2799999993</v>
      </c>
      <c r="Y15" s="23" t="s">
        <v>4</v>
      </c>
      <c r="Z15" s="13" t="s">
        <v>2</v>
      </c>
      <c r="AA15" s="27">
        <f t="shared" si="7"/>
        <v>637.19999999999993</v>
      </c>
      <c r="AB15" s="26">
        <f t="shared" si="1"/>
        <v>1465.5599999999997</v>
      </c>
      <c r="AC15" s="27">
        <f t="shared" si="2"/>
        <v>7987.3019999999988</v>
      </c>
    </row>
    <row r="16" spans="1:29" x14ac:dyDescent="0.2">
      <c r="A16" s="11"/>
      <c r="B16" s="13" t="s">
        <v>6</v>
      </c>
      <c r="D16" s="6">
        <f>+D14*0.01</f>
        <v>534632.05199999991</v>
      </c>
      <c r="E16" s="6">
        <f t="shared" ref="E16:J16" si="9">+E14*0.01</f>
        <v>83855.844360000003</v>
      </c>
      <c r="F16" s="6">
        <f t="shared" si="9"/>
        <v>199149.43145324997</v>
      </c>
      <c r="G16" s="6"/>
      <c r="H16" s="6">
        <f t="shared" si="9"/>
        <v>24175.855799999998</v>
      </c>
      <c r="I16" s="6">
        <f t="shared" si="9"/>
        <v>51945.247209000001</v>
      </c>
      <c r="J16" s="6">
        <f t="shared" si="9"/>
        <v>112012.30715841003</v>
      </c>
      <c r="K16" s="6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 spans="1:22" x14ac:dyDescent="0.2">
      <c r="A17" s="11"/>
      <c r="B17" s="13"/>
      <c r="J17" s="2"/>
      <c r="K17" s="2"/>
      <c r="L17" s="28"/>
      <c r="M17" s="28"/>
      <c r="N17" s="30" t="s">
        <v>4</v>
      </c>
      <c r="O17" s="30"/>
      <c r="P17" s="28"/>
      <c r="Q17" s="28"/>
      <c r="R17" s="28"/>
      <c r="S17" s="28"/>
      <c r="T17" s="28"/>
      <c r="U17" s="28"/>
      <c r="V17" s="28"/>
    </row>
    <row r="18" spans="1:22" ht="34" x14ac:dyDescent="0.2">
      <c r="A18" s="11"/>
      <c r="B18" s="12" t="s">
        <v>7</v>
      </c>
      <c r="D18" s="8">
        <f>+SUM(D19:D24)</f>
        <v>50201949.68280001</v>
      </c>
      <c r="E18" s="8">
        <f t="shared" ref="E18:J18" si="10">+SUM(E19:E24)</f>
        <v>10641306.649284</v>
      </c>
      <c r="F18" s="8">
        <f t="shared" si="10"/>
        <v>25272062.851417422</v>
      </c>
      <c r="G18" s="8"/>
      <c r="H18" s="8">
        <f t="shared" si="10"/>
        <v>3067916.1010199995</v>
      </c>
      <c r="I18" s="8">
        <f t="shared" si="10"/>
        <v>6591851.8708221009</v>
      </c>
      <c r="J18" s="8">
        <f t="shared" si="10"/>
        <v>14214361.778402233</v>
      </c>
      <c r="K18" s="8"/>
      <c r="L18" s="28"/>
      <c r="M18" s="28"/>
      <c r="N18" s="40" t="s">
        <v>29</v>
      </c>
      <c r="O18" s="40" t="s">
        <v>31</v>
      </c>
      <c r="P18" s="28"/>
      <c r="Q18" s="40" t="s">
        <v>32</v>
      </c>
      <c r="R18" s="41" t="s">
        <v>33</v>
      </c>
      <c r="S18" s="41" t="s">
        <v>34</v>
      </c>
      <c r="T18" s="40" t="s">
        <v>35</v>
      </c>
      <c r="U18" s="28"/>
      <c r="V18" s="42" t="s">
        <v>36</v>
      </c>
    </row>
    <row r="19" spans="1:22" x14ac:dyDescent="0.2">
      <c r="A19" s="14">
        <v>0.03</v>
      </c>
      <c r="B19" s="13" t="s">
        <v>8</v>
      </c>
      <c r="D19" s="6">
        <f>+D$13*$A19</f>
        <v>1673398.3227599999</v>
      </c>
      <c r="E19" s="6">
        <f>+E$13*$A19</f>
        <v>354710.22164279997</v>
      </c>
      <c r="F19" s="6">
        <f>+F$13*$A19</f>
        <v>842402.09504724736</v>
      </c>
      <c r="G19" s="6"/>
      <c r="H19" s="6">
        <f>+H$13*$A19</f>
        <v>102263.87003399998</v>
      </c>
      <c r="I19" s="6">
        <f>+I$13*$A19</f>
        <v>219728.39569407</v>
      </c>
      <c r="J19" s="6">
        <f>+J$13*$A19</f>
        <v>473812.05928007443</v>
      </c>
      <c r="K19" s="6"/>
      <c r="L19" s="32">
        <f>1-L20-L21</f>
        <v>0.59</v>
      </c>
      <c r="M19" s="43" t="s">
        <v>30</v>
      </c>
      <c r="N19" s="33">
        <f>+$O$8*L19</f>
        <v>3771.87</v>
      </c>
      <c r="O19" s="33">
        <f t="shared" ref="O19:O21" si="11">+N19*20%</f>
        <v>754.37400000000002</v>
      </c>
      <c r="P19" s="28"/>
      <c r="Q19" s="33">
        <f>+Q12*1.18</f>
        <v>17.7</v>
      </c>
      <c r="R19" s="33">
        <f t="shared" ref="R19:S19" si="12">+R12*1.18</f>
        <v>2.36</v>
      </c>
      <c r="S19" s="33">
        <f t="shared" si="12"/>
        <v>17.7</v>
      </c>
      <c r="T19" s="34">
        <f>+Q19*AA13</f>
        <v>4469.6039999999994</v>
      </c>
      <c r="U19" s="28"/>
      <c r="V19" s="38">
        <f>+T19*O19</f>
        <v>3371753.0478959996</v>
      </c>
    </row>
    <row r="20" spans="1:22" x14ac:dyDescent="0.2">
      <c r="A20" s="14">
        <v>0.01</v>
      </c>
      <c r="B20" s="13" t="s">
        <v>10</v>
      </c>
      <c r="D20" s="6">
        <f>+D$13*$A20</f>
        <v>557799.44091999996</v>
      </c>
      <c r="E20" s="6">
        <f>+E$13*$A20</f>
        <v>118236.7405476</v>
      </c>
      <c r="F20" s="6">
        <f>+F$13*$A20</f>
        <v>280800.69834908249</v>
      </c>
      <c r="G20" s="6"/>
      <c r="H20" s="6">
        <f>+H$13*$A20</f>
        <v>34087.956677999995</v>
      </c>
      <c r="I20" s="6">
        <f>+I$13*$A20</f>
        <v>73242.798564690005</v>
      </c>
      <c r="J20" s="6">
        <f>+J$13*$A20</f>
        <v>157937.35309335816</v>
      </c>
      <c r="K20" s="6"/>
      <c r="L20" s="32">
        <v>0.25</v>
      </c>
      <c r="M20" s="28" t="s">
        <v>1</v>
      </c>
      <c r="N20" s="33">
        <f>+$O$8*L20</f>
        <v>1598.25</v>
      </c>
      <c r="O20" s="33">
        <f t="shared" si="11"/>
        <v>319.65000000000003</v>
      </c>
      <c r="P20" s="28"/>
      <c r="Q20" s="33">
        <f t="shared" ref="Q20:S22" si="13">+Q13*1.18</f>
        <v>33.04</v>
      </c>
      <c r="R20" s="33">
        <f t="shared" si="13"/>
        <v>5.8999999999999995</v>
      </c>
      <c r="S20" s="33">
        <f t="shared" si="13"/>
        <v>33.04</v>
      </c>
      <c r="T20" s="34">
        <f>+Q20*AA14</f>
        <v>13879.4432</v>
      </c>
      <c r="U20" s="28"/>
      <c r="V20" s="38">
        <f t="shared" ref="V20:V21" si="14">+T20*O20</f>
        <v>4436564.0188800003</v>
      </c>
    </row>
    <row r="21" spans="1:22" x14ac:dyDescent="0.2">
      <c r="A21" s="14">
        <v>0.01</v>
      </c>
      <c r="B21" s="13" t="s">
        <v>11</v>
      </c>
      <c r="D21" s="6">
        <f>+D$13*$A21</f>
        <v>557799.44091999996</v>
      </c>
      <c r="E21" s="6">
        <f>+E$13*$A21</f>
        <v>118236.7405476</v>
      </c>
      <c r="F21" s="6">
        <f>+F$13*$A21</f>
        <v>280800.69834908249</v>
      </c>
      <c r="G21" s="6"/>
      <c r="H21" s="6">
        <f>+H$13*$A21</f>
        <v>34087.956677999995</v>
      </c>
      <c r="I21" s="6">
        <f>+I$13*$A21</f>
        <v>73242.798564690005</v>
      </c>
      <c r="J21" s="6">
        <f>+J$13*$A21</f>
        <v>157937.35309335816</v>
      </c>
      <c r="K21" s="6"/>
      <c r="L21" s="32">
        <v>0.16</v>
      </c>
      <c r="M21" s="44" t="s">
        <v>2</v>
      </c>
      <c r="N21" s="45">
        <f>+$O$8*L21</f>
        <v>1022.88</v>
      </c>
      <c r="O21" s="45">
        <f t="shared" si="11"/>
        <v>204.57600000000002</v>
      </c>
      <c r="P21" s="28"/>
      <c r="Q21" s="33">
        <f t="shared" si="13"/>
        <v>57.82</v>
      </c>
      <c r="R21" s="33">
        <f t="shared" si="13"/>
        <v>12.979999999999999</v>
      </c>
      <c r="S21" s="33">
        <f t="shared" si="13"/>
        <v>57.82</v>
      </c>
      <c r="T21" s="34">
        <f>+Q21*AA15</f>
        <v>36842.903999999995</v>
      </c>
      <c r="U21" s="28"/>
      <c r="V21" s="38">
        <f t="shared" si="14"/>
        <v>7537173.9287040001</v>
      </c>
    </row>
    <row r="22" spans="1:22" x14ac:dyDescent="0.2">
      <c r="A22" s="14">
        <v>0.04</v>
      </c>
      <c r="B22" s="13" t="s">
        <v>12</v>
      </c>
      <c r="D22" s="6">
        <f>+D$13*$A22</f>
        <v>2231197.7636799999</v>
      </c>
      <c r="E22" s="6">
        <f>+E$13*$A22</f>
        <v>472946.96219039999</v>
      </c>
      <c r="F22" s="6">
        <f>+F$13*$A22</f>
        <v>1123202.79339633</v>
      </c>
      <c r="G22" s="6"/>
      <c r="H22" s="6">
        <f>+H$13*$A22</f>
        <v>136351.82671199998</v>
      </c>
      <c r="I22" s="6">
        <f>+I$13*$A22</f>
        <v>292971.19425876002</v>
      </c>
      <c r="J22" s="6">
        <f>+J$13*$A22</f>
        <v>631749.41237343266</v>
      </c>
      <c r="K22" s="6"/>
      <c r="L22" s="28"/>
      <c r="M22" s="31" t="s">
        <v>37</v>
      </c>
      <c r="N22" s="36">
        <f>+SUM(N19:N21)</f>
        <v>6393</v>
      </c>
      <c r="O22" s="36">
        <f>+SUM(O19:O21)</f>
        <v>1278.6000000000001</v>
      </c>
      <c r="P22" s="28"/>
      <c r="Q22" s="33"/>
      <c r="R22" s="28"/>
      <c r="S22" s="28"/>
      <c r="T22" s="28"/>
      <c r="U22" s="28"/>
      <c r="V22" s="47">
        <f>+SUM(V19:V21)</f>
        <v>15345490.995480001</v>
      </c>
    </row>
    <row r="23" spans="1:22" x14ac:dyDescent="0.2">
      <c r="A23" s="14">
        <v>0.8</v>
      </c>
      <c r="B23" s="13" t="s">
        <v>13</v>
      </c>
      <c r="D23" s="6">
        <f>+D$13*$A23</f>
        <v>44623955.273600005</v>
      </c>
      <c r="E23" s="6">
        <f>+E$13*$A23</f>
        <v>9458939.2438079994</v>
      </c>
      <c r="F23" s="6">
        <f>+F$13*$A23</f>
        <v>22464055.867926598</v>
      </c>
      <c r="G23" s="6"/>
      <c r="H23" s="6">
        <f>+H$13*$A23</f>
        <v>2727036.5342399999</v>
      </c>
      <c r="I23" s="6">
        <f>+I$13*$A23</f>
        <v>5859423.8851752011</v>
      </c>
      <c r="J23" s="6">
        <f>+J$13*$A23</f>
        <v>12634988.247468652</v>
      </c>
      <c r="K23" s="6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spans="1:22" x14ac:dyDescent="0.2">
      <c r="A24" s="14">
        <v>0.01</v>
      </c>
      <c r="B24" s="13" t="s">
        <v>14</v>
      </c>
      <c r="D24" s="6">
        <f>+D$13*$A24</f>
        <v>557799.44091999996</v>
      </c>
      <c r="E24" s="6">
        <f>+E$13*$A24</f>
        <v>118236.7405476</v>
      </c>
      <c r="F24" s="6">
        <f>+F$13*$A24</f>
        <v>280800.69834908249</v>
      </c>
      <c r="G24" s="6"/>
      <c r="H24" s="6">
        <f>+H$13*$A24</f>
        <v>34087.956677999995</v>
      </c>
      <c r="I24" s="6">
        <f>+I$13*$A24</f>
        <v>73242.798564690005</v>
      </c>
      <c r="J24" s="6">
        <f>+J$13*$A24</f>
        <v>157937.35309335816</v>
      </c>
      <c r="K24" s="6"/>
      <c r="L24" s="28"/>
      <c r="M24" s="28"/>
      <c r="N24" s="28"/>
      <c r="O24" s="33"/>
      <c r="P24" s="33"/>
      <c r="Q24" s="33"/>
      <c r="R24" s="33"/>
      <c r="S24" s="33"/>
      <c r="T24" s="28"/>
      <c r="U24" s="28"/>
      <c r="V24" s="39">
        <f>+V22+V15</f>
        <v>20139454.275480002</v>
      </c>
    </row>
    <row r="25" spans="1:22" x14ac:dyDescent="0.2">
      <c r="A25" s="11"/>
      <c r="B25" s="13" t="s">
        <v>16</v>
      </c>
      <c r="D25" s="16">
        <f>+D13-D18</f>
        <v>5577994.4091999903</v>
      </c>
      <c r="E25" s="16">
        <f t="shared" ref="E25:J25" si="15">+E13-E18</f>
        <v>1182367.4054760002</v>
      </c>
      <c r="F25" s="16">
        <f t="shared" si="15"/>
        <v>2808006.9834908247</v>
      </c>
      <c r="G25" s="8"/>
      <c r="H25" s="16">
        <f t="shared" si="15"/>
        <v>340879.56677999999</v>
      </c>
      <c r="I25" s="16">
        <f t="shared" si="15"/>
        <v>732427.98564689979</v>
      </c>
      <c r="J25" s="16">
        <f t="shared" si="15"/>
        <v>1579373.5309335813</v>
      </c>
      <c r="K25" s="16"/>
    </row>
    <row r="26" spans="1:22" x14ac:dyDescent="0.2">
      <c r="A26" s="11"/>
      <c r="B26" s="13"/>
      <c r="J26" s="2"/>
      <c r="K26" s="2"/>
    </row>
    <row r="27" spans="1:22" x14ac:dyDescent="0.2">
      <c r="A27" s="14">
        <v>0.03</v>
      </c>
      <c r="B27" s="13" t="s">
        <v>15</v>
      </c>
      <c r="D27" s="6">
        <f>+D$13*$A27+(D13*0.04)</f>
        <v>3904596.0864399998</v>
      </c>
      <c r="E27" s="6">
        <f>+E$13*$A27</f>
        <v>354710.22164279997</v>
      </c>
      <c r="F27" s="6">
        <f>+F$13*$A27</f>
        <v>842402.09504724736</v>
      </c>
      <c r="G27" s="6"/>
      <c r="H27" s="6">
        <f>+H$13*$A27</f>
        <v>102263.87003399998</v>
      </c>
      <c r="I27" s="6">
        <f>+I$13*$A27</f>
        <v>219728.39569407</v>
      </c>
      <c r="J27" s="6">
        <f>+J$13*$A27</f>
        <v>473812.05928007443</v>
      </c>
      <c r="K27" s="6"/>
    </row>
    <row r="28" spans="1:22" x14ac:dyDescent="0.2">
      <c r="A28" s="11"/>
      <c r="B28" s="12" t="s">
        <v>17</v>
      </c>
      <c r="D28" s="8">
        <f>+D25-D27</f>
        <v>1673398.3227599906</v>
      </c>
      <c r="E28" s="8">
        <f t="shared" ref="E28:J28" si="16">+E25-E27</f>
        <v>827657.18383320025</v>
      </c>
      <c r="F28" s="8">
        <f t="shared" si="16"/>
        <v>1965604.8884435773</v>
      </c>
      <c r="G28" s="8"/>
      <c r="H28" s="8">
        <f t="shared" si="16"/>
        <v>238615.69674600003</v>
      </c>
      <c r="I28" s="8">
        <f t="shared" si="16"/>
        <v>512699.58995282976</v>
      </c>
      <c r="J28" s="8">
        <f t="shared" si="16"/>
        <v>1105561.4716535069</v>
      </c>
      <c r="K28" s="8"/>
    </row>
    <row r="29" spans="1:22" x14ac:dyDescent="0.2">
      <c r="A29" s="11"/>
      <c r="B29" s="13"/>
      <c r="D29" s="10"/>
      <c r="E29" s="10"/>
      <c r="F29" s="10"/>
      <c r="J29" s="2"/>
      <c r="K29" s="2"/>
    </row>
    <row r="30" spans="1:22" x14ac:dyDescent="0.2">
      <c r="A30" s="14">
        <v>0.02</v>
      </c>
      <c r="B30" s="13" t="s">
        <v>20</v>
      </c>
      <c r="D30" s="6">
        <f>+D$13*$A30</f>
        <v>1115598.8818399999</v>
      </c>
      <c r="E30" s="6">
        <f>+E$13*$A30</f>
        <v>236473.4810952</v>
      </c>
      <c r="F30" s="6">
        <f>+F$13*$A30</f>
        <v>561601.39669816499</v>
      </c>
      <c r="G30" s="6"/>
      <c r="H30" s="6">
        <f>+H$13*$A30</f>
        <v>68175.91335599999</v>
      </c>
      <c r="I30" s="6">
        <f>+I$13*$A30</f>
        <v>146485.59712938001</v>
      </c>
      <c r="J30" s="6">
        <f>+J$13*$A30</f>
        <v>315874.70618671633</v>
      </c>
      <c r="K30" s="6"/>
    </row>
    <row r="31" spans="1:22" x14ac:dyDescent="0.2">
      <c r="A31" s="11"/>
      <c r="B31" s="13"/>
      <c r="J31" s="2"/>
      <c r="K31" s="2"/>
    </row>
    <row r="32" spans="1:22" x14ac:dyDescent="0.2">
      <c r="A32" s="11"/>
      <c r="B32" s="13" t="s">
        <v>18</v>
      </c>
      <c r="D32" s="7">
        <f>(+D28-D30)*0.3</f>
        <v>167339.83227599718</v>
      </c>
      <c r="E32" s="7">
        <f t="shared" ref="E32:J32" si="17">(+E28-E30)*0.3</f>
        <v>177355.1108214001</v>
      </c>
      <c r="F32" s="7">
        <f t="shared" si="17"/>
        <v>421201.04752362368</v>
      </c>
      <c r="G32" s="7"/>
      <c r="H32" s="7">
        <f t="shared" si="17"/>
        <v>51131.935017000018</v>
      </c>
      <c r="I32" s="7">
        <f t="shared" si="17"/>
        <v>109864.19784703493</v>
      </c>
      <c r="J32" s="7">
        <f t="shared" si="17"/>
        <v>236906.02964003716</v>
      </c>
      <c r="K32" s="7"/>
    </row>
    <row r="33" spans="1:11" x14ac:dyDescent="0.2">
      <c r="A33" s="11"/>
      <c r="B33" s="13"/>
      <c r="J33" s="2"/>
      <c r="K33" s="2"/>
    </row>
    <row r="34" spans="1:11" x14ac:dyDescent="0.2">
      <c r="A34" s="11"/>
      <c r="B34" s="12" t="s">
        <v>19</v>
      </c>
      <c r="D34" s="16">
        <f>+D28-D30-D32</f>
        <v>390459.6086439935</v>
      </c>
      <c r="E34" s="16">
        <f t="shared" ref="E34:J34" si="18">+E28-E30-E32</f>
        <v>413828.59191660024</v>
      </c>
      <c r="F34" s="16">
        <f t="shared" si="18"/>
        <v>982802.44422178867</v>
      </c>
      <c r="G34" s="8"/>
      <c r="H34" s="16">
        <f t="shared" si="18"/>
        <v>119307.84837300004</v>
      </c>
      <c r="I34" s="16">
        <f t="shared" si="18"/>
        <v>256349.79497641485</v>
      </c>
      <c r="J34" s="16">
        <f t="shared" si="18"/>
        <v>552780.73582675331</v>
      </c>
      <c r="K34" s="16"/>
    </row>
    <row r="35" spans="1:11" x14ac:dyDescent="0.2">
      <c r="J35" s="2"/>
      <c r="K35" s="2"/>
    </row>
    <row r="36" spans="1:11" x14ac:dyDescent="0.2">
      <c r="D36" s="17">
        <f>+D34/D13</f>
        <v>6.9999999999998839E-3</v>
      </c>
      <c r="E36" s="17">
        <f t="shared" ref="E36:J36" si="19">+E34/E13</f>
        <v>3.5000000000000024E-2</v>
      </c>
      <c r="F36" s="17">
        <f t="shared" si="19"/>
        <v>3.5000000000000003E-2</v>
      </c>
      <c r="G36" s="17"/>
      <c r="H36" s="17">
        <f t="shared" si="19"/>
        <v>3.5000000000000017E-2</v>
      </c>
      <c r="I36" s="17">
        <f t="shared" si="19"/>
        <v>3.4999999999999976E-2</v>
      </c>
      <c r="J36" s="17">
        <f t="shared" si="19"/>
        <v>3.4999999999999989E-2</v>
      </c>
      <c r="K36" s="17"/>
    </row>
  </sheetData>
  <mergeCells count="4">
    <mergeCell ref="D10:F10"/>
    <mergeCell ref="H10:J10"/>
    <mergeCell ref="D3:F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2DDF-E7CE-2743-97B0-578A9490D619}">
  <dimension ref="B7:B28"/>
  <sheetViews>
    <sheetView showGridLines="0" tabSelected="1" zoomScaleNormal="100" workbookViewId="0">
      <selection activeCell="T23" sqref="T23"/>
    </sheetView>
  </sheetViews>
  <sheetFormatPr baseColWidth="10" defaultRowHeight="16" x14ac:dyDescent="0.2"/>
  <sheetData>
    <row r="7" spans="2:2" x14ac:dyDescent="0.2">
      <c r="B7" s="1" t="s">
        <v>26</v>
      </c>
    </row>
    <row r="8" spans="2:2" x14ac:dyDescent="0.2">
      <c r="B8" t="s">
        <v>5</v>
      </c>
    </row>
    <row r="9" spans="2:2" x14ac:dyDescent="0.2">
      <c r="B9" t="s">
        <v>22</v>
      </c>
    </row>
    <row r="10" spans="2:2" x14ac:dyDescent="0.2">
      <c r="B10" t="s">
        <v>6</v>
      </c>
    </row>
    <row r="12" spans="2:2" x14ac:dyDescent="0.2">
      <c r="B12" s="1" t="s">
        <v>7</v>
      </c>
    </row>
    <row r="13" spans="2:2" x14ac:dyDescent="0.2">
      <c r="B13" t="s">
        <v>8</v>
      </c>
    </row>
    <row r="14" spans="2:2" x14ac:dyDescent="0.2">
      <c r="B14" t="s">
        <v>10</v>
      </c>
    </row>
    <row r="15" spans="2:2" x14ac:dyDescent="0.2">
      <c r="B15" t="s">
        <v>11</v>
      </c>
    </row>
    <row r="16" spans="2:2" x14ac:dyDescent="0.2">
      <c r="B16" t="s">
        <v>12</v>
      </c>
    </row>
    <row r="17" spans="2:2" x14ac:dyDescent="0.2">
      <c r="B17" t="s">
        <v>13</v>
      </c>
    </row>
    <row r="18" spans="2:2" x14ac:dyDescent="0.2">
      <c r="B18" t="s">
        <v>14</v>
      </c>
    </row>
    <row r="19" spans="2:2" x14ac:dyDescent="0.2">
      <c r="B19" t="s">
        <v>16</v>
      </c>
    </row>
    <row r="21" spans="2:2" x14ac:dyDescent="0.2">
      <c r="B21" t="s">
        <v>15</v>
      </c>
    </row>
    <row r="22" spans="2:2" x14ac:dyDescent="0.2">
      <c r="B22" s="1" t="s">
        <v>17</v>
      </c>
    </row>
    <row r="24" spans="2:2" x14ac:dyDescent="0.2">
      <c r="B24" t="s">
        <v>20</v>
      </c>
    </row>
    <row r="26" spans="2:2" x14ac:dyDescent="0.2">
      <c r="B26" t="s">
        <v>18</v>
      </c>
    </row>
    <row r="28" spans="2:2" x14ac:dyDescent="0.2">
      <c r="B28" s="1" t="s">
        <v>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1FD8-8BA7-F74B-B1A7-9F3577200D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422F-AFC9-5442-9BAD-20AB43579D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E83-C6D4-244A-8D31-1528BA112AC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schools business cycle</vt:lpstr>
      <vt:lpstr>P&amp;L LN</vt:lpstr>
      <vt:lpstr>BS LN</vt:lpstr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Alvarez de los Cobos Aguilar</dc:creator>
  <cp:lastModifiedBy>Carlos Enrique Alvarez de los Cobos Aguilar</cp:lastModifiedBy>
  <dcterms:created xsi:type="dcterms:W3CDTF">2021-11-18T18:43:04Z</dcterms:created>
  <dcterms:modified xsi:type="dcterms:W3CDTF">2021-11-26T20:30:23Z</dcterms:modified>
</cp:coreProperties>
</file>