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LUISA\Georgia Lung Associates\COE General Pulmonary\Saddle PE Study\"/>
    </mc:Choice>
  </mc:AlternateContent>
  <bookViews>
    <workbookView xWindow="0" yWindow="0" windowWidth="28800" windowHeight="12300" activeTab="1"/>
  </bookViews>
  <sheets>
    <sheet name="Saddle PE" sheetId="3" r:id="rId1"/>
    <sheet name="Non-Saddle PE" sheetId="1" r:id="rId2"/>
  </sheets>
  <externalReferences>
    <externalReference r:id="rId3"/>
    <externalReference r:id="rId4"/>
  </externalReferences>
  <definedNames>
    <definedName name="_xlnm._FilterDatabase" localSheetId="1" hidden="1">'Non-Saddle PE'!$A$1:$DG$1</definedName>
    <definedName name="_xlnm._FilterDatabase" localSheetId="0" hidden="1">'Saddle PE'!$A$1:$DL$181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81" i="3" l="1"/>
  <c r="AX181" i="3"/>
  <c r="H181" i="3"/>
  <c r="F181" i="3"/>
  <c r="BB180" i="3"/>
  <c r="AX180" i="3"/>
  <c r="H180" i="3"/>
  <c r="F180" i="3"/>
  <c r="BB179" i="3"/>
  <c r="AX179" i="3"/>
  <c r="F179" i="3"/>
  <c r="H179" i="3"/>
  <c r="BB178" i="3"/>
  <c r="AX178" i="3"/>
  <c r="F178" i="3"/>
  <c r="H178" i="3"/>
  <c r="BB177" i="3"/>
  <c r="AX177" i="3"/>
  <c r="F177" i="3"/>
  <c r="H177" i="3"/>
  <c r="BB176" i="3"/>
  <c r="AX176" i="3"/>
  <c r="F176" i="3"/>
  <c r="H176" i="3"/>
  <c r="BB175" i="3"/>
  <c r="AX175" i="3"/>
  <c r="F175" i="3"/>
  <c r="H175" i="3"/>
  <c r="BB174" i="3"/>
  <c r="AX174" i="3"/>
  <c r="F174" i="3"/>
  <c r="H174" i="3"/>
  <c r="BB173" i="3"/>
  <c r="AX173" i="3"/>
  <c r="F173" i="3"/>
  <c r="H173" i="3"/>
  <c r="BB172" i="3"/>
  <c r="AX172" i="3"/>
  <c r="F172" i="3"/>
  <c r="H172" i="3"/>
  <c r="BB171" i="3"/>
  <c r="AX171" i="3"/>
  <c r="F171" i="3"/>
  <c r="H171" i="3"/>
  <c r="BB170" i="3"/>
  <c r="AX170" i="3"/>
  <c r="F170" i="3"/>
  <c r="H170" i="3"/>
  <c r="BB169" i="3"/>
  <c r="AX169" i="3"/>
  <c r="F169" i="3"/>
  <c r="H169" i="3"/>
  <c r="BB168" i="3"/>
  <c r="AX168" i="3"/>
  <c r="F168" i="3"/>
  <c r="H168" i="3"/>
  <c r="BB167" i="3"/>
  <c r="AX167" i="3"/>
  <c r="F167" i="3"/>
  <c r="H167" i="3"/>
  <c r="BB166" i="3"/>
  <c r="AX166" i="3"/>
  <c r="F166" i="3"/>
  <c r="H166" i="3"/>
  <c r="BB165" i="3"/>
  <c r="AX165" i="3"/>
  <c r="F165" i="3"/>
  <c r="H165" i="3"/>
  <c r="BB164" i="3"/>
  <c r="AX164" i="3"/>
  <c r="F164" i="3"/>
  <c r="H164" i="3"/>
  <c r="BB163" i="3"/>
  <c r="AX163" i="3"/>
  <c r="F163" i="3"/>
  <c r="H163" i="3"/>
  <c r="BB162" i="3"/>
  <c r="AX162" i="3"/>
  <c r="F162" i="3"/>
  <c r="H162" i="3"/>
  <c r="BB161" i="3"/>
  <c r="AX161" i="3"/>
  <c r="F161" i="3"/>
  <c r="H161" i="3"/>
  <c r="BB160" i="3"/>
  <c r="AX160" i="3"/>
  <c r="F160" i="3"/>
  <c r="H160" i="3"/>
  <c r="BB159" i="3"/>
  <c r="AX159" i="3"/>
  <c r="F159" i="3"/>
  <c r="H159" i="3"/>
  <c r="BB158" i="3"/>
  <c r="AX158" i="3"/>
  <c r="F158" i="3"/>
  <c r="H158" i="3"/>
  <c r="BB157" i="3"/>
  <c r="AX157" i="3"/>
  <c r="F157" i="3"/>
  <c r="H157" i="3"/>
  <c r="BB156" i="3"/>
  <c r="AX156" i="3"/>
  <c r="F156" i="3"/>
  <c r="H156" i="3"/>
  <c r="BB155" i="3"/>
  <c r="AX155" i="3"/>
  <c r="F155" i="3"/>
  <c r="H155" i="3"/>
  <c r="BB154" i="3"/>
  <c r="AX154" i="3"/>
  <c r="F154" i="3"/>
  <c r="H154" i="3"/>
  <c r="BB153" i="3"/>
  <c r="AX153" i="3"/>
  <c r="F153" i="3"/>
  <c r="H153" i="3"/>
  <c r="BB152" i="3"/>
  <c r="AX152" i="3"/>
  <c r="F152" i="3"/>
  <c r="H152" i="3"/>
  <c r="BB151" i="3"/>
  <c r="AX151" i="3"/>
  <c r="F151" i="3"/>
  <c r="H151" i="3"/>
  <c r="BB150" i="3"/>
  <c r="AX150" i="3"/>
  <c r="F150" i="3"/>
  <c r="H150" i="3"/>
  <c r="BB149" i="3"/>
  <c r="AX149" i="3"/>
  <c r="F149" i="3"/>
  <c r="H149" i="3"/>
  <c r="BB148" i="3"/>
  <c r="AX148" i="3"/>
  <c r="F148" i="3"/>
  <c r="H148" i="3"/>
  <c r="BB147" i="3"/>
  <c r="AX147" i="3"/>
  <c r="F147" i="3"/>
  <c r="BB146" i="3"/>
  <c r="AX146" i="3"/>
  <c r="F146" i="3"/>
  <c r="H146" i="3"/>
  <c r="BB145" i="3"/>
  <c r="AX145" i="3"/>
  <c r="F145" i="3"/>
  <c r="H145" i="3"/>
  <c r="BB144" i="3"/>
  <c r="AX144" i="3"/>
  <c r="F144" i="3"/>
  <c r="H144" i="3"/>
  <c r="BB143" i="3"/>
  <c r="AX143" i="3"/>
  <c r="F143" i="3"/>
  <c r="H143" i="3"/>
  <c r="BB142" i="3"/>
  <c r="AX142" i="3"/>
  <c r="F142" i="3"/>
  <c r="H142" i="3"/>
  <c r="BB141" i="3"/>
  <c r="AX141" i="3"/>
  <c r="F141" i="3"/>
  <c r="H141" i="3"/>
  <c r="BB140" i="3"/>
  <c r="AX140" i="3"/>
  <c r="F140" i="3"/>
  <c r="H140" i="3"/>
  <c r="BB139" i="3"/>
  <c r="AX139" i="3"/>
  <c r="F139" i="3"/>
  <c r="H139" i="3"/>
  <c r="BB138" i="3"/>
  <c r="AX138" i="3"/>
  <c r="F138" i="3"/>
  <c r="H138" i="3"/>
  <c r="BB137" i="3"/>
  <c r="AX137" i="3"/>
  <c r="H137" i="3"/>
  <c r="BB136" i="3"/>
  <c r="AX136" i="3"/>
  <c r="H136" i="3"/>
  <c r="BB135" i="3"/>
  <c r="AX135" i="3"/>
  <c r="H135" i="3"/>
  <c r="BB134" i="3"/>
  <c r="AX134" i="3"/>
  <c r="F134" i="3"/>
  <c r="H134" i="3"/>
  <c r="BB133" i="3"/>
  <c r="AX133" i="3"/>
  <c r="H133" i="3"/>
  <c r="BB132" i="3"/>
  <c r="AX132" i="3"/>
  <c r="H132" i="3"/>
  <c r="BB131" i="3"/>
  <c r="AX131" i="3"/>
  <c r="F131" i="3"/>
  <c r="H131" i="3"/>
  <c r="BB130" i="3"/>
  <c r="AX130" i="3"/>
  <c r="F130" i="3"/>
  <c r="H130" i="3"/>
  <c r="BB129" i="3"/>
  <c r="AX129" i="3"/>
  <c r="F129" i="3"/>
  <c r="H129" i="3"/>
  <c r="BB128" i="3"/>
  <c r="AX128" i="3"/>
  <c r="F128" i="3"/>
  <c r="H128" i="3"/>
  <c r="BB127" i="3"/>
  <c r="AX127" i="3"/>
  <c r="F127" i="3"/>
  <c r="H127" i="3"/>
  <c r="BB126" i="3"/>
  <c r="AX126" i="3"/>
  <c r="BB125" i="3"/>
  <c r="AX125" i="3"/>
  <c r="F125" i="3"/>
  <c r="H125" i="3"/>
  <c r="BB124" i="3"/>
  <c r="AX124" i="3"/>
  <c r="F124" i="3"/>
  <c r="H124" i="3"/>
  <c r="BB123" i="3"/>
  <c r="AX123" i="3"/>
  <c r="F123" i="3"/>
  <c r="H123" i="3"/>
  <c r="BB122" i="3"/>
  <c r="AX122" i="3"/>
  <c r="F122" i="3"/>
  <c r="H122" i="3"/>
  <c r="BB121" i="3"/>
  <c r="AX121" i="3"/>
  <c r="F121" i="3"/>
  <c r="H121" i="3"/>
  <c r="BB120" i="3"/>
  <c r="AX120" i="3"/>
  <c r="F120" i="3"/>
  <c r="H120" i="3"/>
  <c r="BB119" i="3"/>
  <c r="AX119" i="3"/>
  <c r="F119" i="3"/>
  <c r="H119" i="3"/>
  <c r="BB118" i="3"/>
  <c r="AX118" i="3"/>
  <c r="F118" i="3"/>
  <c r="H118" i="3"/>
  <c r="BB117" i="3"/>
  <c r="AX117" i="3"/>
  <c r="F117" i="3"/>
  <c r="H117" i="3"/>
  <c r="BB116" i="3"/>
  <c r="AX116" i="3"/>
  <c r="F116" i="3"/>
  <c r="H116" i="3"/>
  <c r="BB115" i="3"/>
  <c r="AX115" i="3"/>
  <c r="F115" i="3"/>
  <c r="H115" i="3"/>
  <c r="BB114" i="3"/>
  <c r="AX114" i="3"/>
  <c r="F114" i="3"/>
  <c r="H114" i="3"/>
  <c r="BB113" i="3"/>
  <c r="AX113" i="3"/>
  <c r="F113" i="3"/>
  <c r="H113" i="3"/>
  <c r="BB112" i="3"/>
  <c r="AX112" i="3"/>
  <c r="F112" i="3"/>
  <c r="H112" i="3"/>
  <c r="BB111" i="3"/>
  <c r="AX111" i="3"/>
  <c r="F111" i="3"/>
  <c r="H111" i="3"/>
  <c r="BB110" i="3"/>
  <c r="AX110" i="3"/>
  <c r="F110" i="3"/>
  <c r="H110" i="3"/>
  <c r="BB109" i="3"/>
  <c r="AX109" i="3"/>
  <c r="F109" i="3"/>
  <c r="H109" i="3"/>
  <c r="BB108" i="3"/>
  <c r="AX108" i="3"/>
  <c r="F108" i="3"/>
  <c r="H108" i="3"/>
  <c r="BB107" i="3"/>
  <c r="AX107" i="3"/>
  <c r="F107" i="3"/>
  <c r="H107" i="3"/>
  <c r="BB106" i="3"/>
  <c r="AX106" i="3"/>
  <c r="F106" i="3"/>
  <c r="H106" i="3"/>
  <c r="BB105" i="3"/>
  <c r="AX105" i="3"/>
  <c r="F105" i="3"/>
  <c r="H105" i="3"/>
  <c r="BB104" i="3"/>
  <c r="AX104" i="3"/>
  <c r="F104" i="3"/>
  <c r="H104" i="3"/>
  <c r="BB103" i="3"/>
  <c r="AX103" i="3"/>
  <c r="F103" i="3"/>
  <c r="H103" i="3"/>
  <c r="BB102" i="3"/>
  <c r="AX102" i="3"/>
  <c r="F102" i="3"/>
  <c r="H102" i="3"/>
  <c r="BB101" i="3"/>
  <c r="AX101" i="3"/>
  <c r="F101" i="3"/>
  <c r="H101" i="3"/>
  <c r="BB100" i="3"/>
  <c r="AX100" i="3"/>
  <c r="F100" i="3"/>
  <c r="H100" i="3"/>
  <c r="BB99" i="3"/>
  <c r="AX99" i="3"/>
  <c r="F99" i="3"/>
  <c r="H99" i="3"/>
  <c r="BB98" i="3"/>
  <c r="AX98" i="3"/>
  <c r="F98" i="3"/>
  <c r="H98" i="3"/>
  <c r="BB97" i="3"/>
  <c r="AX97" i="3"/>
  <c r="F97" i="3"/>
  <c r="H97" i="3"/>
  <c r="BB96" i="3"/>
  <c r="AX96" i="3"/>
  <c r="F96" i="3"/>
  <c r="H96" i="3"/>
  <c r="BB95" i="3"/>
  <c r="AX95" i="3"/>
  <c r="F95" i="3"/>
  <c r="H95" i="3"/>
  <c r="BB94" i="3"/>
  <c r="AX94" i="3"/>
  <c r="F94" i="3"/>
  <c r="H94" i="3"/>
  <c r="BB93" i="3"/>
  <c r="AX93" i="3"/>
  <c r="F93" i="3"/>
  <c r="H93" i="3"/>
  <c r="BB92" i="3"/>
  <c r="AX92" i="3"/>
  <c r="F92" i="3"/>
  <c r="H92" i="3"/>
  <c r="BB91" i="3"/>
  <c r="AX91" i="3"/>
  <c r="F91" i="3"/>
  <c r="H91" i="3"/>
  <c r="BB90" i="3"/>
  <c r="AX90" i="3"/>
  <c r="F90" i="3"/>
  <c r="H90" i="3"/>
  <c r="BB89" i="3"/>
  <c r="AX89" i="3"/>
  <c r="F89" i="3"/>
  <c r="H89" i="3"/>
  <c r="BB88" i="3"/>
  <c r="AX88" i="3"/>
  <c r="F88" i="3"/>
  <c r="H88" i="3"/>
  <c r="BB87" i="3"/>
  <c r="AX87" i="3"/>
  <c r="F87" i="3"/>
  <c r="H87" i="3"/>
  <c r="BB86" i="3"/>
  <c r="AX86" i="3"/>
  <c r="F86" i="3"/>
  <c r="H86" i="3"/>
  <c r="BB85" i="3"/>
  <c r="AX85" i="3"/>
  <c r="F85" i="3"/>
  <c r="H85" i="3"/>
  <c r="BB84" i="3"/>
  <c r="AX84" i="3"/>
  <c r="F84" i="3"/>
  <c r="H84" i="3"/>
  <c r="BB83" i="3"/>
  <c r="AX83" i="3"/>
  <c r="F83" i="3"/>
  <c r="H83" i="3"/>
  <c r="BB82" i="3"/>
  <c r="AX82" i="3"/>
  <c r="F82" i="3"/>
  <c r="H82" i="3"/>
  <c r="BB81" i="3"/>
  <c r="AX81" i="3"/>
  <c r="F81" i="3"/>
  <c r="H81" i="3"/>
  <c r="BB80" i="3"/>
  <c r="AX80" i="3"/>
  <c r="F80" i="3"/>
  <c r="H80" i="3"/>
  <c r="BB79" i="3"/>
  <c r="AX79" i="3"/>
  <c r="F79" i="3"/>
  <c r="H79" i="3"/>
  <c r="BB78" i="3"/>
  <c r="AX78" i="3"/>
  <c r="F78" i="3"/>
  <c r="H78" i="3"/>
  <c r="BB77" i="3"/>
  <c r="AX77" i="3"/>
  <c r="F77" i="3"/>
  <c r="H77" i="3"/>
  <c r="BB76" i="3"/>
  <c r="AX76" i="3"/>
  <c r="F76" i="3"/>
  <c r="H76" i="3"/>
  <c r="BB75" i="3"/>
  <c r="AX75" i="3"/>
  <c r="F75" i="3"/>
  <c r="H75" i="3"/>
  <c r="BB74" i="3"/>
  <c r="AX74" i="3"/>
  <c r="F74" i="3"/>
  <c r="H74" i="3"/>
  <c r="BB73" i="3"/>
  <c r="AX73" i="3"/>
  <c r="F73" i="3"/>
  <c r="H73" i="3"/>
  <c r="BB72" i="3"/>
  <c r="AX72" i="3"/>
  <c r="F72" i="3"/>
  <c r="H72" i="3"/>
  <c r="BB71" i="3"/>
  <c r="AX71" i="3"/>
  <c r="F71" i="3"/>
  <c r="H71" i="3"/>
  <c r="BB70" i="3"/>
  <c r="AX70" i="3"/>
  <c r="F70" i="3"/>
  <c r="H70" i="3"/>
  <c r="BB69" i="3"/>
  <c r="AX69" i="3"/>
  <c r="F69" i="3"/>
  <c r="H69" i="3"/>
  <c r="BB68" i="3"/>
  <c r="AX68" i="3"/>
  <c r="F68" i="3"/>
  <c r="H68" i="3"/>
  <c r="BB67" i="3"/>
  <c r="AX67" i="3"/>
  <c r="F67" i="3"/>
  <c r="H67" i="3"/>
  <c r="BB66" i="3"/>
  <c r="AX66" i="3"/>
  <c r="F66" i="3"/>
  <c r="H66" i="3"/>
  <c r="BB65" i="3"/>
  <c r="AX65" i="3"/>
  <c r="F65" i="3"/>
  <c r="H65" i="3"/>
  <c r="BB64" i="3"/>
  <c r="AX64" i="3"/>
  <c r="F64" i="3"/>
  <c r="H64" i="3"/>
  <c r="BB63" i="3"/>
  <c r="AX63" i="3"/>
  <c r="F63" i="3"/>
  <c r="H63" i="3"/>
  <c r="BB62" i="3"/>
  <c r="AX62" i="3"/>
  <c r="F62" i="3"/>
  <c r="BB61" i="3"/>
  <c r="AX61" i="3"/>
  <c r="F61" i="3"/>
  <c r="H61" i="3"/>
  <c r="BB60" i="3"/>
  <c r="AX60" i="3"/>
  <c r="F60" i="3"/>
  <c r="H60" i="3"/>
  <c r="BB59" i="3"/>
  <c r="AX59" i="3"/>
  <c r="F59" i="3"/>
  <c r="H59" i="3"/>
  <c r="BB58" i="3"/>
  <c r="AX58" i="3"/>
  <c r="F58" i="3"/>
  <c r="H58" i="3"/>
  <c r="BB57" i="3"/>
  <c r="AX57" i="3"/>
  <c r="F57" i="3"/>
  <c r="H57" i="3"/>
  <c r="BB56" i="3"/>
  <c r="AX56" i="3"/>
  <c r="F56" i="3"/>
  <c r="H56" i="3"/>
  <c r="BB55" i="3"/>
  <c r="AX55" i="3"/>
  <c r="F55" i="3"/>
  <c r="H55" i="3"/>
  <c r="BB54" i="3"/>
  <c r="AX54" i="3"/>
  <c r="F54" i="3"/>
  <c r="H54" i="3"/>
  <c r="BB53" i="3"/>
  <c r="AX53" i="3"/>
  <c r="F53" i="3"/>
  <c r="H53" i="3"/>
  <c r="BB52" i="3"/>
  <c r="AX52" i="3"/>
  <c r="F52" i="3"/>
  <c r="H52" i="3"/>
  <c r="BB51" i="3"/>
  <c r="AX51" i="3"/>
  <c r="F51" i="3"/>
  <c r="H51" i="3"/>
  <c r="BB50" i="3"/>
  <c r="AX50" i="3"/>
  <c r="F50" i="3"/>
  <c r="H50" i="3"/>
  <c r="BB49" i="3"/>
  <c r="AX49" i="3"/>
  <c r="F49" i="3"/>
  <c r="H49" i="3"/>
  <c r="BB48" i="3"/>
  <c r="AX48" i="3"/>
  <c r="F48" i="3"/>
  <c r="H48" i="3"/>
  <c r="BB47" i="3"/>
  <c r="AX47" i="3"/>
  <c r="F47" i="3"/>
  <c r="H47" i="3"/>
  <c r="BB46" i="3"/>
  <c r="AX46" i="3"/>
  <c r="F46" i="3"/>
  <c r="H46" i="3"/>
  <c r="BB45" i="3"/>
  <c r="AX45" i="3"/>
  <c r="F45" i="3"/>
  <c r="H45" i="3"/>
  <c r="BB44" i="3"/>
  <c r="AX44" i="3"/>
  <c r="F44" i="3"/>
  <c r="H44" i="3"/>
  <c r="BB43" i="3"/>
  <c r="AX43" i="3"/>
  <c r="F43" i="3"/>
  <c r="H43" i="3"/>
  <c r="BB42" i="3"/>
  <c r="AX42" i="3"/>
  <c r="F42" i="3"/>
  <c r="H42" i="3"/>
  <c r="BB41" i="3"/>
  <c r="AX41" i="3"/>
  <c r="F41" i="3"/>
  <c r="H41" i="3"/>
  <c r="BB40" i="3"/>
  <c r="AX40" i="3"/>
  <c r="F40" i="3"/>
  <c r="H40" i="3"/>
  <c r="BB39" i="3"/>
  <c r="AX39" i="3"/>
  <c r="F39" i="3"/>
  <c r="H39" i="3"/>
  <c r="BB38" i="3"/>
  <c r="AX38" i="3"/>
  <c r="F38" i="3"/>
  <c r="H38" i="3"/>
  <c r="BB37" i="3"/>
  <c r="AX37" i="3"/>
  <c r="F37" i="3"/>
  <c r="H37" i="3"/>
  <c r="BB36" i="3"/>
  <c r="AX36" i="3"/>
  <c r="F36" i="3"/>
  <c r="H36" i="3"/>
  <c r="BB35" i="3"/>
  <c r="AX35" i="3"/>
  <c r="F35" i="3"/>
  <c r="H35" i="3"/>
  <c r="BB34" i="3"/>
  <c r="AX34" i="3"/>
  <c r="F34" i="3"/>
  <c r="H34" i="3"/>
  <c r="BB33" i="3"/>
  <c r="AX33" i="3"/>
  <c r="F33" i="3"/>
  <c r="H33" i="3"/>
  <c r="BB32" i="3"/>
  <c r="AX32" i="3"/>
  <c r="F32" i="3"/>
  <c r="H32" i="3"/>
  <c r="BB31" i="3"/>
  <c r="AX31" i="3"/>
  <c r="F31" i="3"/>
  <c r="H31" i="3"/>
  <c r="BB30" i="3"/>
  <c r="AX30" i="3"/>
  <c r="F30" i="3"/>
  <c r="H30" i="3"/>
  <c r="BB29" i="3"/>
  <c r="AX29" i="3"/>
  <c r="F29" i="3"/>
  <c r="H29" i="3"/>
  <c r="BB28" i="3"/>
  <c r="AX28" i="3"/>
  <c r="F28" i="3"/>
  <c r="H28" i="3"/>
  <c r="BB27" i="3"/>
  <c r="AX27" i="3"/>
  <c r="F27" i="3"/>
  <c r="H27" i="3"/>
  <c r="BB26" i="3"/>
  <c r="AX26" i="3"/>
  <c r="F26" i="3"/>
  <c r="H26" i="3"/>
  <c r="BB25" i="3"/>
  <c r="AX25" i="3"/>
  <c r="F25" i="3"/>
  <c r="H25" i="3"/>
  <c r="BB24" i="3"/>
  <c r="AX24" i="3"/>
  <c r="F24" i="3"/>
  <c r="H24" i="3"/>
  <c r="BB23" i="3"/>
  <c r="AX23" i="3"/>
  <c r="F23" i="3"/>
  <c r="H23" i="3"/>
  <c r="BB22" i="3"/>
  <c r="AX22" i="3"/>
  <c r="F22" i="3"/>
  <c r="H22" i="3"/>
  <c r="BB21" i="3"/>
  <c r="AX21" i="3"/>
  <c r="F21" i="3"/>
  <c r="H21" i="3"/>
  <c r="BB20" i="3"/>
  <c r="AX20" i="3"/>
  <c r="F20" i="3"/>
  <c r="H20" i="3"/>
  <c r="BB19" i="3"/>
  <c r="AX19" i="3"/>
  <c r="BB18" i="3"/>
  <c r="AX18" i="3"/>
  <c r="F18" i="3"/>
  <c r="H18" i="3"/>
  <c r="BB17" i="3"/>
  <c r="AX17" i="3"/>
  <c r="F17" i="3"/>
  <c r="H17" i="3"/>
  <c r="BB16" i="3"/>
  <c r="AX16" i="3"/>
  <c r="F16" i="3"/>
  <c r="H16" i="3"/>
  <c r="BB15" i="3"/>
  <c r="AX15" i="3"/>
  <c r="F15" i="3"/>
  <c r="H15" i="3"/>
  <c r="BB14" i="3"/>
  <c r="AX14" i="3"/>
  <c r="F14" i="3"/>
  <c r="H14" i="3"/>
  <c r="BB13" i="3"/>
  <c r="AX13" i="3"/>
  <c r="F13" i="3"/>
  <c r="H13" i="3"/>
  <c r="BB12" i="3"/>
  <c r="AX12" i="3"/>
  <c r="F12" i="3"/>
  <c r="H12" i="3"/>
  <c r="BB11" i="3"/>
  <c r="AX11" i="3"/>
  <c r="F11" i="3"/>
  <c r="H11" i="3"/>
  <c r="BB10" i="3"/>
  <c r="AX10" i="3"/>
  <c r="F10" i="3"/>
  <c r="H10" i="3"/>
  <c r="BB9" i="3"/>
  <c r="AX9" i="3"/>
  <c r="F9" i="3"/>
  <c r="H9" i="3"/>
  <c r="BB8" i="3"/>
  <c r="AX8" i="3"/>
  <c r="F8" i="3"/>
  <c r="H8" i="3"/>
  <c r="BB7" i="3"/>
  <c r="AX7" i="3"/>
  <c r="F7" i="3"/>
  <c r="H7" i="3"/>
  <c r="BB6" i="3"/>
  <c r="AX6" i="3"/>
  <c r="F6" i="3"/>
  <c r="H6" i="3"/>
  <c r="BB5" i="3"/>
  <c r="AX5" i="3"/>
  <c r="F5" i="3"/>
  <c r="H5" i="3"/>
  <c r="BB4" i="3"/>
  <c r="AX4" i="3"/>
  <c r="F4" i="3"/>
  <c r="H4" i="3"/>
  <c r="BB3" i="3"/>
  <c r="AX3" i="3"/>
  <c r="F3" i="3"/>
  <c r="H3" i="3"/>
  <c r="BB2" i="3"/>
  <c r="AX2" i="3"/>
  <c r="F2" i="3"/>
  <c r="H2" i="3"/>
  <c r="BB159" i="1"/>
  <c r="AX159" i="1"/>
  <c r="H159" i="1"/>
  <c r="BB158" i="1"/>
  <c r="AX158" i="1"/>
  <c r="H158" i="1"/>
  <c r="BB157" i="1"/>
  <c r="AX157" i="1"/>
  <c r="H157" i="1"/>
  <c r="BB156" i="1"/>
  <c r="AX156" i="1"/>
  <c r="H156" i="1"/>
  <c r="BB155" i="1"/>
  <c r="AX155" i="1"/>
  <c r="H155" i="1"/>
  <c r="BB154" i="1"/>
  <c r="AX154" i="1"/>
  <c r="H154" i="1"/>
  <c r="BB153" i="1"/>
  <c r="AX153" i="1"/>
  <c r="H153" i="1"/>
  <c r="BB152" i="1"/>
  <c r="AX152" i="1"/>
  <c r="H152" i="1"/>
  <c r="BB151" i="1"/>
  <c r="AX151" i="1"/>
  <c r="H151" i="1"/>
  <c r="BB150" i="1"/>
  <c r="AX150" i="1"/>
  <c r="H150" i="1"/>
  <c r="BB149" i="1"/>
  <c r="AX149" i="1"/>
  <c r="H149" i="1"/>
  <c r="BB148" i="1"/>
  <c r="AX148" i="1"/>
  <c r="H148" i="1"/>
  <c r="BB147" i="1"/>
  <c r="AX147" i="1"/>
  <c r="H147" i="1"/>
  <c r="BB146" i="1"/>
  <c r="AX146" i="1"/>
  <c r="H146" i="1"/>
  <c r="BB145" i="1"/>
  <c r="AX145" i="1"/>
  <c r="H145" i="1"/>
  <c r="BB144" i="1"/>
  <c r="AX144" i="1"/>
  <c r="H144" i="1"/>
  <c r="BB143" i="1"/>
  <c r="AX143" i="1"/>
  <c r="H143" i="1"/>
  <c r="BB142" i="1"/>
  <c r="AX142" i="1"/>
  <c r="H142" i="1"/>
  <c r="BB141" i="1"/>
  <c r="AX141" i="1"/>
  <c r="H141" i="1"/>
  <c r="BB140" i="1"/>
  <c r="AX140" i="1"/>
  <c r="H140" i="1"/>
  <c r="BB139" i="1"/>
  <c r="AX139" i="1"/>
  <c r="H139" i="1"/>
  <c r="BB138" i="1"/>
  <c r="AX138" i="1"/>
  <c r="H138" i="1"/>
  <c r="BB137" i="1"/>
  <c r="AX137" i="1"/>
  <c r="H137" i="1"/>
  <c r="BB136" i="1"/>
  <c r="AX136" i="1"/>
  <c r="H136" i="1"/>
  <c r="BB135" i="1"/>
  <c r="AX135" i="1"/>
  <c r="H135" i="1"/>
  <c r="BB134" i="1"/>
  <c r="AX134" i="1"/>
  <c r="H134" i="1"/>
  <c r="BB133" i="1"/>
  <c r="AX133" i="1"/>
  <c r="H133" i="1"/>
  <c r="BB132" i="1"/>
  <c r="AX132" i="1"/>
  <c r="H132" i="1"/>
  <c r="BB131" i="1"/>
  <c r="AX131" i="1"/>
  <c r="H131" i="1"/>
  <c r="BB130" i="1"/>
  <c r="AX130" i="1"/>
  <c r="H130" i="1"/>
  <c r="BB129" i="1"/>
  <c r="AX129" i="1"/>
  <c r="H129" i="1"/>
  <c r="BB128" i="1"/>
  <c r="AX128" i="1"/>
  <c r="H128" i="1"/>
  <c r="BB127" i="1"/>
  <c r="AX127" i="1"/>
  <c r="H127" i="1"/>
  <c r="BB126" i="1"/>
  <c r="AX126" i="1"/>
  <c r="H126" i="1"/>
  <c r="BB125" i="1"/>
  <c r="AX125" i="1"/>
  <c r="BB124" i="1"/>
  <c r="AX124" i="1"/>
  <c r="BB123" i="1"/>
  <c r="AX123" i="1"/>
  <c r="BB122" i="1"/>
  <c r="AX122" i="1"/>
  <c r="BB121" i="1"/>
  <c r="AX121" i="1"/>
  <c r="BB120" i="1"/>
  <c r="AX120" i="1"/>
  <c r="BB119" i="1"/>
  <c r="AX119" i="1"/>
  <c r="H119" i="1"/>
  <c r="BB118" i="1"/>
  <c r="AX118" i="1"/>
  <c r="H118" i="1"/>
  <c r="BB117" i="1"/>
  <c r="AX117" i="1"/>
  <c r="H117" i="1"/>
  <c r="BB116" i="1"/>
  <c r="AX116" i="1"/>
  <c r="H116" i="1"/>
  <c r="BB115" i="1"/>
  <c r="AX115" i="1"/>
  <c r="H115" i="1"/>
  <c r="BB114" i="1"/>
  <c r="AX114" i="1"/>
  <c r="H114" i="1"/>
  <c r="BB113" i="1"/>
  <c r="AX113" i="1"/>
  <c r="H113" i="1"/>
  <c r="BB112" i="1"/>
  <c r="AX112" i="1"/>
  <c r="H112" i="1"/>
  <c r="BB111" i="1"/>
  <c r="AX111" i="1"/>
  <c r="H111" i="1"/>
  <c r="BB110" i="1"/>
  <c r="AX110" i="1"/>
  <c r="H110" i="1"/>
  <c r="BB109" i="1"/>
  <c r="AX109" i="1"/>
  <c r="H109" i="1"/>
  <c r="BB108" i="1"/>
  <c r="AX108" i="1"/>
  <c r="H108" i="1"/>
  <c r="BB107" i="1"/>
  <c r="AX107" i="1"/>
  <c r="H107" i="1"/>
  <c r="BB106" i="1"/>
  <c r="AX106" i="1"/>
  <c r="H106" i="1"/>
  <c r="BB105" i="1"/>
  <c r="AX105" i="1"/>
  <c r="H105" i="1"/>
  <c r="BB104" i="1"/>
  <c r="AX104" i="1"/>
  <c r="H104" i="1"/>
  <c r="BB103" i="1"/>
  <c r="AX103" i="1"/>
  <c r="H103" i="1"/>
  <c r="BB102" i="1"/>
  <c r="AX102" i="1"/>
  <c r="H102" i="1"/>
  <c r="BB101" i="1"/>
  <c r="AX101" i="1"/>
  <c r="H101" i="1"/>
  <c r="BB100" i="1"/>
  <c r="AX100" i="1"/>
  <c r="H100" i="1"/>
  <c r="BB99" i="1"/>
  <c r="AX99" i="1"/>
  <c r="H99" i="1"/>
  <c r="BB98" i="1"/>
  <c r="AX98" i="1"/>
  <c r="H98" i="1"/>
  <c r="BB97" i="1"/>
  <c r="AX97" i="1"/>
  <c r="H97" i="1"/>
  <c r="BB96" i="1"/>
  <c r="AX96" i="1"/>
  <c r="H96" i="1"/>
  <c r="BB95" i="1"/>
  <c r="AX95" i="1"/>
  <c r="H95" i="1"/>
  <c r="BB94" i="1"/>
  <c r="AX94" i="1"/>
  <c r="H94" i="1"/>
  <c r="BB93" i="1"/>
  <c r="AX93" i="1"/>
  <c r="H93" i="1"/>
  <c r="BB92" i="1"/>
  <c r="AX92" i="1"/>
  <c r="H92" i="1"/>
  <c r="BB91" i="1"/>
  <c r="AX91" i="1"/>
  <c r="H91" i="1"/>
  <c r="BB90" i="1"/>
  <c r="AX90" i="1"/>
  <c r="H90" i="1"/>
  <c r="BB89" i="1"/>
  <c r="AX89" i="1"/>
  <c r="H89" i="1"/>
  <c r="BB88" i="1"/>
  <c r="AX88" i="1"/>
  <c r="H88" i="1"/>
  <c r="BB87" i="1"/>
  <c r="AX87" i="1"/>
  <c r="H87" i="1"/>
  <c r="BB86" i="1"/>
  <c r="AX86" i="1"/>
  <c r="H86" i="1"/>
  <c r="BB85" i="1"/>
  <c r="AX85" i="1"/>
  <c r="H85" i="1"/>
  <c r="BB84" i="1"/>
  <c r="AX84" i="1"/>
  <c r="H84" i="1"/>
  <c r="BB83" i="1"/>
  <c r="AX83" i="1"/>
  <c r="H83" i="1"/>
  <c r="BB82" i="1"/>
  <c r="AX82" i="1"/>
  <c r="H82" i="1"/>
  <c r="BB81" i="1"/>
  <c r="AX81" i="1"/>
  <c r="H81" i="1"/>
  <c r="BB80" i="1"/>
  <c r="AX80" i="1"/>
  <c r="H80" i="1"/>
  <c r="BB79" i="1"/>
  <c r="AX79" i="1"/>
  <c r="H79" i="1"/>
  <c r="BB78" i="1"/>
  <c r="AX78" i="1"/>
  <c r="H78" i="1"/>
  <c r="BB77" i="1"/>
  <c r="AX77" i="1"/>
  <c r="H77" i="1"/>
  <c r="BB76" i="1"/>
  <c r="AX76" i="1"/>
  <c r="H76" i="1"/>
  <c r="BB75" i="1"/>
  <c r="AX75" i="1"/>
  <c r="H75" i="1"/>
  <c r="BB74" i="1"/>
  <c r="AX74" i="1"/>
  <c r="H74" i="1"/>
  <c r="BB73" i="1"/>
  <c r="AX73" i="1"/>
  <c r="H73" i="1"/>
  <c r="BB72" i="1"/>
  <c r="AX72" i="1"/>
  <c r="H72" i="1"/>
  <c r="BB71" i="1"/>
  <c r="AX71" i="1"/>
  <c r="H71" i="1"/>
  <c r="BB70" i="1"/>
  <c r="AX70" i="1"/>
  <c r="H70" i="1"/>
  <c r="BB69" i="1"/>
  <c r="AX69" i="1"/>
  <c r="H69" i="1"/>
  <c r="BB68" i="1"/>
  <c r="AX68" i="1"/>
  <c r="H68" i="1"/>
  <c r="BB67" i="1"/>
  <c r="AX67" i="1"/>
  <c r="H67" i="1"/>
  <c r="BB66" i="1"/>
  <c r="AX66" i="1"/>
  <c r="H66" i="1"/>
  <c r="BB65" i="1"/>
  <c r="AX65" i="1"/>
  <c r="H65" i="1"/>
  <c r="BB64" i="1"/>
  <c r="AX64" i="1"/>
  <c r="H64" i="1"/>
  <c r="BB63" i="1"/>
  <c r="AX63" i="1"/>
  <c r="H63" i="1"/>
  <c r="BB62" i="1"/>
  <c r="AX62" i="1"/>
  <c r="H62" i="1"/>
  <c r="BB61" i="1"/>
  <c r="AX61" i="1"/>
  <c r="H61" i="1"/>
  <c r="BB60" i="1"/>
  <c r="AX60" i="1"/>
  <c r="H60" i="1"/>
  <c r="BB59" i="1"/>
  <c r="AX59" i="1"/>
  <c r="H59" i="1"/>
  <c r="BB58" i="1"/>
  <c r="AX58" i="1"/>
  <c r="H58" i="1"/>
  <c r="BB57" i="1"/>
  <c r="AX57" i="1"/>
  <c r="BB56" i="1"/>
  <c r="AX56" i="1"/>
  <c r="H56" i="1"/>
  <c r="BB55" i="1"/>
  <c r="AX55" i="1"/>
  <c r="H55" i="1"/>
  <c r="BB54" i="1"/>
  <c r="AX54" i="1"/>
  <c r="H54" i="1"/>
  <c r="BB53" i="1"/>
  <c r="AX53" i="1"/>
  <c r="H53" i="1"/>
  <c r="BB52" i="1"/>
  <c r="AX52" i="1"/>
  <c r="H52" i="1"/>
  <c r="BB51" i="1"/>
  <c r="AX51" i="1"/>
  <c r="H51" i="1"/>
  <c r="BB50" i="1"/>
  <c r="AX50" i="1"/>
  <c r="H50" i="1"/>
  <c r="BB49" i="1"/>
  <c r="AX49" i="1"/>
  <c r="H49" i="1"/>
  <c r="BB48" i="1"/>
  <c r="AX48" i="1"/>
  <c r="H48" i="1"/>
  <c r="BB47" i="1"/>
  <c r="AX47" i="1"/>
  <c r="H47" i="1"/>
  <c r="BB46" i="1"/>
  <c r="AX46" i="1"/>
  <c r="H46" i="1"/>
  <c r="BB45" i="1"/>
  <c r="AX45" i="1"/>
  <c r="H45" i="1"/>
  <c r="BB44" i="1"/>
  <c r="AX44" i="1"/>
  <c r="H44" i="1"/>
  <c r="BB43" i="1"/>
  <c r="AX43" i="1"/>
  <c r="H43" i="1"/>
  <c r="BB42" i="1"/>
  <c r="AX42" i="1"/>
  <c r="H42" i="1"/>
  <c r="BB41" i="1"/>
  <c r="AX41" i="1"/>
  <c r="H41" i="1"/>
  <c r="BB40" i="1"/>
  <c r="AX40" i="1"/>
  <c r="H40" i="1"/>
  <c r="BB39" i="1"/>
  <c r="AX39" i="1"/>
  <c r="H39" i="1"/>
  <c r="BB38" i="1"/>
  <c r="AX38" i="1"/>
  <c r="H38" i="1"/>
  <c r="BB37" i="1"/>
  <c r="AX37" i="1"/>
  <c r="H37" i="1"/>
  <c r="BB36" i="1"/>
  <c r="AX36" i="1"/>
  <c r="H36" i="1"/>
  <c r="BB35" i="1"/>
  <c r="AX35" i="1"/>
  <c r="H35" i="1"/>
  <c r="BB34" i="1"/>
  <c r="AX34" i="1"/>
  <c r="H34" i="1"/>
  <c r="BB33" i="1"/>
  <c r="AX33" i="1"/>
  <c r="H33" i="1"/>
  <c r="BB32" i="1"/>
  <c r="AX32" i="1"/>
  <c r="H32" i="1"/>
  <c r="BB31" i="1"/>
  <c r="AX31" i="1"/>
  <c r="H31" i="1"/>
  <c r="BB30" i="1"/>
  <c r="AX30" i="1"/>
  <c r="H30" i="1"/>
  <c r="BB29" i="1"/>
  <c r="AX29" i="1"/>
  <c r="H29" i="1"/>
  <c r="BB28" i="1"/>
  <c r="AX28" i="1"/>
  <c r="H28" i="1"/>
  <c r="BB27" i="1"/>
  <c r="AX27" i="1"/>
  <c r="H27" i="1"/>
  <c r="BB26" i="1"/>
  <c r="AX26" i="1"/>
  <c r="H26" i="1"/>
  <c r="BB25" i="1"/>
  <c r="AX25" i="1"/>
  <c r="H25" i="1"/>
  <c r="BB24" i="1"/>
  <c r="AX24" i="1"/>
  <c r="H24" i="1"/>
  <c r="BB23" i="1"/>
  <c r="AX23" i="1"/>
  <c r="H23" i="1"/>
  <c r="BB22" i="1"/>
  <c r="AX22" i="1"/>
  <c r="H22" i="1"/>
  <c r="BB21" i="1"/>
  <c r="AX21" i="1"/>
  <c r="H21" i="1"/>
  <c r="BB20" i="1"/>
  <c r="AX20" i="1"/>
  <c r="H20" i="1"/>
  <c r="BB19" i="1"/>
  <c r="AX19" i="1"/>
  <c r="H19" i="1"/>
  <c r="BB18" i="1"/>
  <c r="AX18" i="1"/>
  <c r="H18" i="1"/>
  <c r="BB17" i="1"/>
  <c r="AX17" i="1"/>
  <c r="H17" i="1"/>
  <c r="BB16" i="1"/>
  <c r="AX16" i="1"/>
  <c r="H16" i="1"/>
  <c r="BB15" i="1"/>
  <c r="AX15" i="1"/>
  <c r="H15" i="1"/>
  <c r="BB14" i="1"/>
  <c r="AX14" i="1"/>
  <c r="H14" i="1"/>
  <c r="BB13" i="1"/>
  <c r="AX13" i="1"/>
  <c r="H13" i="1"/>
  <c r="BB12" i="1"/>
  <c r="AX12" i="1"/>
  <c r="H12" i="1"/>
  <c r="BB11" i="1"/>
  <c r="AX11" i="1"/>
  <c r="H11" i="1"/>
  <c r="BB10" i="1"/>
  <c r="AX10" i="1"/>
  <c r="H10" i="1"/>
  <c r="BB9" i="1"/>
  <c r="AX9" i="1"/>
  <c r="H9" i="1"/>
  <c r="BB8" i="1"/>
  <c r="AX8" i="1"/>
  <c r="H8" i="1"/>
  <c r="BB7" i="1"/>
  <c r="AX7" i="1"/>
  <c r="H7" i="1"/>
  <c r="BB6" i="1"/>
  <c r="AX6" i="1"/>
  <c r="H6" i="1"/>
  <c r="BB5" i="1"/>
  <c r="AX5" i="1"/>
  <c r="H5" i="1"/>
  <c r="BB4" i="1"/>
  <c r="AX4" i="1"/>
  <c r="H4" i="1"/>
  <c r="BB3" i="1"/>
  <c r="AX3" i="1"/>
  <c r="H3" i="1"/>
  <c r="BB2" i="1"/>
  <c r="AX2" i="1"/>
  <c r="H2" i="1"/>
</calcChain>
</file>

<file path=xl/sharedStrings.xml><?xml version="1.0" encoding="utf-8"?>
<sst xmlns="http://schemas.openxmlformats.org/spreadsheetml/2006/main" count="4011" uniqueCount="224">
  <si>
    <t>Indentificaton</t>
  </si>
  <si>
    <t>Age</t>
  </si>
  <si>
    <t>Gender</t>
  </si>
  <si>
    <t>Race</t>
  </si>
  <si>
    <t>Hight-cm</t>
  </si>
  <si>
    <t>Weight-kg</t>
  </si>
  <si>
    <t>BMI</t>
  </si>
  <si>
    <t>HR &gt;= 110</t>
  </si>
  <si>
    <t>HR</t>
  </si>
  <si>
    <t>SBP &lt;100</t>
  </si>
  <si>
    <t>SBP</t>
  </si>
  <si>
    <t>RR &gt;=30</t>
  </si>
  <si>
    <t>RR</t>
  </si>
  <si>
    <t xml:space="preserve">Temp &lt;96.8 F </t>
  </si>
  <si>
    <t>Temp (F)</t>
  </si>
  <si>
    <t>O2 &lt;90% RA</t>
  </si>
  <si>
    <t>O2 Sat RA</t>
  </si>
  <si>
    <t>Syncope</t>
  </si>
  <si>
    <t>Immobilization</t>
  </si>
  <si>
    <t>Recent Trauma</t>
  </si>
  <si>
    <t>Recent Surgery</t>
  </si>
  <si>
    <t>Recent Hospital (w/in 30 days)</t>
  </si>
  <si>
    <t>Personal h/o VTE</t>
  </si>
  <si>
    <t>FH of VTE</t>
  </si>
  <si>
    <t>Elevated BNP</t>
  </si>
  <si>
    <t>Elevated Troponin</t>
  </si>
  <si>
    <t>RVSP (mmHg)</t>
  </si>
  <si>
    <t>RV/LV Ratio</t>
  </si>
  <si>
    <t>PA/Aorta Ratio</t>
  </si>
  <si>
    <t>IVC Reflux Grade</t>
  </si>
  <si>
    <t>Septal Flattening</t>
  </si>
  <si>
    <t>Arrhythmia</t>
  </si>
  <si>
    <t>Type of Arrhythmia</t>
  </si>
  <si>
    <t>ICU Stay</t>
  </si>
  <si>
    <t>ACLS</t>
  </si>
  <si>
    <t>Pressors</t>
  </si>
  <si>
    <t>Inotropes</t>
  </si>
  <si>
    <t xml:space="preserve">tpA </t>
  </si>
  <si>
    <t>EKOS</t>
  </si>
  <si>
    <t>IP Bleeding</t>
  </si>
  <si>
    <t>Type of bleed</t>
  </si>
  <si>
    <t>Transfusion</t>
  </si>
  <si>
    <t>Patient Status at 30 days</t>
  </si>
  <si>
    <t>Pregnant</t>
  </si>
  <si>
    <t>Platelet &lt;70k</t>
  </si>
  <si>
    <t>Etiology of Clot</t>
  </si>
  <si>
    <t>M</t>
  </si>
  <si>
    <t>W</t>
  </si>
  <si>
    <t>x</t>
  </si>
  <si>
    <t>A-fib</t>
  </si>
  <si>
    <t>Alive</t>
  </si>
  <si>
    <t>recent hospitalization</t>
  </si>
  <si>
    <t>F</t>
  </si>
  <si>
    <t>B</t>
  </si>
  <si>
    <t>unprovoked</t>
  </si>
  <si>
    <t>personal history</t>
  </si>
  <si>
    <t>surgery</t>
  </si>
  <si>
    <t>?</t>
  </si>
  <si>
    <t>chronic 2lpm</t>
  </si>
  <si>
    <t>home 2lpm</t>
  </si>
  <si>
    <t>malignancy</t>
  </si>
  <si>
    <t>immobility</t>
  </si>
  <si>
    <t xml:space="preserve">unprovoked </t>
  </si>
  <si>
    <t>hospitalization</t>
  </si>
  <si>
    <t>chronic 3lpm</t>
  </si>
  <si>
    <t>unprovoked, family history</t>
  </si>
  <si>
    <t>A-flutter</t>
  </si>
  <si>
    <t>sugery</t>
  </si>
  <si>
    <t>vaginal</t>
  </si>
  <si>
    <t xml:space="preserve">OCP </t>
  </si>
  <si>
    <t>A-fib with RVR</t>
  </si>
  <si>
    <t>suspect malignancy</t>
  </si>
  <si>
    <t>air travel</t>
  </si>
  <si>
    <t>personal history and immobility</t>
  </si>
  <si>
    <t>1</t>
  </si>
  <si>
    <t>RBBB</t>
  </si>
  <si>
    <t>8</t>
  </si>
  <si>
    <t>2</t>
  </si>
  <si>
    <t>surgery,malignancy</t>
  </si>
  <si>
    <t>11</t>
  </si>
  <si>
    <t xml:space="preserve">hemoptysis </t>
  </si>
  <si>
    <t>recent procedure</t>
  </si>
  <si>
    <t>Deceased</t>
  </si>
  <si>
    <t>3</t>
  </si>
  <si>
    <t>trauma</t>
  </si>
  <si>
    <t>5</t>
  </si>
  <si>
    <t>73</t>
  </si>
  <si>
    <t>0</t>
  </si>
  <si>
    <t>16</t>
  </si>
  <si>
    <t>PAC's</t>
  </si>
  <si>
    <t>epistaxis, hemorrhoidal bleed s/p ligation</t>
  </si>
  <si>
    <t>refused</t>
  </si>
  <si>
    <t>14</t>
  </si>
  <si>
    <t>recent travel</t>
  </si>
  <si>
    <t>PVC's</t>
  </si>
  <si>
    <t>gastric ulcer</t>
  </si>
  <si>
    <t>15</t>
  </si>
  <si>
    <t>SR with atrial ectopy</t>
  </si>
  <si>
    <t>6</t>
  </si>
  <si>
    <t>provoked</t>
  </si>
  <si>
    <t>9</t>
  </si>
  <si>
    <t>ST elevation</t>
  </si>
  <si>
    <t>10</t>
  </si>
  <si>
    <t>surgery, malignancy</t>
  </si>
  <si>
    <t>arm hematoma at site of blood pressure cuff</t>
  </si>
  <si>
    <t>20</t>
  </si>
  <si>
    <t>hemoptysis</t>
  </si>
  <si>
    <t>personal history and malignancy</t>
  </si>
  <si>
    <t>oral contraceptives</t>
  </si>
  <si>
    <t>4</t>
  </si>
  <si>
    <t>bleeding from IV after pt pulled it out</t>
  </si>
  <si>
    <t>personal history, surgery</t>
  </si>
  <si>
    <t>1st degree AV block</t>
  </si>
  <si>
    <t>taking megace</t>
  </si>
  <si>
    <t>LBBB</t>
  </si>
  <si>
    <t>endometrial</t>
  </si>
  <si>
    <t>40</t>
  </si>
  <si>
    <t>h/o</t>
  </si>
  <si>
    <t>A-flutter, RBBB</t>
  </si>
  <si>
    <t>PVC's, RBBB</t>
  </si>
  <si>
    <t>AI</t>
  </si>
  <si>
    <t>58</t>
  </si>
  <si>
    <t>31</t>
  </si>
  <si>
    <t>personal  history</t>
  </si>
  <si>
    <t>30</t>
  </si>
  <si>
    <t>62</t>
  </si>
  <si>
    <t>28</t>
  </si>
  <si>
    <t>39</t>
  </si>
  <si>
    <t>epistaxis,mild</t>
  </si>
  <si>
    <t>personal history, immobility</t>
  </si>
  <si>
    <t>7</t>
  </si>
  <si>
    <t>55</t>
  </si>
  <si>
    <t>24</t>
  </si>
  <si>
    <t>65</t>
  </si>
  <si>
    <t>RV Dilation</t>
  </si>
  <si>
    <t>RV Hypokinesis/Dysfunction</t>
  </si>
  <si>
    <t>RV/LV Ratio  .95 or greater</t>
  </si>
  <si>
    <t>Intubation</t>
  </si>
  <si>
    <t xml:space="preserve"> EKOS</t>
  </si>
  <si>
    <t>immobility- car travel</t>
  </si>
  <si>
    <t>PEA arrest</t>
  </si>
  <si>
    <t>UGIB</t>
  </si>
  <si>
    <t>oral contraception</t>
  </si>
  <si>
    <t>infection</t>
  </si>
  <si>
    <t>epistaxis</t>
  </si>
  <si>
    <t xml:space="preserve">S1 Q3 T3 </t>
  </si>
  <si>
    <t>12</t>
  </si>
  <si>
    <t>Vfib-asystole arrest</t>
  </si>
  <si>
    <t>Mobitz Type 2 AV Block</t>
  </si>
  <si>
    <t xml:space="preserve">Alive </t>
  </si>
  <si>
    <t>immobility, recent shingles</t>
  </si>
  <si>
    <t>Aflutter RVR</t>
  </si>
  <si>
    <t>Afib</t>
  </si>
  <si>
    <t>hormone replacement therapy</t>
  </si>
  <si>
    <t>hematuria</t>
  </si>
  <si>
    <t>blood spitting</t>
  </si>
  <si>
    <t>compression IVC</t>
  </si>
  <si>
    <t>ST depression in inferior leads</t>
  </si>
  <si>
    <t>recent surgery</t>
  </si>
  <si>
    <t>NH</t>
  </si>
  <si>
    <t>13</t>
  </si>
  <si>
    <t>21</t>
  </si>
  <si>
    <t>H</t>
  </si>
  <si>
    <t>ICH</t>
  </si>
  <si>
    <t>37</t>
  </si>
  <si>
    <t>immobililty- air travel</t>
  </si>
  <si>
    <t>Afib RVR</t>
  </si>
  <si>
    <t>SDH - bilateral, hematemesis, bleeding from graft sites</t>
  </si>
  <si>
    <t>anemia, hematuria</t>
  </si>
  <si>
    <t xml:space="preserve">gum bleeding </t>
  </si>
  <si>
    <t xml:space="preserve">A.Fib RVR/PEA arrest </t>
  </si>
  <si>
    <t xml:space="preserve">immobility  </t>
  </si>
  <si>
    <t>use of testosterone</t>
  </si>
  <si>
    <t>S1Q3T3</t>
  </si>
  <si>
    <t>immobility- air travel</t>
  </si>
  <si>
    <t>50-60</t>
  </si>
  <si>
    <t>carotid dissection</t>
  </si>
  <si>
    <t xml:space="preserve">M </t>
  </si>
  <si>
    <t>surgery, hormone replacement</t>
  </si>
  <si>
    <t>uprovoked</t>
  </si>
  <si>
    <t>melena/hemorrhoids</t>
  </si>
  <si>
    <t>menorrhagia</t>
  </si>
  <si>
    <t>sinus arrhythmia</t>
  </si>
  <si>
    <t>RV/LV Ratio .95 or greater</t>
  </si>
  <si>
    <t>RV/LV Ratio   .91-.94</t>
  </si>
  <si>
    <t>Both Dilation and Dysfunction</t>
  </si>
  <si>
    <t xml:space="preserve">Technically Suboptimal </t>
  </si>
  <si>
    <t>RV/LV Ratio .91-.94</t>
  </si>
  <si>
    <t>bradyarrhythmia/prolonged pause</t>
  </si>
  <si>
    <t>Inconclusive (RV not well visualized)</t>
  </si>
  <si>
    <t>RV/LV Ratio .85 to .90</t>
  </si>
  <si>
    <t>Readmitted to IP  &lt;30 days</t>
  </si>
  <si>
    <t>not documented</t>
  </si>
  <si>
    <t>PESI Class</t>
  </si>
  <si>
    <t>sPESI (low risk = 0; 1 = 1 or greater)</t>
  </si>
  <si>
    <t>Length of Stay (LOS)</t>
  </si>
  <si>
    <t>Lenth of Stay (LOS)</t>
  </si>
  <si>
    <t>PE Severity 1=low risk; 2=intermediate; 3=massive; 4= indeterminate</t>
  </si>
  <si>
    <t>PE Severity 1=low risk; 2=intermediate; 3=massive; 4=indeterminate</t>
  </si>
  <si>
    <t>Shock (SBP &lt;90)</t>
  </si>
  <si>
    <t>Shock (BP &lt;90)</t>
  </si>
  <si>
    <t>&lt; 6 hours from CTA read to administration of tpa or EKOS</t>
  </si>
  <si>
    <t>&lt;24 hours from CTA read to administration of tpA or EKOS</t>
  </si>
  <si>
    <t>Active Cancer</t>
  </si>
  <si>
    <t>History of Cancer</t>
  </si>
  <si>
    <t>Required Supplemental O2</t>
  </si>
  <si>
    <t>NRB (non-rebreather mask required)</t>
  </si>
  <si>
    <t>Active Smoker</t>
  </si>
  <si>
    <t>CHF (Congestive Heart Failure)</t>
  </si>
  <si>
    <t>Lung Disease</t>
  </si>
  <si>
    <t>Renal Disease</t>
  </si>
  <si>
    <t>DM (Diabetes Mellitus)</t>
  </si>
  <si>
    <t>History of bleeding</t>
  </si>
  <si>
    <t>Nursing Home Resident</t>
  </si>
  <si>
    <t>AMS (Altered Mental Status)</t>
  </si>
  <si>
    <t>Proximal Component to the DVT</t>
  </si>
  <si>
    <t>Required supplemental O2</t>
  </si>
  <si>
    <t xml:space="preserve">Acute DVT (deep venous thrombosis) , 3= chronic DVT </t>
  </si>
  <si>
    <t>Acute DVT (deep venous thrombosis), 3 = chronic</t>
  </si>
  <si>
    <t>RV/LV Ratio  .85 to .90</t>
  </si>
  <si>
    <t>Required Narcotics at discharge</t>
  </si>
  <si>
    <t>Discharged with O2</t>
  </si>
  <si>
    <t>IVCF (Inferior Vena Cava Filter)</t>
  </si>
  <si>
    <t>Clot Present in MPA (Main Pulmonary Artery)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</si>
</sst>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/yy;@"/>
    <numFmt numFmtId="166" formatCode="0_);\(0\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2"/>
      <color theme="1" tint="0.14999847407452621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rgb="FF26262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quotePrefix="1" applyFont="1" applyFill="1" applyAlignment="1">
      <alignment horizontal="center" vertical="top"/>
    </xf>
    <xf numFmtId="0" fontId="3" fillId="0" borderId="0" xfId="0" quotePrefix="1" applyFont="1" applyAlignment="1">
      <alignment horizontal="center" vertical="top"/>
    </xf>
    <xf numFmtId="0" fontId="4" fillId="0" borderId="0" xfId="0" quotePrefix="1" applyFont="1" applyAlignment="1">
      <alignment horizontal="center" vertical="top"/>
    </xf>
    <xf numFmtId="164" fontId="2" fillId="0" borderId="0" xfId="0" applyNumberFormat="1" applyFont="1" applyFill="1" applyAlignment="1">
      <alignment horizontal="center"/>
    </xf>
    <xf numFmtId="164" fontId="3" fillId="0" borderId="0" xfId="0" quotePrefix="1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quotePrefix="1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 vertical="top"/>
    </xf>
    <xf numFmtId="164" fontId="3" fillId="0" borderId="0" xfId="0" quotePrefix="1" applyNumberFormat="1" applyFont="1" applyFill="1" applyAlignment="1">
      <alignment horizontal="center" vertical="top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quotePrefix="1" applyFont="1" applyFill="1" applyBorder="1" applyAlignment="1">
      <alignment horizontal="center" vertical="top"/>
    </xf>
    <xf numFmtId="0" fontId="3" fillId="0" borderId="0" xfId="0" quotePrefix="1" applyFont="1" applyBorder="1" applyAlignment="1">
      <alignment horizontal="center" vertical="top"/>
    </xf>
    <xf numFmtId="0" fontId="4" fillId="0" borderId="0" xfId="0" quotePrefix="1" applyFont="1" applyBorder="1" applyAlignment="1">
      <alignment horizontal="center" vertical="top"/>
    </xf>
    <xf numFmtId="164" fontId="2" fillId="0" borderId="0" xfId="0" applyNumberFormat="1" applyFont="1" applyFill="1" applyBorder="1" applyAlignment="1">
      <alignment horizontal="center"/>
    </xf>
    <xf numFmtId="164" fontId="3" fillId="0" borderId="0" xfId="0" quotePrefix="1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3" fillId="0" borderId="0" xfId="0" quotePrefix="1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5" fillId="0" borderId="0" xfId="0" applyFont="1" applyFill="1"/>
    <xf numFmtId="164" fontId="3" fillId="0" borderId="0" xfId="0" quotePrefix="1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3" fillId="0" borderId="0" xfId="0" applyFont="1" applyAlignment="1">
      <alignment horizontal="center" vertical="top"/>
    </xf>
    <xf numFmtId="2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2" fontId="3" fillId="0" borderId="0" xfId="0" quotePrefix="1" applyNumberFormat="1" applyFont="1" applyFill="1" applyAlignment="1">
      <alignment horizontal="center"/>
    </xf>
    <xf numFmtId="2" fontId="3" fillId="0" borderId="0" xfId="0" quotePrefix="1" applyNumberFormat="1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1" fontId="3" fillId="0" borderId="0" xfId="0" quotePrefix="1" applyNumberFormat="1" applyFont="1" applyFill="1" applyAlignment="1">
      <alignment horizontal="center" vertical="top"/>
    </xf>
    <xf numFmtId="0" fontId="5" fillId="2" borderId="0" xfId="0" applyFont="1" applyFill="1"/>
    <xf numFmtId="0" fontId="2" fillId="2" borderId="0" xfId="0" applyFont="1" applyFill="1"/>
    <xf numFmtId="49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/>
    </xf>
    <xf numFmtId="2" fontId="2" fillId="0" borderId="0" xfId="0" applyNumberFormat="1" applyFont="1" applyFill="1"/>
    <xf numFmtId="0" fontId="0" fillId="0" borderId="0" xfId="0" applyAlignment="1">
      <alignment horizontal="left"/>
    </xf>
    <xf numFmtId="0" fontId="6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0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1" fontId="2" fillId="3" borderId="0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 vertical="top"/>
    </xf>
    <xf numFmtId="0" fontId="6" fillId="0" borderId="0" xfId="0" quotePrefix="1" applyFont="1" applyFill="1" applyAlignment="1">
      <alignment horizontal="center" vertical="top"/>
    </xf>
    <xf numFmtId="2" fontId="6" fillId="0" borderId="0" xfId="0" quotePrefix="1" applyNumberFormat="1" applyFont="1" applyFill="1" applyAlignment="1">
      <alignment horizontal="center" vertical="top"/>
    </xf>
    <xf numFmtId="1" fontId="6" fillId="0" borderId="0" xfId="0" quotePrefix="1" applyNumberFormat="1" applyFont="1" applyFill="1" applyAlignment="1">
      <alignment horizontal="center" vertical="top"/>
    </xf>
    <xf numFmtId="165" fontId="6" fillId="0" borderId="0" xfId="0" quotePrefix="1" applyNumberFormat="1" applyFont="1" applyFill="1" applyBorder="1" applyAlignment="1">
      <alignment horizontal="center" vertical="top"/>
    </xf>
    <xf numFmtId="1" fontId="2" fillId="0" borderId="0" xfId="0" quotePrefix="1" applyNumberFormat="1" applyFont="1" applyFill="1" applyBorder="1" applyAlignment="1">
      <alignment horizontal="center" vertical="top"/>
    </xf>
    <xf numFmtId="0" fontId="2" fillId="0" borderId="0" xfId="0" quotePrefix="1" applyFont="1" applyFill="1" applyAlignment="1">
      <alignment horizontal="center" vertical="top"/>
    </xf>
    <xf numFmtId="2" fontId="2" fillId="0" borderId="0" xfId="0" quotePrefix="1" applyNumberFormat="1" applyFont="1" applyFill="1" applyAlignment="1">
      <alignment horizontal="center" vertical="top"/>
    </xf>
    <xf numFmtId="1" fontId="2" fillId="0" borderId="0" xfId="0" quotePrefix="1" applyNumberFormat="1" applyFont="1" applyFill="1" applyAlignment="1">
      <alignment horizontal="center" vertical="top"/>
    </xf>
    <xf numFmtId="165" fontId="2" fillId="0" borderId="0" xfId="0" quotePrefix="1" applyNumberFormat="1" applyFont="1" applyFill="1" applyBorder="1" applyAlignment="1">
      <alignment horizontal="center" vertical="top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/>
    <xf numFmtId="0" fontId="8" fillId="0" borderId="0" xfId="0" applyFont="1" applyFill="1"/>
    <xf numFmtId="0" fontId="9" fillId="0" borderId="0" xfId="0" quotePrefix="1" applyFont="1" applyFill="1" applyAlignment="1">
      <alignment horizontal="center" vertical="top"/>
    </xf>
    <xf numFmtId="164" fontId="2" fillId="0" borderId="0" xfId="0" quotePrefix="1" applyNumberFormat="1" applyFont="1" applyFill="1" applyAlignment="1">
      <alignment horizontal="center" vertical="top"/>
    </xf>
    <xf numFmtId="164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Border="1"/>
    <xf numFmtId="1" fontId="3" fillId="0" borderId="0" xfId="0" quotePrefix="1" applyNumberFormat="1" applyFont="1" applyFill="1" applyBorder="1" applyAlignment="1">
      <alignment horizontal="center" vertical="top"/>
    </xf>
    <xf numFmtId="1" fontId="3" fillId="0" borderId="0" xfId="0" quotePrefix="1" applyNumberFormat="1" applyFont="1" applyFill="1" applyAlignment="1">
      <alignment horizontal="center"/>
    </xf>
    <xf numFmtId="1" fontId="3" fillId="0" borderId="0" xfId="0" quotePrefix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/>
    </xf>
    <xf numFmtId="166" fontId="0" fillId="0" borderId="0" xfId="0" applyNumberFormat="1" applyBorder="1"/>
    <xf numFmtId="166" fontId="3" fillId="0" borderId="0" xfId="0" applyNumberFormat="1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quotePrefix="1" applyNumberFormat="1" applyFont="1" applyFill="1" applyBorder="1" applyAlignment="1">
      <alignment horizontal="center" vertical="top"/>
    </xf>
    <xf numFmtId="166" fontId="6" fillId="0" borderId="0" xfId="0" quotePrefix="1" applyNumberFormat="1" applyFont="1" applyFill="1" applyBorder="1" applyAlignment="1">
      <alignment horizontal="center" vertical="top"/>
    </xf>
    <xf numFmtId="166" fontId="2" fillId="0" borderId="0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/>
    <xf numFmtId="0" fontId="7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 wrapText="1"/>
    </xf>
    <xf numFmtId="2" fontId="1" fillId="0" borderId="0" xfId="0" applyNumberFormat="1" applyFont="1" applyFill="1" applyAlignment="1">
      <alignment horizontal="left" vertical="center" wrapText="1"/>
    </xf>
    <xf numFmtId="1" fontId="1" fillId="0" borderId="0" xfId="0" applyNumberFormat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66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Fill="1" applyAlignment="1">
      <alignment vertical="center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Alignment="1"/>
    <xf numFmtId="49" fontId="14" fillId="0" borderId="0" xfId="0" applyNumberFormat="1" applyFont="1" applyFill="1" applyAlignment="1">
      <alignment vertical="center"/>
    </xf>
    <xf numFmtId="49" fontId="14" fillId="0" borderId="0" xfId="0" applyNumberFormat="1" applyFont="1" applyAlignment="1">
      <alignment vertical="center"/>
    </xf>
    <xf numFmtId="49" fontId="15" fillId="0" borderId="0" xfId="0" applyNumberFormat="1" applyFont="1" applyAlignment="1">
      <alignment vertical="center"/>
    </xf>
    <xf numFmtId="49" fontId="14" fillId="0" borderId="0" xfId="0" applyNumberFormat="1" applyFont="1" applyAlignment="1"/>
    <xf numFmtId="49" fontId="14" fillId="0" borderId="0" xfId="0" applyNumberFormat="1" applyFont="1" applyFill="1" applyAlignment="1"/>
    <xf numFmtId="49" fontId="1" fillId="0" borderId="0" xfId="0" applyNumberFormat="1" applyFont="1" applyFill="1" applyAlignment="1"/>
    <xf numFmtId="2" fontId="1" fillId="3" borderId="0" xfId="0" applyNumberFormat="1" applyFont="1" applyFill="1" applyAlignment="1">
      <alignment horizontal="left" vertical="center" wrapText="1"/>
    </xf>
    <xf numFmtId="1" fontId="14" fillId="3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0" fontId="1" fillId="3" borderId="0" xfId="0" applyFont="1" applyFill="1" applyAlignment="1"/>
    <xf numFmtId="0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yya%20Final_Final_June_27_2019-%20PE%20Study%20Spreadsheet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iedmont%20/PE%20removed%20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ddle PE's"/>
      <sheetName val="NonSaddle PE's"/>
      <sheetName val="Maya Saddle PE"/>
      <sheetName val="Maya Nonsaddle"/>
      <sheetName val="Extra Values Nonsaddle"/>
      <sheetName val="Extra Value Saddles"/>
    </sheetNames>
    <sheetDataSet>
      <sheetData sheetId="0"/>
      <sheetData sheetId="1"/>
      <sheetData sheetId="2">
        <row r="2">
          <cell r="G2">
            <v>69</v>
          </cell>
        </row>
        <row r="180">
          <cell r="H180">
            <v>172.72</v>
          </cell>
        </row>
        <row r="181">
          <cell r="H181">
            <v>177.8</v>
          </cell>
        </row>
      </sheetData>
      <sheetData sheetId="3">
        <row r="2">
          <cell r="G2">
            <v>152.4</v>
          </cell>
        </row>
        <row r="3">
          <cell r="G3">
            <v>157.47999999999999</v>
          </cell>
        </row>
        <row r="4">
          <cell r="G4">
            <v>170.18</v>
          </cell>
        </row>
        <row r="5">
          <cell r="G5">
            <v>205.7</v>
          </cell>
        </row>
        <row r="6">
          <cell r="G6">
            <v>198.12</v>
          </cell>
        </row>
        <row r="7">
          <cell r="G7">
            <v>182.88</v>
          </cell>
        </row>
        <row r="8">
          <cell r="G8">
            <v>177.8</v>
          </cell>
        </row>
        <row r="9">
          <cell r="G9">
            <v>182.88</v>
          </cell>
        </row>
        <row r="10">
          <cell r="G10">
            <v>157.47999999999999</v>
          </cell>
        </row>
        <row r="11">
          <cell r="G11">
            <v>170.18</v>
          </cell>
        </row>
        <row r="12">
          <cell r="G12">
            <v>167.64000000000001</v>
          </cell>
        </row>
        <row r="13">
          <cell r="G13">
            <v>167.64000000000001</v>
          </cell>
        </row>
        <row r="14">
          <cell r="G14">
            <v>157.47999999999999</v>
          </cell>
        </row>
        <row r="15">
          <cell r="G15">
            <v>154.94</v>
          </cell>
        </row>
        <row r="16">
          <cell r="G16">
            <v>152.4</v>
          </cell>
        </row>
        <row r="17">
          <cell r="G17">
            <v>160.02000000000001</v>
          </cell>
        </row>
        <row r="18">
          <cell r="G18">
            <v>165.1</v>
          </cell>
        </row>
        <row r="19">
          <cell r="G19">
            <v>185.42000000000002</v>
          </cell>
        </row>
        <row r="20">
          <cell r="G20">
            <v>187.96</v>
          </cell>
        </row>
        <row r="21">
          <cell r="G21">
            <v>190.5</v>
          </cell>
        </row>
        <row r="22">
          <cell r="G22">
            <v>152.4</v>
          </cell>
        </row>
        <row r="23">
          <cell r="G23">
            <v>160.02000000000001</v>
          </cell>
        </row>
        <row r="24">
          <cell r="G24">
            <v>167.64000000000001</v>
          </cell>
        </row>
        <row r="25">
          <cell r="G25">
            <v>187.96</v>
          </cell>
        </row>
        <row r="26">
          <cell r="G26">
            <v>152.4</v>
          </cell>
        </row>
        <row r="27">
          <cell r="G27">
            <v>182.88</v>
          </cell>
        </row>
        <row r="28">
          <cell r="G28">
            <v>175.26</v>
          </cell>
        </row>
        <row r="29">
          <cell r="G29">
            <v>157.47999999999999</v>
          </cell>
        </row>
        <row r="30">
          <cell r="G30">
            <v>172.72</v>
          </cell>
        </row>
        <row r="31">
          <cell r="G31">
            <v>160.02000000000001</v>
          </cell>
        </row>
        <row r="32">
          <cell r="G32">
            <v>175.26</v>
          </cell>
        </row>
        <row r="33">
          <cell r="G33">
            <v>180.34</v>
          </cell>
        </row>
        <row r="34">
          <cell r="G34">
            <v>180.34</v>
          </cell>
        </row>
        <row r="35">
          <cell r="G35">
            <v>160.02000000000001</v>
          </cell>
        </row>
        <row r="36">
          <cell r="G36">
            <v>172.72</v>
          </cell>
        </row>
        <row r="37">
          <cell r="G37">
            <v>172.72</v>
          </cell>
        </row>
        <row r="38">
          <cell r="G38">
            <v>162.56</v>
          </cell>
        </row>
        <row r="39">
          <cell r="G39">
            <v>185.42000000000002</v>
          </cell>
        </row>
        <row r="40">
          <cell r="G40">
            <v>177.8</v>
          </cell>
        </row>
        <row r="41">
          <cell r="G41">
            <v>180.34</v>
          </cell>
        </row>
        <row r="42">
          <cell r="G42">
            <v>185.42000000000002</v>
          </cell>
        </row>
        <row r="43">
          <cell r="G43">
            <v>160.02000000000001</v>
          </cell>
        </row>
        <row r="44">
          <cell r="G44">
            <v>180.34</v>
          </cell>
        </row>
        <row r="45">
          <cell r="G45">
            <v>152.4</v>
          </cell>
        </row>
        <row r="46">
          <cell r="G46">
            <v>167.64000000000001</v>
          </cell>
        </row>
        <row r="47">
          <cell r="G47">
            <v>167.64000000000001</v>
          </cell>
        </row>
        <row r="48">
          <cell r="G48">
            <v>165.1</v>
          </cell>
        </row>
        <row r="49">
          <cell r="G49">
            <v>162.56</v>
          </cell>
        </row>
        <row r="50">
          <cell r="G50">
            <v>182.88</v>
          </cell>
        </row>
        <row r="51">
          <cell r="G51">
            <v>175.26</v>
          </cell>
        </row>
        <row r="52">
          <cell r="G52">
            <v>162.56</v>
          </cell>
        </row>
        <row r="53">
          <cell r="G53">
            <v>157.47999999999999</v>
          </cell>
        </row>
        <row r="54">
          <cell r="G54">
            <v>172.72</v>
          </cell>
        </row>
        <row r="55">
          <cell r="G55">
            <v>172.72</v>
          </cell>
        </row>
        <row r="56">
          <cell r="G56">
            <v>172.72</v>
          </cell>
        </row>
        <row r="58">
          <cell r="G58">
            <v>177.8</v>
          </cell>
        </row>
        <row r="59">
          <cell r="G59">
            <v>167.64000000000001</v>
          </cell>
        </row>
        <row r="60">
          <cell r="G60">
            <v>180.34</v>
          </cell>
        </row>
        <row r="61">
          <cell r="G61">
            <v>170.18</v>
          </cell>
        </row>
        <row r="62">
          <cell r="G62">
            <v>175.26</v>
          </cell>
        </row>
        <row r="63">
          <cell r="G63">
            <v>177.8</v>
          </cell>
        </row>
        <row r="64">
          <cell r="G64">
            <v>170.18</v>
          </cell>
        </row>
        <row r="65">
          <cell r="G65">
            <v>180.34</v>
          </cell>
        </row>
        <row r="66">
          <cell r="G66">
            <v>187.96</v>
          </cell>
        </row>
        <row r="67">
          <cell r="G67">
            <v>157.47999999999999</v>
          </cell>
        </row>
        <row r="68">
          <cell r="G68">
            <v>149.86000000000001</v>
          </cell>
        </row>
        <row r="69">
          <cell r="G69">
            <v>190.5</v>
          </cell>
        </row>
        <row r="70">
          <cell r="G70">
            <v>157.47999999999999</v>
          </cell>
        </row>
        <row r="71">
          <cell r="G71">
            <v>167.64000000000001</v>
          </cell>
        </row>
        <row r="72">
          <cell r="G72">
            <v>162.56</v>
          </cell>
        </row>
        <row r="73">
          <cell r="G73">
            <v>182.88</v>
          </cell>
        </row>
        <row r="74">
          <cell r="G74">
            <v>193.04</v>
          </cell>
        </row>
        <row r="75">
          <cell r="G75">
            <v>182.88</v>
          </cell>
        </row>
        <row r="76">
          <cell r="G76">
            <v>190.5</v>
          </cell>
        </row>
        <row r="77">
          <cell r="G77">
            <v>172.72</v>
          </cell>
        </row>
        <row r="78">
          <cell r="G78">
            <v>180.34</v>
          </cell>
        </row>
        <row r="79">
          <cell r="G79">
            <v>172.72</v>
          </cell>
        </row>
        <row r="80">
          <cell r="G80">
            <v>167.64000000000001</v>
          </cell>
        </row>
        <row r="81">
          <cell r="G81">
            <v>175.26</v>
          </cell>
        </row>
        <row r="82">
          <cell r="G82">
            <v>175.26</v>
          </cell>
        </row>
        <row r="83">
          <cell r="G83">
            <v>160.02000000000001</v>
          </cell>
        </row>
        <row r="84">
          <cell r="G84">
            <v>180.34</v>
          </cell>
        </row>
        <row r="85">
          <cell r="G85">
            <v>162.56</v>
          </cell>
        </row>
        <row r="86">
          <cell r="G86">
            <v>177.8</v>
          </cell>
        </row>
        <row r="87">
          <cell r="G87">
            <v>165.1</v>
          </cell>
        </row>
        <row r="88">
          <cell r="G88">
            <v>162.56</v>
          </cell>
        </row>
        <row r="89">
          <cell r="G89">
            <v>170.18</v>
          </cell>
        </row>
        <row r="90">
          <cell r="G90">
            <v>160.02000000000001</v>
          </cell>
        </row>
        <row r="91">
          <cell r="G91">
            <v>165.1</v>
          </cell>
        </row>
        <row r="92">
          <cell r="G92">
            <v>160.02000000000001</v>
          </cell>
        </row>
        <row r="93">
          <cell r="G93">
            <v>170.18</v>
          </cell>
        </row>
        <row r="94">
          <cell r="G94">
            <v>177.8</v>
          </cell>
        </row>
        <row r="95">
          <cell r="G95">
            <v>180.34</v>
          </cell>
        </row>
        <row r="96">
          <cell r="G96">
            <v>160.02000000000001</v>
          </cell>
        </row>
        <row r="97">
          <cell r="G97">
            <v>187.96</v>
          </cell>
        </row>
        <row r="98">
          <cell r="G98">
            <v>180.34</v>
          </cell>
        </row>
        <row r="99">
          <cell r="G99">
            <v>175.26</v>
          </cell>
        </row>
        <row r="100">
          <cell r="G100">
            <v>162.56</v>
          </cell>
        </row>
        <row r="101">
          <cell r="G101">
            <v>154.94</v>
          </cell>
        </row>
        <row r="102">
          <cell r="G102">
            <v>180.34</v>
          </cell>
        </row>
        <row r="103">
          <cell r="G103">
            <v>185.42000000000002</v>
          </cell>
        </row>
        <row r="104">
          <cell r="G104">
            <v>182.88</v>
          </cell>
        </row>
        <row r="105">
          <cell r="G105">
            <v>167.64000000000001</v>
          </cell>
        </row>
        <row r="106">
          <cell r="G106">
            <v>187.96</v>
          </cell>
        </row>
        <row r="107">
          <cell r="G107">
            <v>170.18</v>
          </cell>
        </row>
        <row r="108">
          <cell r="G108">
            <v>162.56</v>
          </cell>
        </row>
        <row r="109">
          <cell r="G109">
            <v>160.02000000000001</v>
          </cell>
        </row>
        <row r="110">
          <cell r="G110">
            <v>157.47999999999999</v>
          </cell>
        </row>
        <row r="111">
          <cell r="G111">
            <v>180.34</v>
          </cell>
        </row>
        <row r="112">
          <cell r="G112">
            <v>177.8</v>
          </cell>
        </row>
        <row r="113">
          <cell r="G113">
            <v>172.72</v>
          </cell>
        </row>
        <row r="114">
          <cell r="G114">
            <v>157.47999999999999</v>
          </cell>
        </row>
        <row r="115">
          <cell r="G115">
            <v>190.5</v>
          </cell>
        </row>
        <row r="116">
          <cell r="G116">
            <v>170.18</v>
          </cell>
        </row>
        <row r="117">
          <cell r="G117">
            <v>182.88</v>
          </cell>
        </row>
        <row r="118">
          <cell r="G118">
            <v>187.96</v>
          </cell>
        </row>
        <row r="119">
          <cell r="G119">
            <v>185.42000000000002</v>
          </cell>
        </row>
        <row r="127">
          <cell r="G127">
            <v>167.64000000000001</v>
          </cell>
        </row>
        <row r="128">
          <cell r="G128">
            <v>167.64000000000001</v>
          </cell>
        </row>
        <row r="129">
          <cell r="G129">
            <v>185.42000000000002</v>
          </cell>
        </row>
        <row r="130">
          <cell r="G130">
            <v>187.96</v>
          </cell>
        </row>
        <row r="131">
          <cell r="G131">
            <v>167.64000000000001</v>
          </cell>
        </row>
        <row r="132">
          <cell r="G132">
            <v>187.96</v>
          </cell>
        </row>
        <row r="133">
          <cell r="G133">
            <v>172.72</v>
          </cell>
        </row>
        <row r="134">
          <cell r="G134">
            <v>160.02000000000001</v>
          </cell>
        </row>
        <row r="135">
          <cell r="G135">
            <v>152.4</v>
          </cell>
        </row>
        <row r="136">
          <cell r="G136">
            <v>170.18</v>
          </cell>
        </row>
        <row r="137">
          <cell r="G137">
            <v>177.8</v>
          </cell>
        </row>
        <row r="138">
          <cell r="G138">
            <v>147.32</v>
          </cell>
        </row>
        <row r="139">
          <cell r="G139">
            <v>165.1</v>
          </cell>
        </row>
        <row r="140">
          <cell r="G140">
            <v>160.02000000000001</v>
          </cell>
        </row>
        <row r="141">
          <cell r="G141">
            <v>177.8</v>
          </cell>
        </row>
        <row r="142">
          <cell r="G142">
            <v>167.64000000000001</v>
          </cell>
        </row>
        <row r="143">
          <cell r="G143">
            <v>172.72</v>
          </cell>
        </row>
        <row r="144">
          <cell r="G144">
            <v>182.88</v>
          </cell>
        </row>
        <row r="145">
          <cell r="G145">
            <v>172.72</v>
          </cell>
        </row>
        <row r="146">
          <cell r="G146">
            <v>175.26</v>
          </cell>
        </row>
        <row r="147">
          <cell r="G147">
            <v>187.96</v>
          </cell>
        </row>
        <row r="148">
          <cell r="G148">
            <v>165.1</v>
          </cell>
        </row>
        <row r="149">
          <cell r="G149">
            <v>157.47999999999999</v>
          </cell>
        </row>
        <row r="150">
          <cell r="G150">
            <v>182.88</v>
          </cell>
        </row>
        <row r="151">
          <cell r="G151">
            <v>167.64000000000001</v>
          </cell>
        </row>
        <row r="152">
          <cell r="G152">
            <v>175.26</v>
          </cell>
        </row>
        <row r="153">
          <cell r="G153">
            <v>190.5</v>
          </cell>
        </row>
        <row r="154">
          <cell r="G154">
            <v>165.1</v>
          </cell>
        </row>
        <row r="155">
          <cell r="G155">
            <v>187.96</v>
          </cell>
        </row>
        <row r="156">
          <cell r="G156">
            <v>162.56</v>
          </cell>
        </row>
        <row r="157">
          <cell r="G157">
            <v>193.04</v>
          </cell>
        </row>
        <row r="158">
          <cell r="G158">
            <v>187.96</v>
          </cell>
        </row>
        <row r="159">
          <cell r="G159">
            <v>170.18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oved Saddle Values"/>
      <sheetName val="Removed Nonsaddle Values"/>
      <sheetName val="Sheet1"/>
    </sheetNames>
    <sheetDataSet>
      <sheetData sheetId="0">
        <row r="3">
          <cell r="G3">
            <v>67</v>
          </cell>
        </row>
        <row r="4">
          <cell r="G4">
            <v>60</v>
          </cell>
        </row>
        <row r="5">
          <cell r="G5">
            <v>69</v>
          </cell>
        </row>
        <row r="6">
          <cell r="G6">
            <v>60</v>
          </cell>
        </row>
        <row r="7">
          <cell r="G7">
            <v>73</v>
          </cell>
        </row>
        <row r="8">
          <cell r="G8">
            <v>81</v>
          </cell>
        </row>
        <row r="9">
          <cell r="G9">
            <v>75</v>
          </cell>
        </row>
        <row r="10">
          <cell r="G10">
            <v>71</v>
          </cell>
        </row>
        <row r="11">
          <cell r="G11">
            <v>73</v>
          </cell>
        </row>
        <row r="12">
          <cell r="G12">
            <v>63</v>
          </cell>
        </row>
        <row r="13">
          <cell r="G13">
            <v>72</v>
          </cell>
        </row>
        <row r="14">
          <cell r="G14">
            <v>62</v>
          </cell>
        </row>
        <row r="15">
          <cell r="G15">
            <v>74</v>
          </cell>
        </row>
        <row r="16">
          <cell r="G16">
            <v>64</v>
          </cell>
        </row>
        <row r="17">
          <cell r="G17">
            <v>70</v>
          </cell>
        </row>
        <row r="18">
          <cell r="G18">
            <v>74</v>
          </cell>
        </row>
        <row r="20">
          <cell r="G20">
            <v>70</v>
          </cell>
        </row>
        <row r="21">
          <cell r="G21">
            <v>71</v>
          </cell>
        </row>
        <row r="22">
          <cell r="G22">
            <v>71</v>
          </cell>
        </row>
        <row r="23">
          <cell r="G23">
            <v>74</v>
          </cell>
        </row>
        <row r="24">
          <cell r="G24">
            <v>74</v>
          </cell>
        </row>
        <row r="25">
          <cell r="G25">
            <v>69</v>
          </cell>
        </row>
        <row r="26">
          <cell r="G26">
            <v>70</v>
          </cell>
        </row>
        <row r="27">
          <cell r="G27">
            <v>73</v>
          </cell>
        </row>
        <row r="28">
          <cell r="G28">
            <v>68</v>
          </cell>
        </row>
        <row r="29">
          <cell r="G29">
            <v>72</v>
          </cell>
        </row>
        <row r="30">
          <cell r="G30">
            <v>64</v>
          </cell>
        </row>
        <row r="31">
          <cell r="G31">
            <v>65</v>
          </cell>
        </row>
        <row r="32">
          <cell r="G32">
            <v>72</v>
          </cell>
        </row>
        <row r="33">
          <cell r="G33">
            <v>59</v>
          </cell>
        </row>
        <row r="34">
          <cell r="G34">
            <v>65</v>
          </cell>
        </row>
        <row r="35">
          <cell r="G35">
            <v>63</v>
          </cell>
        </row>
        <row r="36">
          <cell r="G36">
            <v>69</v>
          </cell>
        </row>
        <row r="37">
          <cell r="G37">
            <v>63</v>
          </cell>
        </row>
        <row r="38">
          <cell r="G38">
            <v>69</v>
          </cell>
        </row>
        <row r="39">
          <cell r="G39">
            <v>66</v>
          </cell>
        </row>
        <row r="40">
          <cell r="G40">
            <v>66</v>
          </cell>
        </row>
        <row r="41">
          <cell r="G41">
            <v>66</v>
          </cell>
        </row>
        <row r="42">
          <cell r="G42">
            <v>72</v>
          </cell>
        </row>
        <row r="43">
          <cell r="G43">
            <v>66</v>
          </cell>
        </row>
        <row r="44">
          <cell r="G44">
            <v>63</v>
          </cell>
        </row>
        <row r="45">
          <cell r="G45">
            <v>69</v>
          </cell>
        </row>
        <row r="46">
          <cell r="G46">
            <v>68</v>
          </cell>
        </row>
        <row r="47">
          <cell r="G47">
            <v>63</v>
          </cell>
        </row>
        <row r="48">
          <cell r="G48">
            <v>64</v>
          </cell>
        </row>
        <row r="49">
          <cell r="G49">
            <v>66</v>
          </cell>
        </row>
        <row r="50">
          <cell r="G50">
            <v>68</v>
          </cell>
        </row>
        <row r="51">
          <cell r="G51">
            <v>66</v>
          </cell>
        </row>
        <row r="52">
          <cell r="G52">
            <v>70</v>
          </cell>
        </row>
        <row r="53">
          <cell r="G53">
            <v>69</v>
          </cell>
        </row>
        <row r="54">
          <cell r="G54">
            <v>66</v>
          </cell>
        </row>
        <row r="55">
          <cell r="G55">
            <v>71</v>
          </cell>
        </row>
        <row r="56">
          <cell r="G56">
            <v>70</v>
          </cell>
        </row>
        <row r="57">
          <cell r="G57">
            <v>70</v>
          </cell>
        </row>
        <row r="58">
          <cell r="G58">
            <v>74</v>
          </cell>
        </row>
        <row r="59">
          <cell r="G59">
            <v>73</v>
          </cell>
        </row>
        <row r="60">
          <cell r="G60">
            <v>68</v>
          </cell>
        </row>
        <row r="61">
          <cell r="G61">
            <v>64</v>
          </cell>
        </row>
        <row r="62">
          <cell r="G62">
            <v>71</v>
          </cell>
        </row>
        <row r="63">
          <cell r="G63">
            <v>65</v>
          </cell>
        </row>
        <row r="64">
          <cell r="G64">
            <v>71</v>
          </cell>
        </row>
        <row r="65">
          <cell r="G65">
            <v>75</v>
          </cell>
        </row>
        <row r="66">
          <cell r="G66">
            <v>68</v>
          </cell>
        </row>
        <row r="67">
          <cell r="G67">
            <v>69</v>
          </cell>
        </row>
        <row r="68">
          <cell r="G68">
            <v>74</v>
          </cell>
        </row>
        <row r="69">
          <cell r="G69">
            <v>70</v>
          </cell>
        </row>
        <row r="70">
          <cell r="G70">
            <v>71</v>
          </cell>
        </row>
        <row r="71">
          <cell r="G71">
            <v>71</v>
          </cell>
        </row>
        <row r="72">
          <cell r="G72">
            <v>73</v>
          </cell>
        </row>
        <row r="73">
          <cell r="G73">
            <v>68</v>
          </cell>
        </row>
        <row r="74">
          <cell r="G74">
            <v>65</v>
          </cell>
        </row>
        <row r="75">
          <cell r="G75">
            <v>60</v>
          </cell>
        </row>
        <row r="76">
          <cell r="G76">
            <v>70</v>
          </cell>
        </row>
        <row r="77">
          <cell r="G77">
            <v>67</v>
          </cell>
        </row>
        <row r="78">
          <cell r="G78">
            <v>72</v>
          </cell>
        </row>
        <row r="79">
          <cell r="G79">
            <v>64</v>
          </cell>
        </row>
        <row r="80">
          <cell r="G80">
            <v>71</v>
          </cell>
        </row>
        <row r="81">
          <cell r="G81">
            <v>67</v>
          </cell>
        </row>
        <row r="82">
          <cell r="G82">
            <v>68</v>
          </cell>
        </row>
        <row r="83">
          <cell r="G83">
            <v>71</v>
          </cell>
        </row>
        <row r="84">
          <cell r="G84">
            <v>70</v>
          </cell>
        </row>
        <row r="85">
          <cell r="G85">
            <v>65</v>
          </cell>
        </row>
        <row r="86">
          <cell r="G86">
            <v>71</v>
          </cell>
        </row>
        <row r="87">
          <cell r="G87">
            <v>70</v>
          </cell>
        </row>
        <row r="88">
          <cell r="G88">
            <v>71</v>
          </cell>
        </row>
        <row r="89">
          <cell r="G89">
            <v>64</v>
          </cell>
        </row>
        <row r="90">
          <cell r="G90">
            <v>62</v>
          </cell>
        </row>
        <row r="91">
          <cell r="G91">
            <v>60</v>
          </cell>
        </row>
        <row r="92">
          <cell r="G92">
            <v>64</v>
          </cell>
        </row>
        <row r="93">
          <cell r="G93">
            <v>74</v>
          </cell>
        </row>
        <row r="94">
          <cell r="G94">
            <v>68</v>
          </cell>
        </row>
        <row r="95">
          <cell r="G95">
            <v>60</v>
          </cell>
        </row>
        <row r="96">
          <cell r="G96">
            <v>62</v>
          </cell>
        </row>
        <row r="97">
          <cell r="G97">
            <v>64</v>
          </cell>
        </row>
        <row r="98">
          <cell r="G98">
            <v>68</v>
          </cell>
        </row>
        <row r="99">
          <cell r="G99">
            <v>72</v>
          </cell>
        </row>
        <row r="100">
          <cell r="G100">
            <v>74</v>
          </cell>
        </row>
        <row r="101">
          <cell r="G101">
            <v>62</v>
          </cell>
        </row>
        <row r="102">
          <cell r="G102">
            <v>70</v>
          </cell>
        </row>
        <row r="103">
          <cell r="G103">
            <v>63</v>
          </cell>
        </row>
        <row r="104">
          <cell r="G104">
            <v>65</v>
          </cell>
        </row>
        <row r="105">
          <cell r="G105">
            <v>76</v>
          </cell>
        </row>
        <row r="106">
          <cell r="G106">
            <v>75</v>
          </cell>
        </row>
        <row r="107">
          <cell r="G107">
            <v>71</v>
          </cell>
        </row>
        <row r="108">
          <cell r="G108">
            <v>74</v>
          </cell>
        </row>
        <row r="109">
          <cell r="G109">
            <v>62</v>
          </cell>
        </row>
        <row r="110">
          <cell r="G110">
            <v>73</v>
          </cell>
        </row>
        <row r="111">
          <cell r="G111">
            <v>64</v>
          </cell>
        </row>
        <row r="112">
          <cell r="G112">
            <v>65</v>
          </cell>
        </row>
        <row r="113">
          <cell r="G113">
            <v>67</v>
          </cell>
        </row>
        <row r="114">
          <cell r="G114">
            <v>71</v>
          </cell>
        </row>
        <row r="115">
          <cell r="G115">
            <v>68</v>
          </cell>
        </row>
        <row r="116">
          <cell r="G116">
            <v>72</v>
          </cell>
        </row>
        <row r="117">
          <cell r="G117">
            <v>63</v>
          </cell>
        </row>
        <row r="118">
          <cell r="G118">
            <v>66</v>
          </cell>
        </row>
        <row r="119">
          <cell r="G119">
            <v>66</v>
          </cell>
        </row>
        <row r="120">
          <cell r="G120">
            <v>72</v>
          </cell>
        </row>
        <row r="121">
          <cell r="G121">
            <v>69</v>
          </cell>
        </row>
        <row r="122">
          <cell r="G122">
            <v>69</v>
          </cell>
        </row>
        <row r="123">
          <cell r="G123">
            <v>68</v>
          </cell>
        </row>
        <row r="124">
          <cell r="G124">
            <v>68</v>
          </cell>
        </row>
        <row r="125">
          <cell r="G125">
            <v>68</v>
          </cell>
        </row>
        <row r="127">
          <cell r="G127">
            <v>72</v>
          </cell>
        </row>
        <row r="128">
          <cell r="G128">
            <v>67</v>
          </cell>
        </row>
        <row r="129">
          <cell r="G129">
            <v>76</v>
          </cell>
        </row>
        <row r="130">
          <cell r="G130">
            <v>70</v>
          </cell>
        </row>
        <row r="131">
          <cell r="G131">
            <v>60</v>
          </cell>
        </row>
        <row r="134">
          <cell r="G134">
            <v>65</v>
          </cell>
        </row>
        <row r="138">
          <cell r="G138">
            <v>69</v>
          </cell>
        </row>
        <row r="139">
          <cell r="G139">
            <v>74</v>
          </cell>
        </row>
        <row r="140">
          <cell r="G140">
            <v>70</v>
          </cell>
        </row>
        <row r="141">
          <cell r="G141">
            <v>70</v>
          </cell>
        </row>
        <row r="142">
          <cell r="G142">
            <v>63</v>
          </cell>
        </row>
        <row r="143">
          <cell r="G143">
            <v>79</v>
          </cell>
        </row>
        <row r="144">
          <cell r="G144">
            <v>69</v>
          </cell>
        </row>
        <row r="145">
          <cell r="G145">
            <v>61</v>
          </cell>
        </row>
        <row r="146">
          <cell r="G146">
            <v>71</v>
          </cell>
        </row>
        <row r="147">
          <cell r="G147">
            <v>67</v>
          </cell>
        </row>
        <row r="148">
          <cell r="G148">
            <v>75</v>
          </cell>
        </row>
        <row r="149">
          <cell r="G149">
            <v>71</v>
          </cell>
        </row>
        <row r="150">
          <cell r="G150">
            <v>69</v>
          </cell>
        </row>
        <row r="151">
          <cell r="G151">
            <v>71</v>
          </cell>
        </row>
        <row r="152">
          <cell r="G152">
            <v>70</v>
          </cell>
        </row>
        <row r="153">
          <cell r="G153">
            <v>80</v>
          </cell>
        </row>
        <row r="154">
          <cell r="G154">
            <v>67</v>
          </cell>
        </row>
        <row r="155">
          <cell r="G155">
            <v>72</v>
          </cell>
        </row>
        <row r="156">
          <cell r="G156">
            <v>72</v>
          </cell>
        </row>
        <row r="157">
          <cell r="G157">
            <v>72</v>
          </cell>
        </row>
        <row r="158">
          <cell r="G158">
            <v>75</v>
          </cell>
        </row>
        <row r="159">
          <cell r="G159">
            <v>67</v>
          </cell>
        </row>
        <row r="160">
          <cell r="G160">
            <v>61</v>
          </cell>
        </row>
        <row r="161">
          <cell r="G161">
            <v>69</v>
          </cell>
        </row>
        <row r="162">
          <cell r="G162">
            <v>73</v>
          </cell>
        </row>
        <row r="163">
          <cell r="G163">
            <v>69</v>
          </cell>
        </row>
        <row r="164">
          <cell r="G164">
            <v>70</v>
          </cell>
        </row>
        <row r="165">
          <cell r="G165">
            <v>76</v>
          </cell>
        </row>
        <row r="166">
          <cell r="G166">
            <v>68</v>
          </cell>
        </row>
        <row r="167">
          <cell r="G167">
            <v>71</v>
          </cell>
        </row>
        <row r="168">
          <cell r="G168">
            <v>71</v>
          </cell>
        </row>
        <row r="169">
          <cell r="G169">
            <v>70</v>
          </cell>
        </row>
        <row r="170">
          <cell r="G170">
            <v>74</v>
          </cell>
        </row>
        <row r="171">
          <cell r="G171">
            <v>67</v>
          </cell>
        </row>
        <row r="172">
          <cell r="G172">
            <v>69</v>
          </cell>
        </row>
        <row r="173">
          <cell r="G173">
            <v>65</v>
          </cell>
        </row>
        <row r="174">
          <cell r="G174">
            <v>68</v>
          </cell>
        </row>
        <row r="175">
          <cell r="G175">
            <v>72</v>
          </cell>
        </row>
        <row r="176">
          <cell r="G176">
            <v>66</v>
          </cell>
        </row>
        <row r="177">
          <cell r="G177">
            <v>68</v>
          </cell>
        </row>
        <row r="178">
          <cell r="G178">
            <v>73</v>
          </cell>
        </row>
        <row r="179">
          <cell r="G179">
            <v>60</v>
          </cell>
        </row>
        <row r="180">
          <cell r="G180">
            <v>68</v>
          </cell>
        </row>
        <row r="181">
          <cell r="G181">
            <v>70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18"/>
  <sheetViews>
    <sheetView topLeftCell="D1" workbookViewId="0">
      <pane ySplit="1" topLeftCell="A156" activePane="bottomLeft" state="frozen"/>
      <selection activeCell="AS1" sqref="AS1"/>
      <selection pane="bottomLeft" activeCell="V1" sqref="V1"/>
    </sheetView>
  </sheetViews>
  <sheetFormatPr defaultColWidth="8.85546875" defaultRowHeight="15" x14ac:dyDescent="0.25"/>
  <cols>
    <col min="1" max="1" width="17.5703125" style="52" customWidth="1"/>
    <col min="2" max="2" width="7.5703125" customWidth="1"/>
    <col min="3" max="3" width="8.140625" customWidth="1"/>
    <col min="4" max="4" width="8" customWidth="1"/>
    <col min="5" max="5" width="11" customWidth="1"/>
    <col min="6" max="6" width="11.85546875" customWidth="1"/>
    <col min="7" max="7" width="10.85546875" style="87" customWidth="1"/>
    <col min="8" max="8" width="11" customWidth="1"/>
    <col min="9" max="9" width="13.85546875" style="52" customWidth="1"/>
    <col min="10" max="10" width="11.42578125" customWidth="1"/>
    <col min="11" max="11" width="28.7109375" customWidth="1"/>
    <col min="12" max="12" width="12.42578125" customWidth="1"/>
    <col min="13" max="13" width="9" customWidth="1"/>
    <col min="14" max="14" width="11.42578125" customWidth="1"/>
    <col min="15" max="15" width="8.5703125" customWidth="1"/>
    <col min="16" max="16" width="10.28515625" customWidth="1"/>
    <col min="17" max="17" width="8.140625" customWidth="1"/>
    <col min="18" max="18" width="13.42578125" customWidth="1"/>
    <col min="19" max="19" width="11.85546875" style="54" customWidth="1"/>
    <col min="20" max="20" width="13.85546875" customWidth="1"/>
    <col min="21" max="21" width="12.28515625" customWidth="1"/>
    <col min="22" max="23" width="10.85546875" customWidth="1"/>
    <col min="24" max="24" width="9.42578125" style="52" customWidth="1"/>
    <col min="25" max="25" width="16" customWidth="1"/>
    <col min="26" max="26" width="15" customWidth="1"/>
    <col min="27" max="27" width="18.140625" customWidth="1"/>
    <col min="28" max="28" width="9.42578125" customWidth="1"/>
    <col min="29" max="29" width="14.42578125" customWidth="1"/>
    <col min="30" max="30" width="13.85546875" customWidth="1"/>
    <col min="31" max="31" width="9.140625" customWidth="1"/>
    <col min="32" max="32" width="18.42578125" customWidth="1"/>
    <col min="33" max="33" width="15.140625" style="52" customWidth="1"/>
    <col min="34" max="35" width="14.7109375" customWidth="1"/>
    <col min="36" max="36" width="14.42578125" customWidth="1"/>
    <col min="37" max="37" width="17.7109375" customWidth="1"/>
    <col min="38" max="38" width="12.140625" customWidth="1"/>
    <col min="39" max="39" width="11.85546875" customWidth="1"/>
    <col min="41" max="41" width="13" customWidth="1"/>
    <col min="42" max="42" width="20.28515625" customWidth="1"/>
    <col min="43" max="43" width="13.85546875" style="52" customWidth="1"/>
    <col min="44" max="44" width="18" customWidth="1"/>
    <col min="45" max="45" width="13.5703125" customWidth="1"/>
    <col min="46" max="46" width="25.7109375" bestFit="1" customWidth="1"/>
    <col min="47" max="47" width="19.28515625" customWidth="1"/>
    <col min="48" max="48" width="25.7109375" customWidth="1"/>
    <col min="49" max="49" width="20" customWidth="1"/>
    <col min="50" max="50" width="14" style="88" customWidth="1"/>
    <col min="51" max="51" width="21" style="88" customWidth="1"/>
    <col min="52" max="52" width="18.42578125" style="89" customWidth="1"/>
    <col min="53" max="53" width="23.85546875" style="89" customWidth="1"/>
    <col min="54" max="54" width="17.140625" style="88" customWidth="1"/>
    <col min="55" max="55" width="12.28515625" style="89" customWidth="1"/>
    <col min="56" max="57" width="11.28515625" style="89" customWidth="1"/>
    <col min="58" max="58" width="13.28515625" customWidth="1"/>
    <col min="59" max="59" width="17.42578125" customWidth="1"/>
    <col min="60" max="60" width="11.42578125" customWidth="1"/>
    <col min="63" max="63" width="11.140625" customWidth="1"/>
    <col min="64" max="64" width="12.140625" customWidth="1"/>
    <col min="65" max="65" width="13.85546875" customWidth="1"/>
    <col min="66" max="66" width="15" customWidth="1"/>
    <col min="67" max="67" width="14" customWidth="1"/>
    <col min="68" max="69" width="20.140625" customWidth="1"/>
    <col min="70" max="70" width="11.42578125" customWidth="1"/>
    <col min="71" max="72" width="12.7109375" customWidth="1"/>
    <col min="73" max="73" width="10" customWidth="1"/>
    <col min="74" max="74" width="15.85546875" style="90" customWidth="1"/>
    <col min="75" max="75" width="18.28515625" style="97" customWidth="1"/>
    <col min="76" max="76" width="12.7109375" customWidth="1"/>
    <col min="77" max="77" width="10.7109375" customWidth="1"/>
    <col min="78" max="78" width="9.5703125" customWidth="1"/>
    <col min="79" max="79" width="9.85546875" customWidth="1"/>
    <col min="80" max="80" width="36.140625" customWidth="1"/>
    <col min="81" max="81" width="11" customWidth="1"/>
  </cols>
  <sheetData>
    <row r="1" spans="1:80" s="125" customFormat="1" ht="75" x14ac:dyDescent="0.25">
      <c r="A1" s="105" t="s">
        <v>0</v>
      </c>
      <c r="B1" s="59" t="s">
        <v>1</v>
      </c>
      <c r="C1" s="59" t="s">
        <v>2</v>
      </c>
      <c r="D1" s="106" t="s">
        <v>3</v>
      </c>
      <c r="E1" s="59" t="s">
        <v>195</v>
      </c>
      <c r="F1" s="107" t="s">
        <v>4</v>
      </c>
      <c r="G1" s="107" t="s">
        <v>5</v>
      </c>
      <c r="H1" s="108" t="s">
        <v>6</v>
      </c>
      <c r="I1" s="58" t="s">
        <v>194</v>
      </c>
      <c r="J1" s="96" t="s">
        <v>193</v>
      </c>
      <c r="K1" s="96" t="s">
        <v>197</v>
      </c>
      <c r="L1" s="58" t="s">
        <v>7</v>
      </c>
      <c r="M1" s="58" t="s">
        <v>8</v>
      </c>
      <c r="N1" s="58" t="s">
        <v>9</v>
      </c>
      <c r="O1" s="58" t="s">
        <v>10</v>
      </c>
      <c r="P1" s="58" t="s">
        <v>11</v>
      </c>
      <c r="Q1" s="58" t="s">
        <v>12</v>
      </c>
      <c r="R1" s="58" t="s">
        <v>13</v>
      </c>
      <c r="S1" s="108" t="s">
        <v>14</v>
      </c>
      <c r="T1" s="58" t="s">
        <v>15</v>
      </c>
      <c r="U1" s="58" t="s">
        <v>16</v>
      </c>
      <c r="V1" s="58" t="s">
        <v>205</v>
      </c>
      <c r="W1" s="96" t="s">
        <v>206</v>
      </c>
      <c r="X1" s="59" t="s">
        <v>17</v>
      </c>
      <c r="Y1" s="58" t="s">
        <v>207</v>
      </c>
      <c r="Z1" s="58" t="s">
        <v>203</v>
      </c>
      <c r="AA1" s="58" t="s">
        <v>204</v>
      </c>
      <c r="AB1" s="58" t="s">
        <v>208</v>
      </c>
      <c r="AC1" s="58" t="s">
        <v>209</v>
      </c>
      <c r="AD1" s="58" t="s">
        <v>210</v>
      </c>
      <c r="AE1" s="58" t="s">
        <v>211</v>
      </c>
      <c r="AF1" s="58" t="s">
        <v>212</v>
      </c>
      <c r="AG1" s="58" t="s">
        <v>18</v>
      </c>
      <c r="AH1" s="58" t="s">
        <v>19</v>
      </c>
      <c r="AI1" s="58" t="s">
        <v>20</v>
      </c>
      <c r="AJ1" s="58" t="s">
        <v>21</v>
      </c>
      <c r="AK1" s="58" t="s">
        <v>22</v>
      </c>
      <c r="AL1" s="58" t="s">
        <v>23</v>
      </c>
      <c r="AM1" s="58" t="s">
        <v>213</v>
      </c>
      <c r="AN1" s="58" t="s">
        <v>214</v>
      </c>
      <c r="AO1" s="58" t="s">
        <v>217</v>
      </c>
      <c r="AP1" s="58" t="s">
        <v>215</v>
      </c>
      <c r="AQ1" s="58" t="s">
        <v>24</v>
      </c>
      <c r="AR1" s="58" t="s">
        <v>25</v>
      </c>
      <c r="AS1" s="96" t="s">
        <v>134</v>
      </c>
      <c r="AT1" s="109" t="s">
        <v>135</v>
      </c>
      <c r="AU1" s="109" t="s">
        <v>185</v>
      </c>
      <c r="AV1" s="109" t="s">
        <v>186</v>
      </c>
      <c r="AW1" s="58" t="s">
        <v>26</v>
      </c>
      <c r="AX1" s="110" t="s">
        <v>27</v>
      </c>
      <c r="AY1" s="123" t="s">
        <v>219</v>
      </c>
      <c r="AZ1" s="124" t="s">
        <v>187</v>
      </c>
      <c r="BA1" s="124" t="s">
        <v>136</v>
      </c>
      <c r="BB1" s="110" t="s">
        <v>28</v>
      </c>
      <c r="BC1" s="111" t="s">
        <v>29</v>
      </c>
      <c r="BD1" s="111" t="s">
        <v>30</v>
      </c>
      <c r="BE1" s="111" t="s">
        <v>223</v>
      </c>
      <c r="BF1" s="58" t="s">
        <v>31</v>
      </c>
      <c r="BG1" s="58" t="s">
        <v>32</v>
      </c>
      <c r="BH1" s="58" t="s">
        <v>33</v>
      </c>
      <c r="BI1" s="58" t="s">
        <v>199</v>
      </c>
      <c r="BJ1" s="58" t="s">
        <v>34</v>
      </c>
      <c r="BK1" s="58" t="s">
        <v>35</v>
      </c>
      <c r="BL1" s="58" t="s">
        <v>36</v>
      </c>
      <c r="BM1" s="58" t="s">
        <v>137</v>
      </c>
      <c r="BN1" s="58" t="s">
        <v>37</v>
      </c>
      <c r="BO1" s="96" t="s">
        <v>138</v>
      </c>
      <c r="BP1" s="96" t="s">
        <v>201</v>
      </c>
      <c r="BQ1" s="126" t="s">
        <v>202</v>
      </c>
      <c r="BR1" s="58" t="s">
        <v>39</v>
      </c>
      <c r="BS1" s="58" t="s">
        <v>40</v>
      </c>
      <c r="BT1" s="96" t="s">
        <v>41</v>
      </c>
      <c r="BU1" s="58" t="s">
        <v>222</v>
      </c>
      <c r="BV1" s="112" t="s">
        <v>42</v>
      </c>
      <c r="BW1" s="113" t="s">
        <v>191</v>
      </c>
      <c r="BX1" s="59" t="s">
        <v>221</v>
      </c>
      <c r="BY1" s="59" t="s">
        <v>220</v>
      </c>
      <c r="BZ1" s="59" t="s">
        <v>43</v>
      </c>
      <c r="CA1" s="59" t="s">
        <v>44</v>
      </c>
      <c r="CB1" s="59" t="s">
        <v>45</v>
      </c>
    </row>
    <row r="2" spans="1:80" ht="18.75" x14ac:dyDescent="0.3">
      <c r="A2" s="1">
        <v>1</v>
      </c>
      <c r="B2" s="60">
        <v>72</v>
      </c>
      <c r="C2" s="13" t="s">
        <v>46</v>
      </c>
      <c r="D2" s="50" t="s">
        <v>47</v>
      </c>
      <c r="E2" s="13" t="s">
        <v>83</v>
      </c>
      <c r="F2" s="5">
        <f>'[1]Maya Saddle PE'!G2*2.54</f>
        <v>175.26</v>
      </c>
      <c r="G2" s="5">
        <v>83.5</v>
      </c>
      <c r="H2" s="5">
        <f t="shared" ref="H2:H18" si="0">G2/((F2/100)^2)</f>
        <v>27.1844694077962</v>
      </c>
      <c r="I2" s="13">
        <v>0</v>
      </c>
      <c r="J2" s="13">
        <v>2</v>
      </c>
      <c r="K2" s="13">
        <v>1</v>
      </c>
      <c r="L2" s="13">
        <v>0</v>
      </c>
      <c r="M2" s="13">
        <v>72</v>
      </c>
      <c r="N2" s="13">
        <v>0</v>
      </c>
      <c r="O2" s="13">
        <v>151</v>
      </c>
      <c r="P2" s="13">
        <v>0</v>
      </c>
      <c r="Q2" s="13">
        <v>18</v>
      </c>
      <c r="R2" s="13">
        <v>0</v>
      </c>
      <c r="S2" s="5">
        <v>98.5</v>
      </c>
      <c r="T2" s="13">
        <v>0</v>
      </c>
      <c r="U2" s="13">
        <v>99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1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1</v>
      </c>
      <c r="AP2" s="13">
        <v>1</v>
      </c>
      <c r="AQ2" s="13">
        <v>0</v>
      </c>
      <c r="AR2" s="13">
        <v>0</v>
      </c>
      <c r="AS2" s="13" t="s">
        <v>48</v>
      </c>
      <c r="AT2" s="13" t="s">
        <v>48</v>
      </c>
      <c r="AU2" s="13" t="s">
        <v>48</v>
      </c>
      <c r="AV2" s="13" t="s">
        <v>48</v>
      </c>
      <c r="AW2" s="13" t="s">
        <v>48</v>
      </c>
      <c r="AX2" s="51">
        <f>6.3/4.66</f>
        <v>1.351931330472103</v>
      </c>
      <c r="AY2" s="31">
        <v>0</v>
      </c>
      <c r="AZ2" s="31">
        <v>0</v>
      </c>
      <c r="BA2" s="31">
        <v>1</v>
      </c>
      <c r="BB2" s="51">
        <f>3.14/3.27</f>
        <v>0.96024464831804279</v>
      </c>
      <c r="BC2" s="31">
        <v>4</v>
      </c>
      <c r="BD2" s="31">
        <v>1</v>
      </c>
      <c r="BE2" s="31"/>
      <c r="BF2" s="13">
        <v>1</v>
      </c>
      <c r="BG2" s="13" t="s">
        <v>94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 t="s">
        <v>48</v>
      </c>
      <c r="BQ2" s="13" t="s">
        <v>48</v>
      </c>
      <c r="BR2" s="13">
        <v>0</v>
      </c>
      <c r="BS2" s="13" t="s">
        <v>48</v>
      </c>
      <c r="BT2" s="13">
        <v>0</v>
      </c>
      <c r="BU2" s="13">
        <v>0</v>
      </c>
      <c r="BV2" s="61" t="s">
        <v>50</v>
      </c>
      <c r="BW2" s="99">
        <v>0</v>
      </c>
      <c r="BX2" s="13">
        <v>0</v>
      </c>
      <c r="BY2" s="13">
        <v>1</v>
      </c>
      <c r="BZ2" s="13">
        <v>0</v>
      </c>
      <c r="CA2" s="13">
        <v>0</v>
      </c>
      <c r="CB2" s="34" t="s">
        <v>84</v>
      </c>
    </row>
    <row r="3" spans="1:80" ht="18.75" x14ac:dyDescent="0.3">
      <c r="A3" s="1">
        <v>2</v>
      </c>
      <c r="B3" s="60">
        <v>74</v>
      </c>
      <c r="C3" s="13" t="s">
        <v>52</v>
      </c>
      <c r="D3" s="50" t="s">
        <v>47</v>
      </c>
      <c r="E3" s="13" t="s">
        <v>83</v>
      </c>
      <c r="F3" s="5">
        <f>'[2]Removed Saddle Values'!G3*2.54</f>
        <v>170.18</v>
      </c>
      <c r="G3" s="5">
        <v>76.3</v>
      </c>
      <c r="H3" s="5">
        <f t="shared" si="0"/>
        <v>26.34556394084942</v>
      </c>
      <c r="I3" s="13">
        <v>1</v>
      </c>
      <c r="J3" s="13">
        <v>3</v>
      </c>
      <c r="K3" s="13">
        <v>2</v>
      </c>
      <c r="L3" s="13">
        <v>1</v>
      </c>
      <c r="M3" s="13">
        <v>102</v>
      </c>
      <c r="N3" s="13">
        <v>0</v>
      </c>
      <c r="O3" s="13">
        <v>127</v>
      </c>
      <c r="P3" s="13">
        <v>0</v>
      </c>
      <c r="Q3" s="13">
        <v>23</v>
      </c>
      <c r="R3" s="13">
        <v>0</v>
      </c>
      <c r="S3" s="5">
        <v>97.3</v>
      </c>
      <c r="T3" s="13">
        <v>0</v>
      </c>
      <c r="U3" s="13">
        <v>94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1</v>
      </c>
      <c r="AH3" s="13">
        <v>0</v>
      </c>
      <c r="AI3" s="13">
        <v>1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1</v>
      </c>
      <c r="AP3" s="13">
        <v>1</v>
      </c>
      <c r="AQ3" s="13" t="s">
        <v>48</v>
      </c>
      <c r="AR3" s="13">
        <v>1</v>
      </c>
      <c r="AS3" s="13">
        <v>1</v>
      </c>
      <c r="AT3" s="13">
        <v>1</v>
      </c>
      <c r="AU3" s="13">
        <v>1</v>
      </c>
      <c r="AV3" s="13">
        <v>0</v>
      </c>
      <c r="AW3" s="13">
        <v>28.6</v>
      </c>
      <c r="AX3" s="51">
        <f>5.75/2.86</f>
        <v>2.0104895104895104</v>
      </c>
      <c r="AY3" s="31">
        <v>0</v>
      </c>
      <c r="AZ3" s="31">
        <v>0</v>
      </c>
      <c r="BA3" s="31">
        <v>1</v>
      </c>
      <c r="BB3" s="51">
        <f>3.37/3.43</f>
        <v>0.98250728862973757</v>
      </c>
      <c r="BC3" s="31">
        <v>2</v>
      </c>
      <c r="BD3" s="31">
        <v>1</v>
      </c>
      <c r="BE3" s="31"/>
      <c r="BF3" s="13">
        <v>0</v>
      </c>
      <c r="BG3" s="13" t="s">
        <v>48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 t="s">
        <v>48</v>
      </c>
      <c r="BQ3" s="13" t="s">
        <v>48</v>
      </c>
      <c r="BR3" s="13">
        <v>0</v>
      </c>
      <c r="BS3" s="13" t="s">
        <v>48</v>
      </c>
      <c r="BT3" s="13">
        <v>0</v>
      </c>
      <c r="BU3" s="13">
        <v>0</v>
      </c>
      <c r="BV3" s="61" t="s">
        <v>50</v>
      </c>
      <c r="BW3" s="99">
        <v>0</v>
      </c>
      <c r="BX3" s="13">
        <v>0</v>
      </c>
      <c r="BY3" s="13">
        <v>0</v>
      </c>
      <c r="BZ3" s="13">
        <v>0</v>
      </c>
      <c r="CA3" s="13">
        <v>0</v>
      </c>
      <c r="CB3" s="12" t="s">
        <v>56</v>
      </c>
    </row>
    <row r="4" spans="1:80" ht="18.75" x14ac:dyDescent="0.3">
      <c r="A4" s="1">
        <v>3</v>
      </c>
      <c r="B4" s="60">
        <v>57</v>
      </c>
      <c r="C4" s="13" t="s">
        <v>52</v>
      </c>
      <c r="D4" s="50" t="s">
        <v>53</v>
      </c>
      <c r="E4" s="13" t="s">
        <v>83</v>
      </c>
      <c r="F4" s="5">
        <f>'[2]Removed Saddle Values'!G4*2.54</f>
        <v>152.4</v>
      </c>
      <c r="G4" s="5">
        <v>97.1</v>
      </c>
      <c r="H4" s="5">
        <f t="shared" si="0"/>
        <v>41.807028058500556</v>
      </c>
      <c r="I4" s="13">
        <v>1</v>
      </c>
      <c r="J4" s="13">
        <v>2</v>
      </c>
      <c r="K4" s="13">
        <v>1</v>
      </c>
      <c r="L4" s="13">
        <v>1</v>
      </c>
      <c r="M4" s="13">
        <v>109</v>
      </c>
      <c r="N4" s="13">
        <v>0</v>
      </c>
      <c r="O4" s="13">
        <v>118</v>
      </c>
      <c r="P4" s="13">
        <v>0</v>
      </c>
      <c r="Q4" s="13">
        <v>18</v>
      </c>
      <c r="R4" s="13">
        <v>0</v>
      </c>
      <c r="S4" s="5">
        <v>99.4</v>
      </c>
      <c r="T4" s="13">
        <v>0</v>
      </c>
      <c r="U4" s="13">
        <v>96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3</v>
      </c>
      <c r="AP4" s="13" t="s">
        <v>48</v>
      </c>
      <c r="AQ4" s="13">
        <v>0</v>
      </c>
      <c r="AR4" s="13">
        <v>0</v>
      </c>
      <c r="AS4" s="13" t="s">
        <v>48</v>
      </c>
      <c r="AT4" s="13" t="s">
        <v>48</v>
      </c>
      <c r="AU4" s="13" t="s">
        <v>48</v>
      </c>
      <c r="AV4" s="13" t="s">
        <v>48</v>
      </c>
      <c r="AW4" s="13" t="s">
        <v>48</v>
      </c>
      <c r="AX4" s="51">
        <f>4.84/3.91</f>
        <v>1.2378516624040921</v>
      </c>
      <c r="AY4" s="31">
        <v>0</v>
      </c>
      <c r="AZ4" s="31">
        <v>0</v>
      </c>
      <c r="BA4" s="31">
        <v>1</v>
      </c>
      <c r="BB4" s="51">
        <f>2.38/3.18</f>
        <v>0.74842767295597479</v>
      </c>
      <c r="BC4" s="31">
        <v>1</v>
      </c>
      <c r="BD4" s="31">
        <v>1</v>
      </c>
      <c r="BE4" s="31"/>
      <c r="BF4" s="13">
        <v>0</v>
      </c>
      <c r="BG4" s="13" t="s">
        <v>48</v>
      </c>
      <c r="BH4" s="13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3">
        <v>1</v>
      </c>
      <c r="BR4" s="13">
        <v>0</v>
      </c>
      <c r="BS4" s="13" t="s">
        <v>48</v>
      </c>
      <c r="BT4" s="13">
        <v>0</v>
      </c>
      <c r="BU4" s="13">
        <v>0</v>
      </c>
      <c r="BV4" s="61" t="s">
        <v>50</v>
      </c>
      <c r="BW4" s="99">
        <v>0</v>
      </c>
      <c r="BX4" s="13">
        <v>0</v>
      </c>
      <c r="BY4" s="13">
        <v>0</v>
      </c>
      <c r="BZ4" s="13">
        <v>0</v>
      </c>
      <c r="CA4" s="13">
        <v>0</v>
      </c>
      <c r="CB4" s="12" t="s">
        <v>84</v>
      </c>
    </row>
    <row r="5" spans="1:80" ht="18.75" x14ac:dyDescent="0.3">
      <c r="A5" s="1">
        <v>4</v>
      </c>
      <c r="B5" s="60">
        <v>64</v>
      </c>
      <c r="C5" s="13" t="s">
        <v>46</v>
      </c>
      <c r="D5" s="50" t="s">
        <v>47</v>
      </c>
      <c r="E5" s="13" t="s">
        <v>83</v>
      </c>
      <c r="F5" s="5">
        <f>'[2]Removed Saddle Values'!G5*2.54</f>
        <v>175.26</v>
      </c>
      <c r="G5" s="5">
        <v>72.2</v>
      </c>
      <c r="H5" s="5">
        <f t="shared" si="0"/>
        <v>23.505613068777073</v>
      </c>
      <c r="I5" s="13">
        <v>0</v>
      </c>
      <c r="J5" s="13">
        <v>2</v>
      </c>
      <c r="K5" s="13">
        <v>2</v>
      </c>
      <c r="L5" s="13">
        <v>0</v>
      </c>
      <c r="M5" s="13">
        <v>92</v>
      </c>
      <c r="N5" s="13">
        <v>0</v>
      </c>
      <c r="O5" s="13">
        <v>170</v>
      </c>
      <c r="P5" s="13">
        <v>0</v>
      </c>
      <c r="Q5" s="13">
        <v>16</v>
      </c>
      <c r="R5" s="13">
        <v>0</v>
      </c>
      <c r="S5" s="5">
        <v>97.5</v>
      </c>
      <c r="T5" s="13">
        <v>0</v>
      </c>
      <c r="U5" s="13">
        <v>100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1</v>
      </c>
      <c r="AP5" s="13">
        <v>1</v>
      </c>
      <c r="AQ5" s="13">
        <v>1</v>
      </c>
      <c r="AR5" s="13">
        <v>1</v>
      </c>
      <c r="AS5" s="13">
        <v>1</v>
      </c>
      <c r="AT5" s="13">
        <v>0</v>
      </c>
      <c r="AU5" s="13">
        <v>0</v>
      </c>
      <c r="AV5" s="13">
        <v>0</v>
      </c>
      <c r="AW5" s="13">
        <v>49.6</v>
      </c>
      <c r="AX5" s="51">
        <f>5.83/3.45</f>
        <v>1.689855072463768</v>
      </c>
      <c r="AY5" s="31">
        <v>0</v>
      </c>
      <c r="AZ5" s="31">
        <v>0</v>
      </c>
      <c r="BA5" s="31">
        <v>1</v>
      </c>
      <c r="BB5" s="51">
        <f>2.92/3.21</f>
        <v>0.90965732087227413</v>
      </c>
      <c r="BC5" s="31">
        <v>4</v>
      </c>
      <c r="BD5" s="31">
        <v>0</v>
      </c>
      <c r="BE5" s="31"/>
      <c r="BF5" s="13">
        <v>0</v>
      </c>
      <c r="BG5" s="13" t="s">
        <v>48</v>
      </c>
      <c r="BH5" s="13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0</v>
      </c>
      <c r="BQ5" s="13">
        <v>1</v>
      </c>
      <c r="BR5" s="13">
        <v>0</v>
      </c>
      <c r="BS5" s="13" t="s">
        <v>48</v>
      </c>
      <c r="BT5" s="13">
        <v>0</v>
      </c>
      <c r="BU5" s="13">
        <v>0</v>
      </c>
      <c r="BV5" s="61" t="s">
        <v>50</v>
      </c>
      <c r="BW5" s="99">
        <v>0</v>
      </c>
      <c r="BX5" s="13">
        <v>0</v>
      </c>
      <c r="BY5" s="13">
        <v>0</v>
      </c>
      <c r="BZ5" s="13">
        <v>0</v>
      </c>
      <c r="CA5" s="13">
        <v>0</v>
      </c>
      <c r="CB5" s="34" t="s">
        <v>139</v>
      </c>
    </row>
    <row r="6" spans="1:80" ht="18.75" x14ac:dyDescent="0.3">
      <c r="A6" s="1">
        <v>5</v>
      </c>
      <c r="B6" s="62">
        <v>68</v>
      </c>
      <c r="C6" s="1" t="s">
        <v>46</v>
      </c>
      <c r="D6" s="63" t="s">
        <v>53</v>
      </c>
      <c r="E6" s="1" t="s">
        <v>76</v>
      </c>
      <c r="F6" s="5">
        <f>'[2]Removed Saddle Values'!G6*2.54</f>
        <v>152.4</v>
      </c>
      <c r="G6" s="30">
        <v>80.3</v>
      </c>
      <c r="H6" s="30">
        <f t="shared" si="0"/>
        <v>34.573680258471626</v>
      </c>
      <c r="I6" s="1">
        <v>1</v>
      </c>
      <c r="J6" s="1">
        <v>5</v>
      </c>
      <c r="K6" s="1">
        <v>2</v>
      </c>
      <c r="L6" s="1">
        <v>1</v>
      </c>
      <c r="M6" s="1">
        <v>130</v>
      </c>
      <c r="N6" s="1">
        <v>1</v>
      </c>
      <c r="O6" s="1">
        <v>93</v>
      </c>
      <c r="P6" s="1">
        <v>0</v>
      </c>
      <c r="Q6" s="1">
        <v>28</v>
      </c>
      <c r="R6" s="1">
        <v>0</v>
      </c>
      <c r="S6" s="30">
        <v>98.7</v>
      </c>
      <c r="T6" s="1">
        <v>1</v>
      </c>
      <c r="U6" s="1">
        <v>75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0</v>
      </c>
      <c r="AM6" s="1">
        <v>0</v>
      </c>
      <c r="AN6" s="1">
        <v>1</v>
      </c>
      <c r="AO6" s="1">
        <v>1</v>
      </c>
      <c r="AP6" s="1">
        <v>1</v>
      </c>
      <c r="AQ6" s="1" t="s">
        <v>48</v>
      </c>
      <c r="AR6" s="1">
        <v>0</v>
      </c>
      <c r="AS6" s="1">
        <v>1</v>
      </c>
      <c r="AT6" s="1">
        <v>1</v>
      </c>
      <c r="AU6" s="1">
        <v>1</v>
      </c>
      <c r="AV6" s="13">
        <v>0</v>
      </c>
      <c r="AW6" s="1">
        <v>41</v>
      </c>
      <c r="AX6" s="51">
        <f>5.05/4.81</f>
        <v>1.0498960498960499</v>
      </c>
      <c r="AY6" s="31">
        <v>0</v>
      </c>
      <c r="AZ6" s="31">
        <v>0</v>
      </c>
      <c r="BA6" s="31">
        <v>1</v>
      </c>
      <c r="BB6" s="51">
        <f>2.96/3.39</f>
        <v>0.87315634218289084</v>
      </c>
      <c r="BC6" s="31">
        <v>2</v>
      </c>
      <c r="BD6" s="31">
        <v>0</v>
      </c>
      <c r="BE6" s="31"/>
      <c r="BF6" s="1">
        <v>0</v>
      </c>
      <c r="BG6" s="1" t="s">
        <v>48</v>
      </c>
      <c r="BH6" s="1">
        <v>1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 t="s">
        <v>48</v>
      </c>
      <c r="BQ6" s="1" t="s">
        <v>48</v>
      </c>
      <c r="BR6" s="1">
        <v>0</v>
      </c>
      <c r="BS6" s="1" t="s">
        <v>48</v>
      </c>
      <c r="BT6" s="1">
        <v>0</v>
      </c>
      <c r="BU6" s="1" t="s">
        <v>117</v>
      </c>
      <c r="BV6" s="64" t="s">
        <v>50</v>
      </c>
      <c r="BW6" s="102">
        <v>0</v>
      </c>
      <c r="BX6" s="1">
        <v>1</v>
      </c>
      <c r="BY6" s="1">
        <v>1</v>
      </c>
      <c r="BZ6" s="1">
        <v>0</v>
      </c>
      <c r="CA6" s="1">
        <v>0</v>
      </c>
      <c r="CB6" s="32" t="s">
        <v>55</v>
      </c>
    </row>
    <row r="7" spans="1:80" s="65" customFormat="1" ht="18.75" x14ac:dyDescent="0.3">
      <c r="A7" s="1">
        <v>6</v>
      </c>
      <c r="B7" s="60">
        <v>36</v>
      </c>
      <c r="C7" s="13" t="s">
        <v>46</v>
      </c>
      <c r="D7" s="50" t="s">
        <v>53</v>
      </c>
      <c r="E7" s="13" t="s">
        <v>77</v>
      </c>
      <c r="F7" s="5">
        <f>'[2]Removed Saddle Values'!G7*2.54</f>
        <v>185.42000000000002</v>
      </c>
      <c r="G7" s="5">
        <v>140.69999999999999</v>
      </c>
      <c r="H7" s="5">
        <f t="shared" si="0"/>
        <v>40.924270251617997</v>
      </c>
      <c r="I7" s="13">
        <v>0</v>
      </c>
      <c r="J7" s="13">
        <v>1</v>
      </c>
      <c r="K7" s="13">
        <v>1</v>
      </c>
      <c r="L7" s="13">
        <v>0</v>
      </c>
      <c r="M7" s="13">
        <v>72</v>
      </c>
      <c r="N7" s="13">
        <v>0</v>
      </c>
      <c r="O7" s="13">
        <v>132</v>
      </c>
      <c r="P7" s="13">
        <v>0</v>
      </c>
      <c r="Q7" s="13">
        <v>20</v>
      </c>
      <c r="R7" s="13">
        <v>0</v>
      </c>
      <c r="S7" s="5">
        <v>98</v>
      </c>
      <c r="T7" s="13">
        <v>0</v>
      </c>
      <c r="U7" s="31">
        <v>97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1</v>
      </c>
      <c r="AE7" s="13">
        <v>0</v>
      </c>
      <c r="AF7" s="13">
        <v>0</v>
      </c>
      <c r="AG7" s="13">
        <v>1</v>
      </c>
      <c r="AH7" s="13">
        <v>1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1</v>
      </c>
      <c r="AP7" s="13">
        <v>1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21.5</v>
      </c>
      <c r="AX7" s="51">
        <f>4.65/3.96</f>
        <v>1.1742424242424243</v>
      </c>
      <c r="AY7" s="31">
        <v>0</v>
      </c>
      <c r="AZ7" s="31">
        <v>0</v>
      </c>
      <c r="BA7" s="31">
        <v>1</v>
      </c>
      <c r="BB7" s="51">
        <f>2.93/3.01</f>
        <v>0.97342192691029916</v>
      </c>
      <c r="BC7" s="31">
        <v>1</v>
      </c>
      <c r="BD7" s="31">
        <v>0</v>
      </c>
      <c r="BE7" s="31"/>
      <c r="BF7" s="13">
        <v>0</v>
      </c>
      <c r="BG7" s="13" t="s">
        <v>48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 t="s">
        <v>48</v>
      </c>
      <c r="BQ7" s="13" t="s">
        <v>48</v>
      </c>
      <c r="BR7" s="13">
        <v>0</v>
      </c>
      <c r="BS7" s="13" t="s">
        <v>48</v>
      </c>
      <c r="BT7" s="13">
        <v>0</v>
      </c>
      <c r="BU7" s="13">
        <v>0</v>
      </c>
      <c r="BV7" s="61" t="s">
        <v>50</v>
      </c>
      <c r="BW7" s="99">
        <v>0</v>
      </c>
      <c r="BX7" s="13">
        <v>0</v>
      </c>
      <c r="BY7" s="13">
        <v>0</v>
      </c>
      <c r="BZ7" s="13">
        <v>0</v>
      </c>
      <c r="CA7" s="13">
        <v>0</v>
      </c>
      <c r="CB7" s="34" t="s">
        <v>84</v>
      </c>
    </row>
    <row r="8" spans="1:80" s="65" customFormat="1" ht="18.75" x14ac:dyDescent="0.3">
      <c r="A8" s="1">
        <v>7</v>
      </c>
      <c r="B8" s="60">
        <v>37</v>
      </c>
      <c r="C8" s="13" t="s">
        <v>46</v>
      </c>
      <c r="D8" s="50" t="s">
        <v>47</v>
      </c>
      <c r="E8" s="13" t="s">
        <v>77</v>
      </c>
      <c r="F8" s="5">
        <f>'[2]Removed Saddle Values'!G8*2.54</f>
        <v>205.74</v>
      </c>
      <c r="G8" s="5">
        <v>98.8</v>
      </c>
      <c r="H8" s="5">
        <f t="shared" si="0"/>
        <v>23.341000804848736</v>
      </c>
      <c r="I8" s="13">
        <v>0</v>
      </c>
      <c r="J8" s="13">
        <v>1</v>
      </c>
      <c r="K8" s="13">
        <v>2</v>
      </c>
      <c r="L8" s="13">
        <v>0</v>
      </c>
      <c r="M8" s="13">
        <v>94</v>
      </c>
      <c r="N8" s="13">
        <v>0</v>
      </c>
      <c r="O8" s="13">
        <v>154</v>
      </c>
      <c r="P8" s="13">
        <v>0</v>
      </c>
      <c r="Q8" s="13">
        <v>24</v>
      </c>
      <c r="R8" s="13">
        <v>0</v>
      </c>
      <c r="S8" s="5">
        <v>97.2</v>
      </c>
      <c r="T8" s="13">
        <v>0</v>
      </c>
      <c r="U8" s="66">
        <v>92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1</v>
      </c>
      <c r="AP8" s="13">
        <v>1</v>
      </c>
      <c r="AQ8" s="13">
        <v>1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26</v>
      </c>
      <c r="AX8" s="51">
        <f>4.7/4.5</f>
        <v>1.0444444444444445</v>
      </c>
      <c r="AY8" s="31">
        <v>0</v>
      </c>
      <c r="AZ8" s="31">
        <v>0</v>
      </c>
      <c r="BA8" s="31">
        <v>1</v>
      </c>
      <c r="BB8" s="51">
        <f>3.88/2.52</f>
        <v>1.5396825396825395</v>
      </c>
      <c r="BC8" s="31">
        <v>3</v>
      </c>
      <c r="BD8" s="31">
        <v>1</v>
      </c>
      <c r="BE8" s="31"/>
      <c r="BF8" s="13">
        <v>0</v>
      </c>
      <c r="BG8" s="13" t="s">
        <v>48</v>
      </c>
      <c r="BH8" s="13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1</v>
      </c>
      <c r="BO8" s="13">
        <v>0</v>
      </c>
      <c r="BP8" s="13">
        <v>1</v>
      </c>
      <c r="BQ8" s="13">
        <v>1</v>
      </c>
      <c r="BR8" s="13">
        <v>0</v>
      </c>
      <c r="BS8" s="13" t="s">
        <v>48</v>
      </c>
      <c r="BT8" s="13">
        <v>0</v>
      </c>
      <c r="BU8" s="13">
        <v>0</v>
      </c>
      <c r="BV8" s="61" t="s">
        <v>57</v>
      </c>
      <c r="BW8" s="99" t="s">
        <v>57</v>
      </c>
      <c r="BX8" s="13">
        <v>0</v>
      </c>
      <c r="BY8" s="13">
        <v>0</v>
      </c>
      <c r="BZ8" s="13">
        <v>0</v>
      </c>
      <c r="CA8" s="13">
        <v>0</v>
      </c>
      <c r="CB8" s="34" t="s">
        <v>62</v>
      </c>
    </row>
    <row r="9" spans="1:80" s="65" customFormat="1" ht="18.75" x14ac:dyDescent="0.3">
      <c r="A9" s="1">
        <v>8</v>
      </c>
      <c r="B9" s="60">
        <v>49</v>
      </c>
      <c r="C9" s="13" t="s">
        <v>46</v>
      </c>
      <c r="D9" s="50" t="s">
        <v>53</v>
      </c>
      <c r="E9" s="13" t="s">
        <v>85</v>
      </c>
      <c r="F9" s="5">
        <f>'[2]Removed Saddle Values'!G9*2.54</f>
        <v>190.5</v>
      </c>
      <c r="G9" s="5">
        <v>102.9</v>
      </c>
      <c r="H9" s="5">
        <f t="shared" si="0"/>
        <v>28.354723376113419</v>
      </c>
      <c r="I9" s="13">
        <v>1</v>
      </c>
      <c r="J9" s="13">
        <v>5</v>
      </c>
      <c r="K9" s="13">
        <v>3</v>
      </c>
      <c r="L9" s="13">
        <v>0</v>
      </c>
      <c r="M9" s="13">
        <v>84</v>
      </c>
      <c r="N9" s="13" t="s">
        <v>48</v>
      </c>
      <c r="O9" s="13" t="s">
        <v>48</v>
      </c>
      <c r="P9" s="13">
        <v>0</v>
      </c>
      <c r="Q9" s="13">
        <v>20</v>
      </c>
      <c r="R9" s="13" t="s">
        <v>48</v>
      </c>
      <c r="S9" s="5" t="s">
        <v>48</v>
      </c>
      <c r="T9" s="13">
        <v>1</v>
      </c>
      <c r="U9" s="13" t="s">
        <v>48</v>
      </c>
      <c r="V9" s="13">
        <v>1</v>
      </c>
      <c r="W9" s="13">
        <v>0</v>
      </c>
      <c r="X9" s="13">
        <v>1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 t="s">
        <v>48</v>
      </c>
      <c r="AM9" s="13">
        <v>0</v>
      </c>
      <c r="AN9" s="13">
        <v>1</v>
      </c>
      <c r="AO9" s="13">
        <v>1</v>
      </c>
      <c r="AP9" s="13">
        <v>0</v>
      </c>
      <c r="AQ9" s="13" t="s">
        <v>48</v>
      </c>
      <c r="AR9" s="13">
        <v>0</v>
      </c>
      <c r="AS9" s="13">
        <v>1</v>
      </c>
      <c r="AT9" s="13">
        <v>1</v>
      </c>
      <c r="AU9" s="13">
        <v>1</v>
      </c>
      <c r="AV9" s="13">
        <v>0</v>
      </c>
      <c r="AW9" s="13" t="s">
        <v>192</v>
      </c>
      <c r="AX9" s="51">
        <f>5.46/4.27</f>
        <v>1.278688524590164</v>
      </c>
      <c r="AY9" s="31">
        <v>0</v>
      </c>
      <c r="AZ9" s="31">
        <v>0</v>
      </c>
      <c r="BA9" s="31">
        <v>1</v>
      </c>
      <c r="BB9" s="51">
        <f>3.05/3.42</f>
        <v>0.89181286549707595</v>
      </c>
      <c r="BC9" s="31">
        <v>4</v>
      </c>
      <c r="BD9" s="31">
        <v>0</v>
      </c>
      <c r="BE9" s="31"/>
      <c r="BF9" s="13">
        <v>1</v>
      </c>
      <c r="BG9" s="13" t="s">
        <v>140</v>
      </c>
      <c r="BH9" s="13">
        <v>1</v>
      </c>
      <c r="BI9" s="13">
        <v>0</v>
      </c>
      <c r="BJ9" s="13">
        <v>1</v>
      </c>
      <c r="BK9" s="13">
        <v>1</v>
      </c>
      <c r="BL9" s="13">
        <v>0</v>
      </c>
      <c r="BM9" s="13">
        <v>1</v>
      </c>
      <c r="BN9" s="13">
        <v>0</v>
      </c>
      <c r="BO9" s="13">
        <v>1</v>
      </c>
      <c r="BP9" s="13">
        <v>1</v>
      </c>
      <c r="BQ9" s="13">
        <v>1</v>
      </c>
      <c r="BR9" s="13">
        <v>0</v>
      </c>
      <c r="BS9" s="13" t="s">
        <v>48</v>
      </c>
      <c r="BT9" s="13">
        <v>0</v>
      </c>
      <c r="BU9" s="13">
        <v>0</v>
      </c>
      <c r="BV9" s="61" t="s">
        <v>50</v>
      </c>
      <c r="BW9" s="99">
        <v>0</v>
      </c>
      <c r="BX9" s="13">
        <v>0</v>
      </c>
      <c r="BY9" s="13">
        <v>0</v>
      </c>
      <c r="BZ9" s="13">
        <v>0</v>
      </c>
      <c r="CA9" s="13">
        <v>0</v>
      </c>
      <c r="CB9" s="34" t="s">
        <v>139</v>
      </c>
    </row>
    <row r="10" spans="1:80" s="65" customFormat="1" ht="18.75" x14ac:dyDescent="0.3">
      <c r="A10" s="1">
        <v>9</v>
      </c>
      <c r="B10" s="60">
        <v>76</v>
      </c>
      <c r="C10" s="13" t="s">
        <v>46</v>
      </c>
      <c r="D10" s="50" t="s">
        <v>47</v>
      </c>
      <c r="E10" s="13" t="s">
        <v>109</v>
      </c>
      <c r="F10" s="5">
        <f>'[2]Removed Saddle Values'!G10*2.54</f>
        <v>180.34</v>
      </c>
      <c r="G10" s="5">
        <v>85.1</v>
      </c>
      <c r="H10" s="5">
        <f t="shared" si="0"/>
        <v>26.166487564080064</v>
      </c>
      <c r="I10" s="13">
        <v>1</v>
      </c>
      <c r="J10" s="13">
        <v>3</v>
      </c>
      <c r="K10" s="13">
        <v>2</v>
      </c>
      <c r="L10" s="13">
        <v>0</v>
      </c>
      <c r="M10" s="13">
        <v>105</v>
      </c>
      <c r="N10" s="13">
        <v>0</v>
      </c>
      <c r="O10" s="13">
        <v>115</v>
      </c>
      <c r="P10" s="13">
        <v>0</v>
      </c>
      <c r="Q10" s="13">
        <v>17</v>
      </c>
      <c r="R10" s="13">
        <v>0</v>
      </c>
      <c r="S10" s="5">
        <v>98.1</v>
      </c>
      <c r="T10" s="13">
        <v>0</v>
      </c>
      <c r="U10" s="66">
        <v>99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1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1</v>
      </c>
      <c r="AP10" s="13">
        <v>1</v>
      </c>
      <c r="AQ10" s="13">
        <v>1</v>
      </c>
      <c r="AR10" s="13">
        <v>0</v>
      </c>
      <c r="AS10" s="13">
        <v>1</v>
      </c>
      <c r="AT10" s="13">
        <v>0</v>
      </c>
      <c r="AU10" s="13">
        <v>0</v>
      </c>
      <c r="AV10" s="13">
        <v>0</v>
      </c>
      <c r="AW10" s="13" t="s">
        <v>192</v>
      </c>
      <c r="AX10" s="51">
        <f>6.09/5.01</f>
        <v>1.215568862275449</v>
      </c>
      <c r="AY10" s="31">
        <v>0</v>
      </c>
      <c r="AZ10" s="31">
        <v>0</v>
      </c>
      <c r="BA10" s="31">
        <v>1</v>
      </c>
      <c r="BB10" s="51">
        <f>3.2/3.61</f>
        <v>0.88642659279778402</v>
      </c>
      <c r="BC10" s="31">
        <v>3</v>
      </c>
      <c r="BD10" s="31">
        <v>1</v>
      </c>
      <c r="BE10" s="31"/>
      <c r="BF10" s="13">
        <v>0</v>
      </c>
      <c r="BG10" s="13" t="s">
        <v>48</v>
      </c>
      <c r="BH10" s="13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3">
        <v>1</v>
      </c>
      <c r="BR10" s="13">
        <v>0</v>
      </c>
      <c r="BS10" s="13" t="s">
        <v>48</v>
      </c>
      <c r="BT10" s="13">
        <v>0</v>
      </c>
      <c r="BU10" s="13">
        <v>0</v>
      </c>
      <c r="BV10" s="61" t="s">
        <v>50</v>
      </c>
      <c r="BW10" s="99">
        <v>0</v>
      </c>
      <c r="BX10" s="13">
        <v>0</v>
      </c>
      <c r="BY10" s="13">
        <v>0</v>
      </c>
      <c r="BZ10" s="13">
        <v>0</v>
      </c>
      <c r="CA10" s="13">
        <v>0</v>
      </c>
      <c r="CB10" s="34" t="s">
        <v>62</v>
      </c>
    </row>
    <row r="11" spans="1:80" s="65" customFormat="1" ht="18.75" x14ac:dyDescent="0.3">
      <c r="A11" s="1">
        <v>10</v>
      </c>
      <c r="B11" s="60">
        <v>69</v>
      </c>
      <c r="C11" s="13" t="s">
        <v>46</v>
      </c>
      <c r="D11" s="50" t="s">
        <v>47</v>
      </c>
      <c r="E11" s="13" t="s">
        <v>109</v>
      </c>
      <c r="F11" s="5">
        <f>'[2]Removed Saddle Values'!G11*2.54</f>
        <v>185.42000000000002</v>
      </c>
      <c r="G11" s="5">
        <v>86.2</v>
      </c>
      <c r="H11" s="5">
        <f t="shared" si="0"/>
        <v>25.072296344630217</v>
      </c>
      <c r="I11" s="13">
        <v>1</v>
      </c>
      <c r="J11" s="13">
        <v>4</v>
      </c>
      <c r="K11" s="13">
        <v>2</v>
      </c>
      <c r="L11" s="13">
        <v>0</v>
      </c>
      <c r="M11" s="13">
        <v>63</v>
      </c>
      <c r="N11" s="13">
        <v>0</v>
      </c>
      <c r="O11" s="13">
        <v>132</v>
      </c>
      <c r="P11" s="13">
        <v>0</v>
      </c>
      <c r="Q11" s="13">
        <v>18</v>
      </c>
      <c r="R11" s="13">
        <v>0</v>
      </c>
      <c r="S11" s="5">
        <v>97.2</v>
      </c>
      <c r="T11" s="13">
        <v>0</v>
      </c>
      <c r="U11" s="66">
        <v>100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1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0</v>
      </c>
      <c r="AJ11" s="13">
        <v>1</v>
      </c>
      <c r="AK11" s="13">
        <v>0</v>
      </c>
      <c r="AL11" s="13">
        <v>0</v>
      </c>
      <c r="AM11" s="13">
        <v>0</v>
      </c>
      <c r="AN11" s="13">
        <v>0</v>
      </c>
      <c r="AO11" s="13">
        <v>1</v>
      </c>
      <c r="AP11" s="13">
        <v>1</v>
      </c>
      <c r="AQ11" s="13">
        <v>1</v>
      </c>
      <c r="AR11" s="10">
        <v>0</v>
      </c>
      <c r="AS11" s="13">
        <v>1</v>
      </c>
      <c r="AT11" s="13">
        <v>1</v>
      </c>
      <c r="AU11" s="13">
        <v>1</v>
      </c>
      <c r="AV11" s="13">
        <v>0</v>
      </c>
      <c r="AW11" s="13">
        <v>61</v>
      </c>
      <c r="AX11" s="51">
        <f>4.18/5.52</f>
        <v>0.75724637681159424</v>
      </c>
      <c r="AY11" s="31">
        <v>0</v>
      </c>
      <c r="AZ11" s="31">
        <v>0</v>
      </c>
      <c r="BA11" s="31">
        <v>0</v>
      </c>
      <c r="BB11" s="51">
        <f>3.09/4.12</f>
        <v>0.75</v>
      </c>
      <c r="BC11" s="31">
        <v>2</v>
      </c>
      <c r="BD11" s="31">
        <v>0</v>
      </c>
      <c r="BE11" s="31"/>
      <c r="BF11" s="13">
        <v>0</v>
      </c>
      <c r="BG11" s="13" t="s">
        <v>48</v>
      </c>
      <c r="BH11" s="13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0</v>
      </c>
      <c r="BQ11" s="13">
        <v>0</v>
      </c>
      <c r="BR11" s="13">
        <v>1</v>
      </c>
      <c r="BS11" s="13" t="s">
        <v>141</v>
      </c>
      <c r="BT11" s="13">
        <v>1</v>
      </c>
      <c r="BU11" s="13">
        <v>1</v>
      </c>
      <c r="BV11" s="61" t="s">
        <v>50</v>
      </c>
      <c r="BW11" s="99">
        <v>0</v>
      </c>
      <c r="BX11" s="13">
        <v>0</v>
      </c>
      <c r="BY11" s="13">
        <v>0</v>
      </c>
      <c r="BZ11" s="13">
        <v>0</v>
      </c>
      <c r="CA11" s="13">
        <v>0</v>
      </c>
      <c r="CB11" s="34" t="s">
        <v>54</v>
      </c>
    </row>
    <row r="12" spans="1:80" s="65" customFormat="1" ht="18.75" x14ac:dyDescent="0.3">
      <c r="A12" s="1">
        <v>11</v>
      </c>
      <c r="B12" s="60">
        <v>40</v>
      </c>
      <c r="C12" s="13" t="s">
        <v>52</v>
      </c>
      <c r="D12" s="50" t="s">
        <v>47</v>
      </c>
      <c r="E12" s="13" t="s">
        <v>109</v>
      </c>
      <c r="F12" s="5">
        <f>'[2]Removed Saddle Values'!G12*2.54</f>
        <v>160.02000000000001</v>
      </c>
      <c r="G12" s="5">
        <v>94.7</v>
      </c>
      <c r="H12" s="5">
        <f t="shared" si="0"/>
        <v>36.982941186844833</v>
      </c>
      <c r="I12" s="13">
        <v>1</v>
      </c>
      <c r="J12" s="13">
        <v>5</v>
      </c>
      <c r="K12" s="13">
        <v>2</v>
      </c>
      <c r="L12" s="13">
        <v>1</v>
      </c>
      <c r="M12" s="13">
        <v>152</v>
      </c>
      <c r="N12" s="13">
        <v>1</v>
      </c>
      <c r="O12" s="13">
        <v>97</v>
      </c>
      <c r="P12" s="13">
        <v>0</v>
      </c>
      <c r="Q12" s="13">
        <v>18</v>
      </c>
      <c r="R12" s="13">
        <v>1</v>
      </c>
      <c r="S12" s="5">
        <v>96.4</v>
      </c>
      <c r="T12" s="13">
        <v>1</v>
      </c>
      <c r="U12" s="13" t="s">
        <v>48</v>
      </c>
      <c r="V12" s="13">
        <v>1</v>
      </c>
      <c r="W12" s="13">
        <v>0</v>
      </c>
      <c r="X12" s="13">
        <v>1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1</v>
      </c>
      <c r="AM12" s="13">
        <v>0</v>
      </c>
      <c r="AN12" s="13">
        <v>0</v>
      </c>
      <c r="AO12" s="13">
        <v>1</v>
      </c>
      <c r="AP12" s="13">
        <v>1</v>
      </c>
      <c r="AQ12" s="13">
        <v>1</v>
      </c>
      <c r="AR12" s="10">
        <v>1</v>
      </c>
      <c r="AS12" s="13">
        <v>1</v>
      </c>
      <c r="AT12" s="13">
        <v>1</v>
      </c>
      <c r="AU12" s="13">
        <v>1</v>
      </c>
      <c r="AV12" s="13">
        <v>0</v>
      </c>
      <c r="AW12" s="13">
        <v>43.5</v>
      </c>
      <c r="AX12" s="51">
        <f>5.02/3.46</f>
        <v>1.4508670520231213</v>
      </c>
      <c r="AY12" s="31">
        <v>0</v>
      </c>
      <c r="AZ12" s="31">
        <v>0</v>
      </c>
      <c r="BA12" s="31">
        <v>1</v>
      </c>
      <c r="BB12" s="51">
        <f>3.02/3.14</f>
        <v>0.96178343949044587</v>
      </c>
      <c r="BC12" s="31">
        <v>3</v>
      </c>
      <c r="BD12" s="31">
        <v>0</v>
      </c>
      <c r="BE12" s="31"/>
      <c r="BF12" s="13">
        <v>0</v>
      </c>
      <c r="BG12" s="13" t="s">
        <v>48</v>
      </c>
      <c r="BH12" s="13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1</v>
      </c>
      <c r="BO12" s="13">
        <v>0</v>
      </c>
      <c r="BP12" s="13">
        <v>1</v>
      </c>
      <c r="BQ12" s="13">
        <v>1</v>
      </c>
      <c r="BR12" s="13">
        <v>0</v>
      </c>
      <c r="BS12" s="13" t="s">
        <v>48</v>
      </c>
      <c r="BT12" s="13">
        <v>0</v>
      </c>
      <c r="BU12" s="13">
        <v>0</v>
      </c>
      <c r="BV12" s="61" t="s">
        <v>50</v>
      </c>
      <c r="BW12" s="99">
        <v>0</v>
      </c>
      <c r="BX12" s="13">
        <v>0</v>
      </c>
      <c r="BY12" s="13">
        <v>0</v>
      </c>
      <c r="BZ12" s="13">
        <v>0</v>
      </c>
      <c r="CA12" s="13">
        <v>0</v>
      </c>
      <c r="CB12" s="34" t="s">
        <v>142</v>
      </c>
    </row>
    <row r="13" spans="1:80" s="65" customFormat="1" ht="18.75" x14ac:dyDescent="0.3">
      <c r="A13" s="1">
        <v>12</v>
      </c>
      <c r="B13" s="60">
        <v>80</v>
      </c>
      <c r="C13" s="13" t="s">
        <v>46</v>
      </c>
      <c r="D13" s="50" t="s">
        <v>47</v>
      </c>
      <c r="E13" s="13" t="s">
        <v>74</v>
      </c>
      <c r="F13" s="5">
        <f>'[2]Removed Saddle Values'!G13*2.54</f>
        <v>182.88</v>
      </c>
      <c r="G13" s="5">
        <v>70.8</v>
      </c>
      <c r="H13" s="5">
        <f t="shared" si="0"/>
        <v>21.169023819529119</v>
      </c>
      <c r="I13" s="13">
        <v>1</v>
      </c>
      <c r="J13" s="13">
        <v>5</v>
      </c>
      <c r="K13" s="13">
        <v>2</v>
      </c>
      <c r="L13" s="13">
        <v>1</v>
      </c>
      <c r="M13" s="13">
        <v>120</v>
      </c>
      <c r="N13" s="13">
        <v>1</v>
      </c>
      <c r="O13" s="13">
        <v>94</v>
      </c>
      <c r="P13" s="13">
        <v>0</v>
      </c>
      <c r="Q13" s="13">
        <v>21</v>
      </c>
      <c r="R13" s="13">
        <v>0</v>
      </c>
      <c r="S13" s="5">
        <v>98</v>
      </c>
      <c r="T13" s="13">
        <v>0</v>
      </c>
      <c r="U13" s="13">
        <v>97</v>
      </c>
      <c r="V13" s="13">
        <v>0</v>
      </c>
      <c r="W13" s="13">
        <v>0</v>
      </c>
      <c r="X13" s="13">
        <v>0</v>
      </c>
      <c r="Y13" s="13">
        <v>0</v>
      </c>
      <c r="Z13" s="13">
        <v>1</v>
      </c>
      <c r="AA13" s="13">
        <v>1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 t="s">
        <v>48</v>
      </c>
      <c r="AP13" s="13" t="s">
        <v>48</v>
      </c>
      <c r="AQ13" s="13">
        <v>0</v>
      </c>
      <c r="AR13" s="10">
        <v>1</v>
      </c>
      <c r="AS13" s="13" t="s">
        <v>48</v>
      </c>
      <c r="AT13" s="13" t="s">
        <v>48</v>
      </c>
      <c r="AU13" s="13" t="s">
        <v>48</v>
      </c>
      <c r="AV13" s="13" t="s">
        <v>48</v>
      </c>
      <c r="AW13" s="13" t="s">
        <v>48</v>
      </c>
      <c r="AX13" s="51">
        <f>5.24/3.2</f>
        <v>1.6375</v>
      </c>
      <c r="AY13" s="31">
        <v>0</v>
      </c>
      <c r="AZ13" s="31">
        <v>0</v>
      </c>
      <c r="BA13" s="31">
        <v>1</v>
      </c>
      <c r="BB13" s="51">
        <f>2.76/3.54</f>
        <v>0.77966101694915246</v>
      </c>
      <c r="BC13" s="31">
        <v>1</v>
      </c>
      <c r="BD13" s="31">
        <v>0</v>
      </c>
      <c r="BE13" s="31"/>
      <c r="BF13" s="13" t="s">
        <v>48</v>
      </c>
      <c r="BG13" s="13" t="s">
        <v>48</v>
      </c>
      <c r="BH13" s="13">
        <v>1</v>
      </c>
      <c r="BI13" s="13">
        <v>0</v>
      </c>
      <c r="BJ13" s="13" t="s">
        <v>48</v>
      </c>
      <c r="BK13" s="13" t="s">
        <v>48</v>
      </c>
      <c r="BL13" s="13" t="s">
        <v>48</v>
      </c>
      <c r="BM13" s="13" t="s">
        <v>48</v>
      </c>
      <c r="BN13" s="13" t="s">
        <v>48</v>
      </c>
      <c r="BO13" s="13">
        <v>0</v>
      </c>
      <c r="BP13" s="13" t="s">
        <v>48</v>
      </c>
      <c r="BQ13" s="13" t="s">
        <v>48</v>
      </c>
      <c r="BR13" s="13" t="s">
        <v>48</v>
      </c>
      <c r="BS13" s="13" t="s">
        <v>48</v>
      </c>
      <c r="BT13" s="13" t="s">
        <v>48</v>
      </c>
      <c r="BU13" s="13" t="s">
        <v>48</v>
      </c>
      <c r="BV13" s="61" t="s">
        <v>50</v>
      </c>
      <c r="BW13" s="99">
        <v>0</v>
      </c>
      <c r="BX13" s="13" t="s">
        <v>48</v>
      </c>
      <c r="BY13" s="13" t="s">
        <v>48</v>
      </c>
      <c r="BZ13" s="13" t="s">
        <v>48</v>
      </c>
      <c r="CA13" s="13">
        <v>0</v>
      </c>
      <c r="CB13" s="34" t="s">
        <v>60</v>
      </c>
    </row>
    <row r="14" spans="1:80" s="53" customFormat="1" ht="18.75" x14ac:dyDescent="0.3">
      <c r="A14" s="1">
        <v>13</v>
      </c>
      <c r="B14" s="60">
        <v>38</v>
      </c>
      <c r="C14" s="13" t="s">
        <v>52</v>
      </c>
      <c r="D14" s="50" t="s">
        <v>53</v>
      </c>
      <c r="E14" s="13" t="s">
        <v>77</v>
      </c>
      <c r="F14" s="5">
        <f>'[2]Removed Saddle Values'!G14*2.54</f>
        <v>157.47999999999999</v>
      </c>
      <c r="G14" s="5">
        <v>106</v>
      </c>
      <c r="H14" s="5">
        <f t="shared" si="0"/>
        <v>42.742020967912907</v>
      </c>
      <c r="I14" s="13">
        <v>1</v>
      </c>
      <c r="J14" s="13">
        <v>1</v>
      </c>
      <c r="K14" s="13">
        <v>2</v>
      </c>
      <c r="L14" s="13">
        <v>1</v>
      </c>
      <c r="M14" s="13">
        <v>113</v>
      </c>
      <c r="N14" s="13">
        <v>0</v>
      </c>
      <c r="O14" s="13">
        <v>120</v>
      </c>
      <c r="P14" s="13">
        <v>0</v>
      </c>
      <c r="Q14" s="13">
        <v>16</v>
      </c>
      <c r="R14" s="13">
        <v>0</v>
      </c>
      <c r="S14" s="5">
        <v>98.2</v>
      </c>
      <c r="T14" s="13">
        <v>0</v>
      </c>
      <c r="U14" s="13">
        <v>98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1</v>
      </c>
      <c r="AJ14" s="13">
        <v>0</v>
      </c>
      <c r="AK14" s="13">
        <v>0</v>
      </c>
      <c r="AL14" s="13">
        <v>1</v>
      </c>
      <c r="AM14" s="13">
        <v>0</v>
      </c>
      <c r="AN14" s="13">
        <v>0</v>
      </c>
      <c r="AO14" s="13">
        <v>1</v>
      </c>
      <c r="AP14" s="13">
        <v>1</v>
      </c>
      <c r="AQ14" s="13">
        <v>1</v>
      </c>
      <c r="AR14" s="13">
        <v>1</v>
      </c>
      <c r="AS14" s="13">
        <v>1</v>
      </c>
      <c r="AT14" s="13">
        <v>1</v>
      </c>
      <c r="AU14" s="13">
        <v>1</v>
      </c>
      <c r="AV14" s="13">
        <v>0</v>
      </c>
      <c r="AW14" s="13">
        <v>28.9</v>
      </c>
      <c r="AX14" s="51">
        <f>3.82/3.9</f>
        <v>0.97948717948717945</v>
      </c>
      <c r="AY14" s="31">
        <v>0</v>
      </c>
      <c r="AZ14" s="31">
        <v>0</v>
      </c>
      <c r="BA14" s="31">
        <v>1</v>
      </c>
      <c r="BB14" s="51">
        <f>3.52/3.09</f>
        <v>1.1391585760517799</v>
      </c>
      <c r="BC14" s="31">
        <v>1</v>
      </c>
      <c r="BD14" s="31">
        <v>0</v>
      </c>
      <c r="BE14" s="31"/>
      <c r="BF14" s="13">
        <v>0</v>
      </c>
      <c r="BG14" s="13" t="s">
        <v>48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0</v>
      </c>
      <c r="BQ14" s="13">
        <v>0</v>
      </c>
      <c r="BR14" s="13">
        <v>0</v>
      </c>
      <c r="BS14" s="13" t="s">
        <v>48</v>
      </c>
      <c r="BT14" s="13">
        <v>0</v>
      </c>
      <c r="BU14" s="13">
        <v>0</v>
      </c>
      <c r="BV14" s="61" t="s">
        <v>50</v>
      </c>
      <c r="BW14" s="99">
        <v>0</v>
      </c>
      <c r="BX14" s="13">
        <v>1</v>
      </c>
      <c r="BY14" s="13">
        <v>0</v>
      </c>
      <c r="BZ14" s="13">
        <v>0</v>
      </c>
      <c r="CA14" s="13">
        <v>0</v>
      </c>
      <c r="CB14" s="34" t="s">
        <v>143</v>
      </c>
    </row>
    <row r="15" spans="1:80" s="65" customFormat="1" ht="18.75" x14ac:dyDescent="0.3">
      <c r="A15" s="1">
        <v>14</v>
      </c>
      <c r="B15" s="60">
        <v>69</v>
      </c>
      <c r="C15" s="13" t="s">
        <v>46</v>
      </c>
      <c r="D15" s="50" t="s">
        <v>53</v>
      </c>
      <c r="E15" s="13" t="s">
        <v>83</v>
      </c>
      <c r="F15" s="5">
        <f>'[2]Removed Saddle Values'!G15*2.54</f>
        <v>187.96</v>
      </c>
      <c r="G15" s="5">
        <v>113.5</v>
      </c>
      <c r="H15" s="5">
        <f t="shared" si="0"/>
        <v>32.126616481136537</v>
      </c>
      <c r="I15" s="13">
        <v>1</v>
      </c>
      <c r="J15" s="13">
        <v>3</v>
      </c>
      <c r="K15" s="13">
        <v>2</v>
      </c>
      <c r="L15" s="13">
        <v>0</v>
      </c>
      <c r="M15" s="13">
        <v>90</v>
      </c>
      <c r="N15" s="13">
        <v>0</v>
      </c>
      <c r="O15" s="13">
        <v>124</v>
      </c>
      <c r="P15" s="13">
        <v>0</v>
      </c>
      <c r="Q15" s="13">
        <v>24</v>
      </c>
      <c r="R15" s="13">
        <v>0</v>
      </c>
      <c r="S15" s="5">
        <v>97.9</v>
      </c>
      <c r="T15" s="13">
        <v>1</v>
      </c>
      <c r="U15" s="13">
        <v>85</v>
      </c>
      <c r="V15" s="13">
        <v>1</v>
      </c>
      <c r="W15" s="13">
        <v>0</v>
      </c>
      <c r="X15" s="13">
        <v>1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1</v>
      </c>
      <c r="AL15" s="13">
        <v>1</v>
      </c>
      <c r="AM15" s="13">
        <v>0</v>
      </c>
      <c r="AN15" s="13">
        <v>0</v>
      </c>
      <c r="AO15" s="13">
        <v>1</v>
      </c>
      <c r="AP15" s="13">
        <v>1</v>
      </c>
      <c r="AQ15" s="13">
        <v>0</v>
      </c>
      <c r="AR15" s="13">
        <v>0</v>
      </c>
      <c r="AS15" s="13">
        <v>1</v>
      </c>
      <c r="AT15" s="13">
        <v>1</v>
      </c>
      <c r="AU15" s="13">
        <v>1</v>
      </c>
      <c r="AV15" s="13">
        <v>0</v>
      </c>
      <c r="AW15" s="13">
        <v>66</v>
      </c>
      <c r="AX15" s="51">
        <f>4.83/5.92</f>
        <v>0.8158783783783784</v>
      </c>
      <c r="AY15" s="31">
        <v>0</v>
      </c>
      <c r="AZ15" s="31">
        <v>0</v>
      </c>
      <c r="BA15" s="31">
        <v>0</v>
      </c>
      <c r="BB15" s="51">
        <f>2.9/3.58</f>
        <v>0.81005586592178769</v>
      </c>
      <c r="BC15" s="31">
        <v>1</v>
      </c>
      <c r="BD15" s="31">
        <v>0</v>
      </c>
      <c r="BE15" s="31"/>
      <c r="BF15" s="13">
        <v>0</v>
      </c>
      <c r="BG15" s="13" t="s">
        <v>48</v>
      </c>
      <c r="BH15" s="13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0</v>
      </c>
      <c r="BQ15" s="13">
        <v>1</v>
      </c>
      <c r="BR15" s="13">
        <v>0</v>
      </c>
      <c r="BS15" s="13" t="s">
        <v>48</v>
      </c>
      <c r="BT15" s="13">
        <v>0</v>
      </c>
      <c r="BU15" s="13">
        <v>1</v>
      </c>
      <c r="BV15" s="61" t="s">
        <v>50</v>
      </c>
      <c r="BW15" s="99">
        <v>0</v>
      </c>
      <c r="BX15" s="13" t="s">
        <v>48</v>
      </c>
      <c r="BY15" s="13" t="s">
        <v>48</v>
      </c>
      <c r="BZ15" s="13" t="s">
        <v>48</v>
      </c>
      <c r="CA15" s="13">
        <v>0</v>
      </c>
      <c r="CB15" s="34" t="s">
        <v>54</v>
      </c>
    </row>
    <row r="16" spans="1:80" s="65" customFormat="1" ht="18.75" x14ac:dyDescent="0.3">
      <c r="A16" s="1">
        <v>15</v>
      </c>
      <c r="B16" s="60">
        <v>31</v>
      </c>
      <c r="C16" s="13" t="s">
        <v>52</v>
      </c>
      <c r="D16" s="50" t="s">
        <v>47</v>
      </c>
      <c r="E16" s="13" t="s">
        <v>76</v>
      </c>
      <c r="F16" s="5">
        <f>'[2]Removed Saddle Values'!G16*2.54</f>
        <v>162.56</v>
      </c>
      <c r="G16" s="5">
        <v>148</v>
      </c>
      <c r="H16" s="5">
        <f t="shared" si="0"/>
        <v>56.005971386942775</v>
      </c>
      <c r="I16" s="13">
        <v>1</v>
      </c>
      <c r="J16" s="13">
        <v>2</v>
      </c>
      <c r="K16" s="13">
        <v>2</v>
      </c>
      <c r="L16" s="13">
        <v>1</v>
      </c>
      <c r="M16" s="13">
        <v>136</v>
      </c>
      <c r="N16" s="13">
        <v>0</v>
      </c>
      <c r="O16" s="13">
        <v>142</v>
      </c>
      <c r="P16" s="13">
        <v>0</v>
      </c>
      <c r="Q16" s="13">
        <v>16</v>
      </c>
      <c r="R16" s="13">
        <v>0</v>
      </c>
      <c r="S16" s="5">
        <v>96.8</v>
      </c>
      <c r="T16" s="13">
        <v>1</v>
      </c>
      <c r="U16" s="13">
        <v>87</v>
      </c>
      <c r="V16" s="13">
        <v>1</v>
      </c>
      <c r="W16" s="13">
        <v>0</v>
      </c>
      <c r="X16" s="13">
        <v>1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1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1</v>
      </c>
      <c r="AP16" s="13">
        <v>1</v>
      </c>
      <c r="AQ16" s="13" t="s">
        <v>48</v>
      </c>
      <c r="AR16" s="13">
        <v>0</v>
      </c>
      <c r="AS16" s="13">
        <v>1</v>
      </c>
      <c r="AT16" s="13">
        <v>1</v>
      </c>
      <c r="AU16" s="13">
        <v>1</v>
      </c>
      <c r="AV16" s="13">
        <v>0</v>
      </c>
      <c r="AW16" s="13">
        <v>90.8</v>
      </c>
      <c r="AX16" s="51">
        <f>4.84/4.76</f>
        <v>1.0168067226890756</v>
      </c>
      <c r="AY16" s="31">
        <v>0</v>
      </c>
      <c r="AZ16" s="31">
        <v>0</v>
      </c>
      <c r="BA16" s="31">
        <v>1</v>
      </c>
      <c r="BB16" s="51">
        <f>2.74/2.85</f>
        <v>0.96140350877192982</v>
      </c>
      <c r="BC16" s="31">
        <v>4</v>
      </c>
      <c r="BD16" s="31">
        <v>1</v>
      </c>
      <c r="BE16" s="31"/>
      <c r="BF16" s="13">
        <v>1</v>
      </c>
      <c r="BG16" s="94" t="s">
        <v>188</v>
      </c>
      <c r="BH16" s="13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1</v>
      </c>
      <c r="BO16" s="13">
        <v>0</v>
      </c>
      <c r="BP16" s="13">
        <v>0</v>
      </c>
      <c r="BQ16" s="13">
        <v>0</v>
      </c>
      <c r="BR16" s="13">
        <v>1</v>
      </c>
      <c r="BS16" s="13" t="s">
        <v>144</v>
      </c>
      <c r="BT16" s="13">
        <v>0</v>
      </c>
      <c r="BU16" s="13">
        <v>1</v>
      </c>
      <c r="BV16" s="61" t="s">
        <v>50</v>
      </c>
      <c r="BW16" s="99">
        <v>0</v>
      </c>
      <c r="BX16" s="13">
        <v>0</v>
      </c>
      <c r="BY16" s="13">
        <v>0</v>
      </c>
      <c r="BZ16" s="13">
        <v>0</v>
      </c>
      <c r="CA16" s="13">
        <v>0</v>
      </c>
      <c r="CB16" s="34" t="s">
        <v>54</v>
      </c>
    </row>
    <row r="17" spans="1:80" s="53" customFormat="1" ht="18.75" x14ac:dyDescent="0.3">
      <c r="A17" s="1">
        <v>16</v>
      </c>
      <c r="B17" s="60">
        <v>54</v>
      </c>
      <c r="C17" s="13" t="s">
        <v>46</v>
      </c>
      <c r="D17" s="50" t="s">
        <v>53</v>
      </c>
      <c r="E17" s="13" t="s">
        <v>83</v>
      </c>
      <c r="F17" s="5">
        <f>'[2]Removed Saddle Values'!G17*2.54</f>
        <v>177.8</v>
      </c>
      <c r="G17" s="5">
        <v>154</v>
      </c>
      <c r="H17" s="5">
        <f t="shared" si="0"/>
        <v>48.714383143051997</v>
      </c>
      <c r="I17" s="13">
        <v>1</v>
      </c>
      <c r="J17" s="13">
        <v>5</v>
      </c>
      <c r="K17" s="94">
        <v>3</v>
      </c>
      <c r="L17" s="13">
        <v>1</v>
      </c>
      <c r="M17" s="13">
        <v>118</v>
      </c>
      <c r="N17" s="13">
        <v>1</v>
      </c>
      <c r="O17" s="13">
        <v>91</v>
      </c>
      <c r="P17" s="13">
        <v>1</v>
      </c>
      <c r="Q17" s="13">
        <v>33</v>
      </c>
      <c r="R17" s="13">
        <v>0</v>
      </c>
      <c r="S17" s="5">
        <v>98.9</v>
      </c>
      <c r="T17" s="13">
        <v>1</v>
      </c>
      <c r="U17" s="13">
        <v>89</v>
      </c>
      <c r="V17" s="13">
        <v>1</v>
      </c>
      <c r="W17" s="13">
        <v>0</v>
      </c>
      <c r="X17" s="13">
        <v>0</v>
      </c>
      <c r="Y17" s="13">
        <v>1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1</v>
      </c>
      <c r="AL17" s="13">
        <v>0</v>
      </c>
      <c r="AM17" s="13">
        <v>0</v>
      </c>
      <c r="AN17" s="13">
        <v>0</v>
      </c>
      <c r="AO17" s="13">
        <v>1</v>
      </c>
      <c r="AP17" s="13">
        <v>1</v>
      </c>
      <c r="AQ17" s="13">
        <v>1</v>
      </c>
      <c r="AR17" s="13">
        <v>1</v>
      </c>
      <c r="AS17" s="13">
        <v>1</v>
      </c>
      <c r="AT17" s="13">
        <v>0</v>
      </c>
      <c r="AU17" s="13">
        <v>0</v>
      </c>
      <c r="AV17" s="13">
        <v>0</v>
      </c>
      <c r="AW17" s="13">
        <v>38</v>
      </c>
      <c r="AX17" s="51">
        <f>6.23/3.55</f>
        <v>1.7549295774647888</v>
      </c>
      <c r="AY17" s="31">
        <v>0</v>
      </c>
      <c r="AZ17" s="31">
        <v>0</v>
      </c>
      <c r="BA17" s="31">
        <v>1</v>
      </c>
      <c r="BB17" s="51">
        <f>3.38/3.83</f>
        <v>0.88250652741514357</v>
      </c>
      <c r="BC17" s="31">
        <v>3</v>
      </c>
      <c r="BD17" s="31">
        <v>1</v>
      </c>
      <c r="BE17" s="31"/>
      <c r="BF17" s="13">
        <v>1</v>
      </c>
      <c r="BG17" s="13" t="s">
        <v>145</v>
      </c>
      <c r="BH17" s="13">
        <v>1</v>
      </c>
      <c r="BI17" s="13">
        <v>1</v>
      </c>
      <c r="BJ17" s="13">
        <v>0</v>
      </c>
      <c r="BK17" s="13">
        <v>1</v>
      </c>
      <c r="BL17" s="13">
        <v>1</v>
      </c>
      <c r="BM17" s="13">
        <v>0</v>
      </c>
      <c r="BN17" s="95">
        <v>1</v>
      </c>
      <c r="BO17" s="95">
        <v>1</v>
      </c>
      <c r="BP17" s="95">
        <v>1</v>
      </c>
      <c r="BQ17" s="95">
        <v>1</v>
      </c>
      <c r="BR17" s="13">
        <v>0</v>
      </c>
      <c r="BS17" s="13" t="s">
        <v>48</v>
      </c>
      <c r="BT17" s="13">
        <v>0</v>
      </c>
      <c r="BU17" s="13">
        <v>0</v>
      </c>
      <c r="BV17" s="61" t="s">
        <v>50</v>
      </c>
      <c r="BW17" s="99">
        <v>0</v>
      </c>
      <c r="BX17" s="13">
        <v>0</v>
      </c>
      <c r="BY17" s="13">
        <v>0</v>
      </c>
      <c r="BZ17" s="13">
        <v>0</v>
      </c>
      <c r="CA17" s="13">
        <v>0</v>
      </c>
      <c r="CB17" s="34" t="s">
        <v>55</v>
      </c>
    </row>
    <row r="18" spans="1:80" s="53" customFormat="1" ht="18.75" x14ac:dyDescent="0.3">
      <c r="A18" s="1">
        <v>17</v>
      </c>
      <c r="B18" s="60">
        <v>43</v>
      </c>
      <c r="C18" s="13" t="s">
        <v>46</v>
      </c>
      <c r="D18" s="50" t="s">
        <v>53</v>
      </c>
      <c r="E18" s="13" t="s">
        <v>146</v>
      </c>
      <c r="F18" s="5">
        <f>'[2]Removed Saddle Values'!G18*2.54</f>
        <v>187.96</v>
      </c>
      <c r="G18" s="5">
        <v>110</v>
      </c>
      <c r="H18" s="5">
        <f t="shared" si="0"/>
        <v>31.135927867180786</v>
      </c>
      <c r="I18" s="13">
        <v>0</v>
      </c>
      <c r="J18" s="13">
        <v>2</v>
      </c>
      <c r="K18" s="13">
        <v>2</v>
      </c>
      <c r="L18" s="13">
        <v>0</v>
      </c>
      <c r="M18" s="13">
        <v>79</v>
      </c>
      <c r="N18" s="13">
        <v>0</v>
      </c>
      <c r="O18" s="13">
        <v>111</v>
      </c>
      <c r="P18" s="13">
        <v>0</v>
      </c>
      <c r="Q18" s="13">
        <v>25</v>
      </c>
      <c r="R18" s="13">
        <v>0</v>
      </c>
      <c r="S18" s="5">
        <v>98.2</v>
      </c>
      <c r="T18" s="13">
        <v>0</v>
      </c>
      <c r="U18" s="13">
        <v>99</v>
      </c>
      <c r="V18" s="13">
        <v>0</v>
      </c>
      <c r="W18" s="13">
        <v>0</v>
      </c>
      <c r="X18" s="13">
        <v>1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1</v>
      </c>
      <c r="AF18" s="13">
        <v>0</v>
      </c>
      <c r="AG18" s="13">
        <v>0</v>
      </c>
      <c r="AH18" s="13">
        <v>0</v>
      </c>
      <c r="AI18" s="13">
        <v>0</v>
      </c>
      <c r="AJ18" s="13">
        <v>1</v>
      </c>
      <c r="AK18" s="13">
        <v>0</v>
      </c>
      <c r="AL18" s="13">
        <v>0</v>
      </c>
      <c r="AM18" s="13">
        <v>0</v>
      </c>
      <c r="AN18" s="13">
        <v>0</v>
      </c>
      <c r="AO18" s="13">
        <v>1</v>
      </c>
      <c r="AP18" s="13">
        <v>0</v>
      </c>
      <c r="AQ18" s="13" t="s">
        <v>48</v>
      </c>
      <c r="AR18" s="13">
        <v>1</v>
      </c>
      <c r="AS18" s="13">
        <v>1</v>
      </c>
      <c r="AT18" s="13">
        <v>1</v>
      </c>
      <c r="AU18" s="13">
        <v>1</v>
      </c>
      <c r="AV18" s="13">
        <v>0</v>
      </c>
      <c r="AW18" s="13" t="s">
        <v>192</v>
      </c>
      <c r="AX18" s="51">
        <f>5.82/3.99</f>
        <v>1.4586466165413534</v>
      </c>
      <c r="AY18" s="31">
        <v>0</v>
      </c>
      <c r="AZ18" s="31">
        <v>0</v>
      </c>
      <c r="BA18" s="31">
        <v>1</v>
      </c>
      <c r="BB18" s="51">
        <f>2.9/3.01</f>
        <v>0.96345514950166122</v>
      </c>
      <c r="BC18" s="31">
        <v>3</v>
      </c>
      <c r="BD18" s="31">
        <v>0</v>
      </c>
      <c r="BE18" s="31"/>
      <c r="BF18" s="13">
        <v>0</v>
      </c>
      <c r="BG18" s="13" t="s">
        <v>48</v>
      </c>
      <c r="BH18" s="13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 t="s">
        <v>48</v>
      </c>
      <c r="BQ18" s="13" t="s">
        <v>48</v>
      </c>
      <c r="BR18" s="13">
        <v>0</v>
      </c>
      <c r="BS18" s="13" t="s">
        <v>48</v>
      </c>
      <c r="BT18" s="13">
        <v>0</v>
      </c>
      <c r="BU18" s="13">
        <v>0</v>
      </c>
      <c r="BV18" s="61" t="s">
        <v>50</v>
      </c>
      <c r="BW18" s="99">
        <v>0</v>
      </c>
      <c r="BX18" s="13">
        <v>0</v>
      </c>
      <c r="BY18" s="13">
        <v>1</v>
      </c>
      <c r="BZ18" s="13">
        <v>0</v>
      </c>
      <c r="CA18" s="13">
        <v>0</v>
      </c>
      <c r="CB18" s="34" t="s">
        <v>54</v>
      </c>
    </row>
    <row r="19" spans="1:80" s="65" customFormat="1" ht="18.75" x14ac:dyDescent="0.3">
      <c r="A19" s="1">
        <v>18</v>
      </c>
      <c r="B19" s="60">
        <v>68</v>
      </c>
      <c r="C19" s="13" t="s">
        <v>46</v>
      </c>
      <c r="D19" s="50" t="s">
        <v>53</v>
      </c>
      <c r="E19" s="13" t="s">
        <v>87</v>
      </c>
      <c r="F19" s="5" t="s">
        <v>48</v>
      </c>
      <c r="G19" s="5">
        <v>127</v>
      </c>
      <c r="H19" s="5">
        <v>40.75</v>
      </c>
      <c r="I19" s="13">
        <v>1</v>
      </c>
      <c r="J19" s="13">
        <v>5</v>
      </c>
      <c r="K19" s="13">
        <v>3</v>
      </c>
      <c r="L19" s="13">
        <v>0</v>
      </c>
      <c r="M19" s="13">
        <v>108</v>
      </c>
      <c r="N19" s="13">
        <v>0</v>
      </c>
      <c r="O19" s="13">
        <v>142</v>
      </c>
      <c r="P19" s="13">
        <v>0</v>
      </c>
      <c r="Q19" s="13">
        <v>22</v>
      </c>
      <c r="R19" s="13">
        <v>0</v>
      </c>
      <c r="S19" s="5">
        <v>97.3</v>
      </c>
      <c r="T19" s="13">
        <v>1</v>
      </c>
      <c r="U19" s="13">
        <v>78</v>
      </c>
      <c r="V19" s="13">
        <v>1</v>
      </c>
      <c r="W19" s="13">
        <v>0</v>
      </c>
      <c r="X19" s="13">
        <v>1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1</v>
      </c>
      <c r="AF19" s="13">
        <v>0</v>
      </c>
      <c r="AG19" s="13" t="s">
        <v>48</v>
      </c>
      <c r="AH19" s="13" t="s">
        <v>48</v>
      </c>
      <c r="AI19" s="13" t="s">
        <v>48</v>
      </c>
      <c r="AJ19" s="13" t="s">
        <v>48</v>
      </c>
      <c r="AK19" s="13">
        <v>0</v>
      </c>
      <c r="AL19" s="13">
        <v>0</v>
      </c>
      <c r="AM19" s="13">
        <v>0</v>
      </c>
      <c r="AN19" s="13">
        <v>1</v>
      </c>
      <c r="AO19" s="13" t="s">
        <v>48</v>
      </c>
      <c r="AP19" s="13" t="s">
        <v>48</v>
      </c>
      <c r="AQ19" s="13">
        <v>0</v>
      </c>
      <c r="AR19" s="13">
        <v>0</v>
      </c>
      <c r="AS19" s="13" t="s">
        <v>48</v>
      </c>
      <c r="AT19" s="13" t="s">
        <v>48</v>
      </c>
      <c r="AU19" s="13" t="s">
        <v>48</v>
      </c>
      <c r="AV19" s="13" t="s">
        <v>48</v>
      </c>
      <c r="AW19" s="13" t="s">
        <v>48</v>
      </c>
      <c r="AX19" s="51">
        <f>4.63/3.41</f>
        <v>1.3577712609970674</v>
      </c>
      <c r="AY19" s="31">
        <v>0</v>
      </c>
      <c r="AZ19" s="31">
        <v>0</v>
      </c>
      <c r="BA19" s="31">
        <v>1</v>
      </c>
      <c r="BB19" s="51">
        <f>2.99/3.12</f>
        <v>0.95833333333333337</v>
      </c>
      <c r="BC19" s="31">
        <v>5</v>
      </c>
      <c r="BD19" s="31">
        <v>1</v>
      </c>
      <c r="BE19" s="31"/>
      <c r="BF19" s="13">
        <v>1</v>
      </c>
      <c r="BG19" s="34" t="s">
        <v>147</v>
      </c>
      <c r="BH19" s="13">
        <v>1</v>
      </c>
      <c r="BI19" s="13">
        <v>0</v>
      </c>
      <c r="BJ19" s="13">
        <v>1</v>
      </c>
      <c r="BK19" s="13">
        <v>1</v>
      </c>
      <c r="BL19" s="13">
        <v>0</v>
      </c>
      <c r="BM19" s="13">
        <v>1</v>
      </c>
      <c r="BN19" s="13">
        <v>1</v>
      </c>
      <c r="BO19" s="13">
        <v>0</v>
      </c>
      <c r="BP19" s="13">
        <v>1</v>
      </c>
      <c r="BQ19" s="13">
        <v>1</v>
      </c>
      <c r="BR19" s="13">
        <v>0</v>
      </c>
      <c r="BS19" s="13" t="s">
        <v>48</v>
      </c>
      <c r="BT19" s="13">
        <v>0</v>
      </c>
      <c r="BU19" s="13">
        <v>0</v>
      </c>
      <c r="BV19" s="61" t="s">
        <v>82</v>
      </c>
      <c r="BW19" s="99" t="s">
        <v>48</v>
      </c>
      <c r="BX19" s="13" t="s">
        <v>48</v>
      </c>
      <c r="BY19" s="13" t="s">
        <v>48</v>
      </c>
      <c r="BZ19" s="13">
        <v>0</v>
      </c>
      <c r="CA19" s="13">
        <v>0</v>
      </c>
      <c r="CB19" s="34" t="s">
        <v>54</v>
      </c>
    </row>
    <row r="20" spans="1:80" s="65" customFormat="1" ht="18.75" x14ac:dyDescent="0.3">
      <c r="A20" s="1">
        <v>19</v>
      </c>
      <c r="B20" s="60">
        <v>59</v>
      </c>
      <c r="C20" s="13" t="s">
        <v>46</v>
      </c>
      <c r="D20" s="50" t="s">
        <v>47</v>
      </c>
      <c r="E20" s="13" t="s">
        <v>74</v>
      </c>
      <c r="F20" s="5">
        <f>'[2]Removed Saddle Values'!G20*2.54</f>
        <v>177.8</v>
      </c>
      <c r="G20" s="5">
        <v>158.30000000000001</v>
      </c>
      <c r="H20" s="5">
        <f t="shared" ref="H20:H61" si="1">G20/((F20/100)^2)</f>
        <v>50.074589945098261</v>
      </c>
      <c r="I20" s="13">
        <v>1</v>
      </c>
      <c r="J20" s="13">
        <v>4</v>
      </c>
      <c r="K20" s="13">
        <v>2</v>
      </c>
      <c r="L20" s="13">
        <v>0</v>
      </c>
      <c r="M20" s="13">
        <v>105</v>
      </c>
      <c r="N20" s="13">
        <v>1</v>
      </c>
      <c r="O20" s="13">
        <v>97</v>
      </c>
      <c r="P20" s="13">
        <v>0</v>
      </c>
      <c r="Q20" s="13">
        <v>22</v>
      </c>
      <c r="R20" s="13">
        <v>0</v>
      </c>
      <c r="S20" s="5">
        <v>98.1</v>
      </c>
      <c r="T20" s="13">
        <v>1</v>
      </c>
      <c r="U20" s="13">
        <v>80</v>
      </c>
      <c r="V20" s="13">
        <v>1</v>
      </c>
      <c r="W20" s="13">
        <v>0</v>
      </c>
      <c r="X20" s="13">
        <v>1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1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1</v>
      </c>
      <c r="AP20" s="13">
        <v>1</v>
      </c>
      <c r="AQ20" s="13">
        <v>0</v>
      </c>
      <c r="AR20" s="13">
        <v>0</v>
      </c>
      <c r="AS20" s="13">
        <v>1</v>
      </c>
      <c r="AT20" s="13">
        <v>1</v>
      </c>
      <c r="AU20" s="13">
        <v>1</v>
      </c>
      <c r="AV20" s="13">
        <v>0</v>
      </c>
      <c r="AW20" s="13">
        <v>47.2</v>
      </c>
      <c r="AX20" s="51">
        <f>3.8/4.01</f>
        <v>0.94763092269326688</v>
      </c>
      <c r="AY20" s="31">
        <v>0</v>
      </c>
      <c r="AZ20" s="31">
        <v>0</v>
      </c>
      <c r="BA20" s="31">
        <v>1</v>
      </c>
      <c r="BB20" s="51">
        <f>2.84/3.5</f>
        <v>0.81142857142857139</v>
      </c>
      <c r="BC20" s="31">
        <v>1</v>
      </c>
      <c r="BD20" s="31">
        <v>0</v>
      </c>
      <c r="BE20" s="31"/>
      <c r="BF20" s="13">
        <v>1</v>
      </c>
      <c r="BG20" s="34" t="s">
        <v>148</v>
      </c>
      <c r="BH20" s="13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0</v>
      </c>
      <c r="BQ20" s="13">
        <v>0</v>
      </c>
      <c r="BR20" s="13">
        <v>0</v>
      </c>
      <c r="BS20" s="13" t="s">
        <v>48</v>
      </c>
      <c r="BT20" s="13">
        <v>0</v>
      </c>
      <c r="BU20" s="13">
        <v>0</v>
      </c>
      <c r="BV20" s="61" t="s">
        <v>149</v>
      </c>
      <c r="BW20" s="99">
        <v>0</v>
      </c>
      <c r="BX20" s="13">
        <v>0</v>
      </c>
      <c r="BY20" s="13">
        <v>1</v>
      </c>
      <c r="BZ20" s="13">
        <v>0</v>
      </c>
      <c r="CA20" s="13">
        <v>0</v>
      </c>
      <c r="CB20" s="34" t="s">
        <v>150</v>
      </c>
    </row>
    <row r="21" spans="1:80" s="65" customFormat="1" ht="18.75" x14ac:dyDescent="0.3">
      <c r="A21" s="1">
        <v>20</v>
      </c>
      <c r="B21" s="60">
        <v>80</v>
      </c>
      <c r="C21" s="13" t="s">
        <v>46</v>
      </c>
      <c r="D21" s="50" t="s">
        <v>47</v>
      </c>
      <c r="E21" s="13" t="s">
        <v>74</v>
      </c>
      <c r="F21" s="5">
        <f>'[2]Removed Saddle Values'!G21*2.54</f>
        <v>180.34</v>
      </c>
      <c r="G21" s="5">
        <v>108.9</v>
      </c>
      <c r="H21" s="5">
        <f t="shared" si="1"/>
        <v>33.484494661907391</v>
      </c>
      <c r="I21" s="13">
        <v>1</v>
      </c>
      <c r="J21" s="13">
        <v>3</v>
      </c>
      <c r="K21" s="13">
        <v>1</v>
      </c>
      <c r="L21" s="13">
        <v>0</v>
      </c>
      <c r="M21" s="13">
        <v>87</v>
      </c>
      <c r="N21" s="13">
        <v>0</v>
      </c>
      <c r="O21" s="13">
        <v>151</v>
      </c>
      <c r="P21" s="13">
        <v>0</v>
      </c>
      <c r="Q21" s="13">
        <v>15</v>
      </c>
      <c r="R21" s="13">
        <v>0</v>
      </c>
      <c r="S21" s="5">
        <v>98.4</v>
      </c>
      <c r="T21" s="13">
        <v>0</v>
      </c>
      <c r="U21" s="13">
        <v>98</v>
      </c>
      <c r="V21" s="13">
        <v>1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 t="s">
        <v>48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31</v>
      </c>
      <c r="AX21" s="51">
        <f>4.16/3.89</f>
        <v>1.0694087403598971</v>
      </c>
      <c r="AY21" s="31">
        <v>0</v>
      </c>
      <c r="AZ21" s="31">
        <v>0</v>
      </c>
      <c r="BA21" s="31">
        <v>1</v>
      </c>
      <c r="BB21" s="51">
        <f>3.08/2.91</f>
        <v>1.0584192439862543</v>
      </c>
      <c r="BC21" s="31">
        <v>1</v>
      </c>
      <c r="BD21" s="31">
        <v>1</v>
      </c>
      <c r="BE21" s="31"/>
      <c r="BF21" s="13">
        <v>0</v>
      </c>
      <c r="BG21" s="13" t="s">
        <v>48</v>
      </c>
      <c r="BH21" s="13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 t="s">
        <v>48</v>
      </c>
      <c r="BQ21" s="13" t="s">
        <v>48</v>
      </c>
      <c r="BR21" s="13">
        <v>0</v>
      </c>
      <c r="BS21" s="13" t="s">
        <v>48</v>
      </c>
      <c r="BT21" s="13">
        <v>0</v>
      </c>
      <c r="BU21" s="13">
        <v>0</v>
      </c>
      <c r="BV21" s="61" t="s">
        <v>50</v>
      </c>
      <c r="BW21" s="99">
        <v>0</v>
      </c>
      <c r="BX21" s="13">
        <v>0</v>
      </c>
      <c r="BY21" s="13">
        <v>0</v>
      </c>
      <c r="BZ21" s="13">
        <v>0</v>
      </c>
      <c r="CA21" s="13">
        <v>0</v>
      </c>
      <c r="CB21" s="34" t="s">
        <v>54</v>
      </c>
    </row>
    <row r="22" spans="1:80" s="65" customFormat="1" ht="18.75" x14ac:dyDescent="0.3">
      <c r="A22" s="1">
        <v>21</v>
      </c>
      <c r="B22" s="60">
        <v>54</v>
      </c>
      <c r="C22" s="13" t="s">
        <v>46</v>
      </c>
      <c r="D22" s="50" t="s">
        <v>47</v>
      </c>
      <c r="E22" s="13" t="s">
        <v>74</v>
      </c>
      <c r="F22" s="5">
        <f>'[2]Removed Saddle Values'!G22*2.54</f>
        <v>180.34</v>
      </c>
      <c r="G22" s="5">
        <v>90.7</v>
      </c>
      <c r="H22" s="5">
        <f t="shared" si="1"/>
        <v>27.888371587098259</v>
      </c>
      <c r="I22" s="13">
        <v>1</v>
      </c>
      <c r="J22" s="13">
        <v>2</v>
      </c>
      <c r="K22" s="13">
        <v>2</v>
      </c>
      <c r="L22" s="13">
        <v>1</v>
      </c>
      <c r="M22" s="13">
        <v>127</v>
      </c>
      <c r="N22" s="13">
        <v>0</v>
      </c>
      <c r="O22" s="13">
        <v>120</v>
      </c>
      <c r="P22" s="13">
        <v>0</v>
      </c>
      <c r="Q22" s="13">
        <v>26</v>
      </c>
      <c r="R22" s="13">
        <v>0</v>
      </c>
      <c r="S22" s="5">
        <v>99.1</v>
      </c>
      <c r="T22" s="13">
        <v>0</v>
      </c>
      <c r="U22" s="13">
        <v>94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1</v>
      </c>
      <c r="AP22" s="13">
        <v>1</v>
      </c>
      <c r="AQ22" s="13">
        <v>1</v>
      </c>
      <c r="AR22" s="13">
        <v>0</v>
      </c>
      <c r="AS22" s="13">
        <v>1</v>
      </c>
      <c r="AT22" s="13">
        <v>1</v>
      </c>
      <c r="AU22" s="13">
        <v>1</v>
      </c>
      <c r="AV22" s="13">
        <v>0</v>
      </c>
      <c r="AW22" s="13">
        <v>96</v>
      </c>
      <c r="AX22" s="51">
        <f>5.03/4.8</f>
        <v>1.0479166666666668</v>
      </c>
      <c r="AY22" s="31">
        <v>0</v>
      </c>
      <c r="AZ22" s="31">
        <v>0</v>
      </c>
      <c r="BA22" s="31">
        <v>1</v>
      </c>
      <c r="BB22" s="51">
        <f>3.25/3.07</f>
        <v>1.0586319218241043</v>
      </c>
      <c r="BC22" s="31">
        <v>3</v>
      </c>
      <c r="BD22" s="31">
        <v>0</v>
      </c>
      <c r="BE22" s="31"/>
      <c r="BF22" s="13">
        <v>0</v>
      </c>
      <c r="BG22" s="13" t="s">
        <v>48</v>
      </c>
      <c r="BH22" s="13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0</v>
      </c>
      <c r="BQ22" s="13">
        <v>1</v>
      </c>
      <c r="BR22" s="13">
        <v>0</v>
      </c>
      <c r="BS22" s="13" t="s">
        <v>48</v>
      </c>
      <c r="BT22" s="13">
        <v>0</v>
      </c>
      <c r="BU22" s="13">
        <v>0</v>
      </c>
      <c r="BV22" s="61" t="s">
        <v>50</v>
      </c>
      <c r="BW22" s="99">
        <v>0</v>
      </c>
      <c r="BX22" s="13">
        <v>0</v>
      </c>
      <c r="BY22" s="13">
        <v>0</v>
      </c>
      <c r="BZ22" s="13">
        <v>0</v>
      </c>
      <c r="CA22" s="13">
        <v>0</v>
      </c>
      <c r="CB22" s="34" t="s">
        <v>54</v>
      </c>
    </row>
    <row r="23" spans="1:80" s="53" customFormat="1" ht="18.75" x14ac:dyDescent="0.3">
      <c r="A23" s="1">
        <v>22</v>
      </c>
      <c r="B23" s="60">
        <v>76</v>
      </c>
      <c r="C23" s="13" t="s">
        <v>46</v>
      </c>
      <c r="D23" s="50" t="s">
        <v>47</v>
      </c>
      <c r="E23" s="13" t="s">
        <v>74</v>
      </c>
      <c r="F23" s="5">
        <f>'[2]Removed Saddle Values'!G23*2.54</f>
        <v>187.96</v>
      </c>
      <c r="G23" s="5">
        <v>109</v>
      </c>
      <c r="H23" s="5">
        <f t="shared" si="1"/>
        <v>30.852873977479142</v>
      </c>
      <c r="I23" s="13">
        <v>1</v>
      </c>
      <c r="J23" s="13">
        <v>5</v>
      </c>
      <c r="K23" s="13">
        <v>2</v>
      </c>
      <c r="L23" s="13">
        <v>0</v>
      </c>
      <c r="M23" s="13">
        <v>70</v>
      </c>
      <c r="N23" s="13">
        <v>0</v>
      </c>
      <c r="O23" s="13">
        <v>132</v>
      </c>
      <c r="P23" s="13">
        <v>0</v>
      </c>
      <c r="Q23" s="13">
        <v>16</v>
      </c>
      <c r="R23" s="13">
        <v>0</v>
      </c>
      <c r="S23" s="5">
        <v>98.6</v>
      </c>
      <c r="T23" s="13">
        <v>0</v>
      </c>
      <c r="U23" s="13">
        <v>100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1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1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1</v>
      </c>
      <c r="AP23" s="13">
        <v>1</v>
      </c>
      <c r="AQ23" s="13">
        <v>1</v>
      </c>
      <c r="AR23" s="13">
        <v>1</v>
      </c>
      <c r="AS23" s="13">
        <v>1</v>
      </c>
      <c r="AT23" s="13">
        <v>1</v>
      </c>
      <c r="AU23" s="13">
        <v>1</v>
      </c>
      <c r="AV23" s="13">
        <v>0</v>
      </c>
      <c r="AW23" s="13">
        <v>48</v>
      </c>
      <c r="AX23" s="51">
        <f>3.43/4.29</f>
        <v>0.79953379953379955</v>
      </c>
      <c r="AY23" s="31">
        <v>0</v>
      </c>
      <c r="AZ23" s="31">
        <v>0</v>
      </c>
      <c r="BA23" s="31">
        <v>0</v>
      </c>
      <c r="BB23" s="51">
        <f>3.56/3.03</f>
        <v>1.1749174917491749</v>
      </c>
      <c r="BC23" s="31">
        <v>2</v>
      </c>
      <c r="BD23" s="31">
        <v>0</v>
      </c>
      <c r="BE23" s="31"/>
      <c r="BF23" s="13">
        <v>1</v>
      </c>
      <c r="BG23" s="34" t="s">
        <v>112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 t="s">
        <v>48</v>
      </c>
      <c r="BQ23" s="13" t="s">
        <v>48</v>
      </c>
      <c r="BR23" s="13">
        <v>0</v>
      </c>
      <c r="BS23" s="13" t="s">
        <v>48</v>
      </c>
      <c r="BT23" s="13">
        <v>0</v>
      </c>
      <c r="BU23" s="13">
        <v>0</v>
      </c>
      <c r="BV23" s="61" t="s">
        <v>50</v>
      </c>
      <c r="BW23" s="99">
        <v>0</v>
      </c>
      <c r="BX23" s="13">
        <v>0</v>
      </c>
      <c r="BY23" s="13">
        <v>0</v>
      </c>
      <c r="BZ23" s="13">
        <v>0</v>
      </c>
      <c r="CA23" s="13">
        <v>0</v>
      </c>
      <c r="CB23" s="34" t="s">
        <v>150</v>
      </c>
    </row>
    <row r="24" spans="1:80" s="65" customFormat="1" ht="18.75" x14ac:dyDescent="0.3">
      <c r="A24" s="1">
        <v>23</v>
      </c>
      <c r="B24" s="60">
        <v>78</v>
      </c>
      <c r="C24" s="13" t="s">
        <v>46</v>
      </c>
      <c r="D24" s="50" t="s">
        <v>47</v>
      </c>
      <c r="E24" s="13" t="s">
        <v>85</v>
      </c>
      <c r="F24" s="5">
        <f>'[2]Removed Saddle Values'!G24*2.54</f>
        <v>187.96</v>
      </c>
      <c r="G24" s="5">
        <v>102.6</v>
      </c>
      <c r="H24" s="5">
        <f t="shared" si="1"/>
        <v>29.041329083388622</v>
      </c>
      <c r="I24" s="13">
        <v>1</v>
      </c>
      <c r="J24" s="13">
        <v>4</v>
      </c>
      <c r="K24" s="13">
        <v>3</v>
      </c>
      <c r="L24" s="13">
        <v>1</v>
      </c>
      <c r="M24" s="13">
        <v>147</v>
      </c>
      <c r="N24" s="13">
        <v>0</v>
      </c>
      <c r="O24" s="13">
        <v>147</v>
      </c>
      <c r="P24" s="13">
        <v>0</v>
      </c>
      <c r="Q24" s="13">
        <v>22</v>
      </c>
      <c r="R24" s="13">
        <v>0</v>
      </c>
      <c r="S24" s="5">
        <v>97.8</v>
      </c>
      <c r="T24" s="13">
        <v>0</v>
      </c>
      <c r="U24" s="13">
        <v>97</v>
      </c>
      <c r="V24" s="13">
        <v>1</v>
      </c>
      <c r="W24" s="13">
        <v>0</v>
      </c>
      <c r="X24" s="13">
        <v>1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1</v>
      </c>
      <c r="AP24" s="13">
        <v>1</v>
      </c>
      <c r="AQ24" s="13">
        <v>1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 t="s">
        <v>192</v>
      </c>
      <c r="AX24" s="51">
        <f>3.85/4.06</f>
        <v>0.94827586206896564</v>
      </c>
      <c r="AY24" s="31">
        <v>0</v>
      </c>
      <c r="AZ24" s="31">
        <v>0</v>
      </c>
      <c r="BA24" s="31">
        <v>1</v>
      </c>
      <c r="BB24" s="51">
        <f>3.08/3.32</f>
        <v>0.92771084337349408</v>
      </c>
      <c r="BC24" s="31">
        <v>2</v>
      </c>
      <c r="BD24" s="31">
        <v>0</v>
      </c>
      <c r="BE24" s="31"/>
      <c r="BF24" s="13">
        <v>1</v>
      </c>
      <c r="BG24" s="13" t="s">
        <v>151</v>
      </c>
      <c r="BH24" s="13">
        <v>1</v>
      </c>
      <c r="BI24" s="13">
        <v>0</v>
      </c>
      <c r="BJ24" s="13">
        <v>1</v>
      </c>
      <c r="BK24" s="13">
        <v>1</v>
      </c>
      <c r="BL24" s="13">
        <v>0</v>
      </c>
      <c r="BM24" s="13">
        <v>0</v>
      </c>
      <c r="BN24" s="13">
        <v>0</v>
      </c>
      <c r="BO24" s="13">
        <v>0</v>
      </c>
      <c r="BP24" s="13" t="s">
        <v>48</v>
      </c>
      <c r="BQ24" s="13" t="s">
        <v>48</v>
      </c>
      <c r="BR24" s="13">
        <v>0</v>
      </c>
      <c r="BS24" s="13" t="s">
        <v>48</v>
      </c>
      <c r="BT24" s="13">
        <v>0</v>
      </c>
      <c r="BU24" s="13">
        <v>0</v>
      </c>
      <c r="BV24" s="61" t="s">
        <v>82</v>
      </c>
      <c r="BW24" s="99" t="s">
        <v>48</v>
      </c>
      <c r="BX24" s="13" t="s">
        <v>48</v>
      </c>
      <c r="BY24" s="13" t="s">
        <v>48</v>
      </c>
      <c r="BZ24" s="13">
        <v>0</v>
      </c>
      <c r="CA24" s="13">
        <v>0</v>
      </c>
      <c r="CB24" s="34" t="s">
        <v>61</v>
      </c>
    </row>
    <row r="25" spans="1:80" s="65" customFormat="1" ht="18.75" x14ac:dyDescent="0.3">
      <c r="A25" s="1">
        <v>24</v>
      </c>
      <c r="B25" s="60">
        <v>53</v>
      </c>
      <c r="C25" s="13" t="s">
        <v>46</v>
      </c>
      <c r="D25" s="50" t="s">
        <v>47</v>
      </c>
      <c r="E25" s="13" t="s">
        <v>83</v>
      </c>
      <c r="F25" s="5">
        <f>'[2]Removed Saddle Values'!G25*2.54</f>
        <v>175.26</v>
      </c>
      <c r="G25" s="5">
        <v>96.16</v>
      </c>
      <c r="H25" s="5">
        <f t="shared" si="1"/>
        <v>31.30609075752913</v>
      </c>
      <c r="I25" s="13">
        <v>1</v>
      </c>
      <c r="J25" s="13">
        <v>3</v>
      </c>
      <c r="K25" s="13">
        <v>2</v>
      </c>
      <c r="L25" s="13">
        <v>1</v>
      </c>
      <c r="M25" s="13">
        <v>114</v>
      </c>
      <c r="N25" s="13">
        <v>0</v>
      </c>
      <c r="O25" s="13">
        <v>155</v>
      </c>
      <c r="P25" s="13">
        <v>0</v>
      </c>
      <c r="Q25" s="13">
        <v>17</v>
      </c>
      <c r="R25" s="13">
        <v>0</v>
      </c>
      <c r="S25" s="5">
        <v>97.5</v>
      </c>
      <c r="T25" s="13">
        <v>0</v>
      </c>
      <c r="U25" s="13">
        <v>96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 t="s">
        <v>48</v>
      </c>
      <c r="AQ25" s="13">
        <v>1</v>
      </c>
      <c r="AR25" s="13">
        <v>0</v>
      </c>
      <c r="AS25" s="13">
        <v>1</v>
      </c>
      <c r="AT25" s="13">
        <v>0</v>
      </c>
      <c r="AU25" s="13">
        <v>0</v>
      </c>
      <c r="AV25" s="13">
        <v>0</v>
      </c>
      <c r="AW25" s="13" t="s">
        <v>192</v>
      </c>
      <c r="AX25" s="51">
        <f>4.57/4.64</f>
        <v>0.9849137931034484</v>
      </c>
      <c r="AY25" s="31">
        <v>0</v>
      </c>
      <c r="AZ25" s="31">
        <v>0</v>
      </c>
      <c r="BA25" s="31">
        <v>1</v>
      </c>
      <c r="BB25" s="51">
        <f>3.2/3.37</f>
        <v>0.94955489614243327</v>
      </c>
      <c r="BC25" s="31">
        <v>1</v>
      </c>
      <c r="BD25" s="31">
        <v>0</v>
      </c>
      <c r="BE25" s="31"/>
      <c r="BF25" s="13">
        <v>0</v>
      </c>
      <c r="BG25" s="13" t="s">
        <v>48</v>
      </c>
      <c r="BH25" s="13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0</v>
      </c>
      <c r="BQ25" s="13">
        <v>1</v>
      </c>
      <c r="BR25" s="13">
        <v>1</v>
      </c>
      <c r="BS25" s="34" t="s">
        <v>106</v>
      </c>
      <c r="BT25" s="13">
        <v>0</v>
      </c>
      <c r="BU25" s="13">
        <v>0</v>
      </c>
      <c r="BV25" s="61" t="s">
        <v>50</v>
      </c>
      <c r="BW25" s="99">
        <v>0</v>
      </c>
      <c r="BX25" s="13">
        <v>0</v>
      </c>
      <c r="BY25" s="13">
        <v>0</v>
      </c>
      <c r="BZ25" s="13">
        <v>0</v>
      </c>
      <c r="CA25" s="13">
        <v>0</v>
      </c>
      <c r="CB25" s="34" t="s">
        <v>62</v>
      </c>
    </row>
    <row r="26" spans="1:80" s="65" customFormat="1" ht="18.75" x14ac:dyDescent="0.3">
      <c r="A26" s="1">
        <v>25</v>
      </c>
      <c r="B26" s="60">
        <v>69</v>
      </c>
      <c r="C26" s="13" t="s">
        <v>46</v>
      </c>
      <c r="D26" s="50" t="s">
        <v>47</v>
      </c>
      <c r="E26" s="13" t="s">
        <v>77</v>
      </c>
      <c r="F26" s="5">
        <f>'[2]Removed Saddle Values'!G26*2.54</f>
        <v>177.8</v>
      </c>
      <c r="G26" s="5">
        <v>68.5</v>
      </c>
      <c r="H26" s="5">
        <f t="shared" si="1"/>
        <v>21.668410683760143</v>
      </c>
      <c r="I26" s="13">
        <v>0</v>
      </c>
      <c r="J26" s="13">
        <v>2</v>
      </c>
      <c r="K26" s="13">
        <v>1</v>
      </c>
      <c r="L26" s="13">
        <v>0</v>
      </c>
      <c r="M26" s="13">
        <v>68</v>
      </c>
      <c r="N26" s="13">
        <v>0</v>
      </c>
      <c r="O26" s="13">
        <v>124</v>
      </c>
      <c r="P26" s="13">
        <v>0</v>
      </c>
      <c r="Q26" s="13">
        <v>18</v>
      </c>
      <c r="R26" s="13">
        <v>0</v>
      </c>
      <c r="S26" s="5">
        <v>98.4</v>
      </c>
      <c r="T26" s="13">
        <v>0</v>
      </c>
      <c r="U26" s="13">
        <v>97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1</v>
      </c>
      <c r="AP26" s="13">
        <v>1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23.8</v>
      </c>
      <c r="AX26" s="51">
        <f>3.89/3.66</f>
        <v>1.0628415300546448</v>
      </c>
      <c r="AY26" s="31">
        <v>0</v>
      </c>
      <c r="AZ26" s="31">
        <v>0</v>
      </c>
      <c r="BA26" s="31">
        <v>1</v>
      </c>
      <c r="BB26" s="51">
        <f>3.4/3.61</f>
        <v>0.94182825484764543</v>
      </c>
      <c r="BC26" s="31">
        <v>1</v>
      </c>
      <c r="BD26" s="31">
        <v>1</v>
      </c>
      <c r="BE26" s="31"/>
      <c r="BF26" s="13">
        <v>0</v>
      </c>
      <c r="BG26" s="13" t="s">
        <v>48</v>
      </c>
      <c r="BH26" s="13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 t="s">
        <v>48</v>
      </c>
      <c r="BQ26" s="13" t="s">
        <v>48</v>
      </c>
      <c r="BR26" s="13">
        <v>0</v>
      </c>
      <c r="BS26" s="13" t="s">
        <v>48</v>
      </c>
      <c r="BT26" s="13">
        <v>0</v>
      </c>
      <c r="BU26" s="13">
        <v>0</v>
      </c>
      <c r="BV26" s="61" t="s">
        <v>50</v>
      </c>
      <c r="BW26" s="99">
        <v>0</v>
      </c>
      <c r="BX26" s="13">
        <v>0</v>
      </c>
      <c r="BY26" s="13">
        <v>0</v>
      </c>
      <c r="BZ26" s="13">
        <v>0</v>
      </c>
      <c r="CA26" s="13">
        <v>0</v>
      </c>
      <c r="CB26" s="34" t="s">
        <v>54</v>
      </c>
    </row>
    <row r="27" spans="1:80" s="65" customFormat="1" ht="18.75" x14ac:dyDescent="0.3">
      <c r="A27" s="1">
        <v>26</v>
      </c>
      <c r="B27" s="60">
        <v>65</v>
      </c>
      <c r="C27" s="13" t="s">
        <v>46</v>
      </c>
      <c r="D27" s="50" t="s">
        <v>53</v>
      </c>
      <c r="E27" s="13" t="s">
        <v>83</v>
      </c>
      <c r="F27" s="5">
        <f>'[2]Removed Saddle Values'!G27*2.54</f>
        <v>185.42000000000002</v>
      </c>
      <c r="G27" s="5">
        <v>113.5</v>
      </c>
      <c r="H27" s="5">
        <f t="shared" si="1"/>
        <v>33.012826393451618</v>
      </c>
      <c r="I27" s="13">
        <v>1</v>
      </c>
      <c r="J27" s="13">
        <v>3</v>
      </c>
      <c r="K27" s="13">
        <v>2</v>
      </c>
      <c r="L27" s="13">
        <v>0</v>
      </c>
      <c r="M27" s="13">
        <v>74</v>
      </c>
      <c r="N27" s="13">
        <v>0</v>
      </c>
      <c r="O27" s="13">
        <v>142</v>
      </c>
      <c r="P27" s="13">
        <v>0</v>
      </c>
      <c r="Q27" s="13">
        <v>24</v>
      </c>
      <c r="R27" s="13">
        <v>0</v>
      </c>
      <c r="S27" s="5">
        <v>98.3</v>
      </c>
      <c r="T27" s="13">
        <v>0</v>
      </c>
      <c r="U27" s="13">
        <v>96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1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1</v>
      </c>
      <c r="AM27" s="13">
        <v>0</v>
      </c>
      <c r="AN27" s="13">
        <v>0</v>
      </c>
      <c r="AO27" s="13">
        <v>1</v>
      </c>
      <c r="AP27" s="13">
        <v>1</v>
      </c>
      <c r="AQ27" s="13">
        <v>0</v>
      </c>
      <c r="AR27" s="13">
        <v>0</v>
      </c>
      <c r="AS27" s="13">
        <v>1</v>
      </c>
      <c r="AT27" s="13">
        <v>1</v>
      </c>
      <c r="AU27" s="13">
        <v>1</v>
      </c>
      <c r="AV27" s="13">
        <v>0</v>
      </c>
      <c r="AW27" s="13">
        <v>42.7</v>
      </c>
      <c r="AX27" s="51">
        <f>3.73/3.66</f>
        <v>1.0191256830601092</v>
      </c>
      <c r="AY27" s="31">
        <v>0</v>
      </c>
      <c r="AZ27" s="31">
        <v>0</v>
      </c>
      <c r="BA27" s="31">
        <v>1</v>
      </c>
      <c r="BB27" s="51">
        <f>2.91/4.3</f>
        <v>0.67674418604651165</v>
      </c>
      <c r="BC27" s="31">
        <v>2</v>
      </c>
      <c r="BD27" s="31">
        <v>1</v>
      </c>
      <c r="BE27" s="31"/>
      <c r="BF27" s="13">
        <v>0</v>
      </c>
      <c r="BG27" s="13" t="s">
        <v>48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 t="s">
        <v>48</v>
      </c>
      <c r="BQ27" s="13" t="s">
        <v>48</v>
      </c>
      <c r="BR27" s="13">
        <v>0</v>
      </c>
      <c r="BS27" s="13" t="s">
        <v>48</v>
      </c>
      <c r="BT27" s="13">
        <v>0</v>
      </c>
      <c r="BU27" s="13">
        <v>0</v>
      </c>
      <c r="BV27" s="61" t="s">
        <v>50</v>
      </c>
      <c r="BW27" s="99">
        <v>0</v>
      </c>
      <c r="BX27" s="13">
        <v>0</v>
      </c>
      <c r="BY27" s="13">
        <v>0</v>
      </c>
      <c r="BZ27" s="13">
        <v>0</v>
      </c>
      <c r="CA27" s="13">
        <v>0</v>
      </c>
      <c r="CB27" s="34" t="s">
        <v>54</v>
      </c>
    </row>
    <row r="28" spans="1:80" s="53" customFormat="1" ht="18.75" x14ac:dyDescent="0.3">
      <c r="A28" s="1">
        <v>27</v>
      </c>
      <c r="B28" s="60">
        <v>55</v>
      </c>
      <c r="C28" s="13" t="s">
        <v>46</v>
      </c>
      <c r="D28" s="50" t="s">
        <v>47</v>
      </c>
      <c r="E28" s="13" t="s">
        <v>85</v>
      </c>
      <c r="F28" s="5">
        <f>'[2]Removed Saddle Values'!G28*2.54</f>
        <v>172.72</v>
      </c>
      <c r="G28" s="5">
        <v>87</v>
      </c>
      <c r="H28" s="5">
        <f t="shared" si="1"/>
        <v>29.16312060997824</v>
      </c>
      <c r="I28" s="13">
        <v>0</v>
      </c>
      <c r="J28" s="13">
        <v>2</v>
      </c>
      <c r="K28" s="13">
        <v>2</v>
      </c>
      <c r="L28" s="13">
        <v>0</v>
      </c>
      <c r="M28" s="13">
        <v>98</v>
      </c>
      <c r="N28" s="13">
        <v>0</v>
      </c>
      <c r="O28" s="13">
        <v>112</v>
      </c>
      <c r="P28" s="13">
        <v>0</v>
      </c>
      <c r="Q28" s="13">
        <v>20</v>
      </c>
      <c r="R28" s="13">
        <v>0</v>
      </c>
      <c r="S28" s="5">
        <v>98.1</v>
      </c>
      <c r="T28" s="13">
        <v>0</v>
      </c>
      <c r="U28" s="13">
        <v>94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1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1</v>
      </c>
      <c r="AP28" s="13">
        <v>1</v>
      </c>
      <c r="AQ28" s="13">
        <v>1</v>
      </c>
      <c r="AR28" s="13">
        <v>1</v>
      </c>
      <c r="AS28" s="13">
        <v>1</v>
      </c>
      <c r="AT28" s="13">
        <v>1</v>
      </c>
      <c r="AU28" s="13">
        <v>1</v>
      </c>
      <c r="AV28" s="13">
        <v>0</v>
      </c>
      <c r="AW28" s="13" t="s">
        <v>192</v>
      </c>
      <c r="AX28" s="51">
        <f>5/4.83</f>
        <v>1.0351966873706004</v>
      </c>
      <c r="AY28" s="31">
        <v>0</v>
      </c>
      <c r="AZ28" s="31">
        <v>0</v>
      </c>
      <c r="BA28" s="31">
        <v>1</v>
      </c>
      <c r="BB28" s="51">
        <f>3.12/3.01</f>
        <v>1.036544850498339</v>
      </c>
      <c r="BC28" s="31">
        <v>4</v>
      </c>
      <c r="BD28" s="31">
        <v>1</v>
      </c>
      <c r="BE28" s="31"/>
      <c r="BF28" s="13">
        <v>1</v>
      </c>
      <c r="BG28" s="13" t="s">
        <v>152</v>
      </c>
      <c r="BH28" s="13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0</v>
      </c>
      <c r="BQ28" s="13">
        <v>1</v>
      </c>
      <c r="BR28" s="13">
        <v>0</v>
      </c>
      <c r="BS28" s="13" t="s">
        <v>48</v>
      </c>
      <c r="BT28" s="13">
        <v>0</v>
      </c>
      <c r="BU28" s="13">
        <v>1</v>
      </c>
      <c r="BV28" s="61" t="s">
        <v>149</v>
      </c>
      <c r="BW28" s="99">
        <v>0</v>
      </c>
      <c r="BX28" s="13">
        <v>0</v>
      </c>
      <c r="BY28" s="13">
        <v>0</v>
      </c>
      <c r="BZ28" s="13">
        <v>0</v>
      </c>
      <c r="CA28" s="13">
        <v>0</v>
      </c>
      <c r="CB28" s="34" t="s">
        <v>61</v>
      </c>
    </row>
    <row r="29" spans="1:80" s="65" customFormat="1" ht="18.75" x14ac:dyDescent="0.3">
      <c r="A29" s="1">
        <v>28</v>
      </c>
      <c r="B29" s="60">
        <v>68</v>
      </c>
      <c r="C29" s="13" t="s">
        <v>46</v>
      </c>
      <c r="D29" s="50" t="s">
        <v>47</v>
      </c>
      <c r="E29" s="13" t="s">
        <v>98</v>
      </c>
      <c r="F29" s="5">
        <f>'[2]Removed Saddle Values'!G29*2.54</f>
        <v>182.88</v>
      </c>
      <c r="G29" s="5">
        <v>89.4</v>
      </c>
      <c r="H29" s="5">
        <f t="shared" si="1"/>
        <v>26.730377534829145</v>
      </c>
      <c r="I29" s="13">
        <v>0</v>
      </c>
      <c r="J29" s="13">
        <v>2</v>
      </c>
      <c r="K29" s="13">
        <v>2</v>
      </c>
      <c r="L29" s="13">
        <v>0</v>
      </c>
      <c r="M29" s="13">
        <v>108</v>
      </c>
      <c r="N29" s="13">
        <v>0</v>
      </c>
      <c r="O29" s="13">
        <v>107</v>
      </c>
      <c r="P29" s="13">
        <v>0</v>
      </c>
      <c r="Q29" s="13">
        <v>18</v>
      </c>
      <c r="R29" s="13">
        <v>0</v>
      </c>
      <c r="S29" s="5">
        <v>98.1</v>
      </c>
      <c r="T29" s="13">
        <v>0</v>
      </c>
      <c r="U29" s="13">
        <v>97</v>
      </c>
      <c r="V29" s="13">
        <v>1</v>
      </c>
      <c r="W29" s="13">
        <v>0</v>
      </c>
      <c r="X29" s="13">
        <v>1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1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1</v>
      </c>
      <c r="AP29" s="13">
        <v>1</v>
      </c>
      <c r="AQ29" s="13">
        <v>0</v>
      </c>
      <c r="AR29" s="13">
        <v>1</v>
      </c>
      <c r="AS29" s="13">
        <v>1</v>
      </c>
      <c r="AT29" s="13">
        <v>1</v>
      </c>
      <c r="AU29" s="13">
        <v>1</v>
      </c>
      <c r="AV29" s="13">
        <v>0</v>
      </c>
      <c r="AW29" s="13">
        <v>45</v>
      </c>
      <c r="AX29" s="51">
        <f>4.04/4.13</f>
        <v>0.97820823244552058</v>
      </c>
      <c r="AY29" s="31">
        <v>0</v>
      </c>
      <c r="AZ29" s="31">
        <v>0</v>
      </c>
      <c r="BA29" s="31">
        <v>1</v>
      </c>
      <c r="BB29" s="51">
        <f>2.76/3.32</f>
        <v>0.83132530120481929</v>
      </c>
      <c r="BC29" s="31">
        <v>1</v>
      </c>
      <c r="BD29" s="31">
        <v>0</v>
      </c>
      <c r="BE29" s="31"/>
      <c r="BF29" s="13">
        <v>0</v>
      </c>
      <c r="BG29" s="13" t="s">
        <v>48</v>
      </c>
      <c r="BH29" s="13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0</v>
      </c>
      <c r="BQ29" s="13">
        <v>1</v>
      </c>
      <c r="BR29" s="13">
        <v>0</v>
      </c>
      <c r="BS29" s="13" t="s">
        <v>48</v>
      </c>
      <c r="BT29" s="13">
        <v>0</v>
      </c>
      <c r="BU29" s="13">
        <v>0</v>
      </c>
      <c r="BV29" s="61" t="s">
        <v>50</v>
      </c>
      <c r="BW29" s="99">
        <v>0</v>
      </c>
      <c r="BX29" s="13">
        <v>0</v>
      </c>
      <c r="BY29" s="13">
        <v>0</v>
      </c>
      <c r="BZ29" s="13">
        <v>0</v>
      </c>
      <c r="CA29" s="13">
        <v>0</v>
      </c>
      <c r="CB29" s="34" t="s">
        <v>62</v>
      </c>
    </row>
    <row r="30" spans="1:80" s="65" customFormat="1" ht="18.75" x14ac:dyDescent="0.3">
      <c r="A30" s="1">
        <v>29</v>
      </c>
      <c r="B30" s="60">
        <v>59</v>
      </c>
      <c r="C30" s="13" t="s">
        <v>52</v>
      </c>
      <c r="D30" s="50" t="s">
        <v>47</v>
      </c>
      <c r="E30" s="13" t="s">
        <v>77</v>
      </c>
      <c r="F30" s="5">
        <f>'[2]Removed Saddle Values'!G30*2.54</f>
        <v>162.56</v>
      </c>
      <c r="G30" s="5">
        <v>73.650000000000006</v>
      </c>
      <c r="H30" s="5">
        <f t="shared" si="1"/>
        <v>27.870539139515781</v>
      </c>
      <c r="I30" s="13">
        <v>0</v>
      </c>
      <c r="J30" s="13">
        <v>1</v>
      </c>
      <c r="K30" s="13">
        <v>1</v>
      </c>
      <c r="L30" s="13">
        <v>0</v>
      </c>
      <c r="M30" s="13">
        <v>104</v>
      </c>
      <c r="N30" s="13">
        <v>0</v>
      </c>
      <c r="O30" s="13">
        <v>128</v>
      </c>
      <c r="P30" s="13">
        <v>0</v>
      </c>
      <c r="Q30" s="13">
        <v>18</v>
      </c>
      <c r="R30" s="13">
        <v>0</v>
      </c>
      <c r="S30" s="5">
        <v>97.5</v>
      </c>
      <c r="T30" s="13">
        <v>0</v>
      </c>
      <c r="U30" s="13">
        <v>97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1</v>
      </c>
      <c r="AM30" s="13">
        <v>0</v>
      </c>
      <c r="AN30" s="13">
        <v>0</v>
      </c>
      <c r="AO30" s="13">
        <v>1</v>
      </c>
      <c r="AP30" s="13">
        <v>1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 t="s">
        <v>192</v>
      </c>
      <c r="AX30" s="51">
        <f>2.97/4.25</f>
        <v>0.69882352941176473</v>
      </c>
      <c r="AY30" s="31">
        <v>0</v>
      </c>
      <c r="AZ30" s="31">
        <v>0</v>
      </c>
      <c r="BA30" s="31">
        <v>0</v>
      </c>
      <c r="BB30" s="51">
        <f>2.65/3.26</f>
        <v>0.81288343558282217</v>
      </c>
      <c r="BC30" s="31">
        <v>1</v>
      </c>
      <c r="BD30" s="31">
        <v>0</v>
      </c>
      <c r="BE30" s="31"/>
      <c r="BF30" s="13">
        <v>0</v>
      </c>
      <c r="BG30" s="13" t="s">
        <v>48</v>
      </c>
      <c r="BH30" s="13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 t="s">
        <v>48</v>
      </c>
      <c r="BQ30" s="13" t="s">
        <v>48</v>
      </c>
      <c r="BR30" s="13">
        <v>0</v>
      </c>
      <c r="BS30" s="13" t="s">
        <v>48</v>
      </c>
      <c r="BT30" s="13">
        <v>0</v>
      </c>
      <c r="BU30" s="13">
        <v>0</v>
      </c>
      <c r="BV30" s="61" t="s">
        <v>50</v>
      </c>
      <c r="BW30" s="99">
        <v>0</v>
      </c>
      <c r="BX30" s="13">
        <v>0</v>
      </c>
      <c r="BY30" s="13">
        <v>0</v>
      </c>
      <c r="BZ30" s="13">
        <v>0</v>
      </c>
      <c r="CA30" s="13">
        <v>0</v>
      </c>
      <c r="CB30" s="34" t="s">
        <v>153</v>
      </c>
    </row>
    <row r="31" spans="1:80" s="53" customFormat="1" ht="18.75" x14ac:dyDescent="0.3">
      <c r="A31" s="1">
        <v>30</v>
      </c>
      <c r="B31" s="60">
        <v>62</v>
      </c>
      <c r="C31" s="13" t="s">
        <v>46</v>
      </c>
      <c r="D31" s="50" t="s">
        <v>47</v>
      </c>
      <c r="E31" s="13" t="s">
        <v>109</v>
      </c>
      <c r="F31" s="5">
        <f>'[2]Removed Saddle Values'!G31*2.54</f>
        <v>165.1</v>
      </c>
      <c r="G31" s="5">
        <v>88.5</v>
      </c>
      <c r="H31" s="5">
        <f t="shared" si="1"/>
        <v>32.467520556342883</v>
      </c>
      <c r="I31" s="13">
        <v>0</v>
      </c>
      <c r="J31" s="13">
        <v>2</v>
      </c>
      <c r="K31" s="13">
        <v>2</v>
      </c>
      <c r="L31" s="13">
        <v>0</v>
      </c>
      <c r="M31" s="13">
        <v>102</v>
      </c>
      <c r="N31" s="13">
        <v>0</v>
      </c>
      <c r="O31" s="13">
        <v>133</v>
      </c>
      <c r="P31" s="13">
        <v>0</v>
      </c>
      <c r="Q31" s="13">
        <v>18</v>
      </c>
      <c r="R31" s="13">
        <v>0</v>
      </c>
      <c r="S31" s="5">
        <v>98.5</v>
      </c>
      <c r="T31" s="13">
        <v>0</v>
      </c>
      <c r="U31" s="13">
        <v>98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 t="s">
        <v>48</v>
      </c>
      <c r="AP31" s="13" t="s">
        <v>48</v>
      </c>
      <c r="AQ31" s="13" t="s">
        <v>48</v>
      </c>
      <c r="AR31" s="13">
        <v>0</v>
      </c>
      <c r="AS31" s="13">
        <v>1</v>
      </c>
      <c r="AT31" s="13">
        <v>1</v>
      </c>
      <c r="AU31" s="13">
        <v>1</v>
      </c>
      <c r="AV31" s="13">
        <v>0</v>
      </c>
      <c r="AW31" s="13">
        <v>51.5</v>
      </c>
      <c r="AX31" s="51">
        <f>5.35/4.19</f>
        <v>1.276849642004773</v>
      </c>
      <c r="AY31" s="31">
        <v>0</v>
      </c>
      <c r="AZ31" s="31">
        <v>0</v>
      </c>
      <c r="BA31" s="31">
        <v>1</v>
      </c>
      <c r="BB31" s="51">
        <f>2.74/2.91</f>
        <v>0.94158075601374569</v>
      </c>
      <c r="BC31" s="31">
        <v>1</v>
      </c>
      <c r="BD31" s="31">
        <v>1</v>
      </c>
      <c r="BE31" s="31"/>
      <c r="BF31" s="13">
        <v>0</v>
      </c>
      <c r="BG31" s="13" t="s">
        <v>48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 t="s">
        <v>48</v>
      </c>
      <c r="BQ31" s="13" t="s">
        <v>48</v>
      </c>
      <c r="BR31" s="13">
        <v>0</v>
      </c>
      <c r="BS31" s="13" t="s">
        <v>48</v>
      </c>
      <c r="BT31" s="13">
        <v>0</v>
      </c>
      <c r="BU31" s="13">
        <v>0</v>
      </c>
      <c r="BV31" s="61" t="s">
        <v>50</v>
      </c>
      <c r="BW31" s="99">
        <v>0</v>
      </c>
      <c r="BX31" s="13">
        <v>0</v>
      </c>
      <c r="BY31" s="13">
        <v>1</v>
      </c>
      <c r="BZ31" s="13">
        <v>0</v>
      </c>
      <c r="CA31" s="13">
        <v>0</v>
      </c>
      <c r="CB31" s="34" t="s">
        <v>62</v>
      </c>
    </row>
    <row r="32" spans="1:80" s="65" customFormat="1" ht="18.75" x14ac:dyDescent="0.3">
      <c r="A32" s="1">
        <v>31</v>
      </c>
      <c r="B32" s="60">
        <v>73</v>
      </c>
      <c r="C32" s="13" t="s">
        <v>46</v>
      </c>
      <c r="D32" s="50" t="s">
        <v>47</v>
      </c>
      <c r="E32" s="13" t="s">
        <v>85</v>
      </c>
      <c r="F32" s="5">
        <f>'[2]Removed Saddle Values'!G32*2.54</f>
        <v>182.88</v>
      </c>
      <c r="G32" s="5">
        <v>106.6</v>
      </c>
      <c r="H32" s="5">
        <f t="shared" si="1"/>
        <v>31.873134733923788</v>
      </c>
      <c r="I32" s="13">
        <v>1</v>
      </c>
      <c r="J32" s="13">
        <v>5</v>
      </c>
      <c r="K32" s="13">
        <v>2</v>
      </c>
      <c r="L32" s="13">
        <v>1</v>
      </c>
      <c r="M32" s="13">
        <v>130</v>
      </c>
      <c r="N32" s="13">
        <v>0</v>
      </c>
      <c r="O32" s="13">
        <v>119</v>
      </c>
      <c r="P32" s="13">
        <v>0</v>
      </c>
      <c r="Q32" s="13">
        <v>25</v>
      </c>
      <c r="R32" s="13">
        <v>0</v>
      </c>
      <c r="S32" s="5">
        <v>97.1</v>
      </c>
      <c r="T32" s="13">
        <v>1</v>
      </c>
      <c r="U32" s="13" t="s">
        <v>48</v>
      </c>
      <c r="V32" s="13">
        <v>1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1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1</v>
      </c>
      <c r="AP32" s="13">
        <v>1</v>
      </c>
      <c r="AQ32" s="13">
        <v>0</v>
      </c>
      <c r="AR32" s="13">
        <v>0</v>
      </c>
      <c r="AS32" s="13">
        <v>1</v>
      </c>
      <c r="AT32" s="13">
        <v>0</v>
      </c>
      <c r="AU32" s="13">
        <v>0</v>
      </c>
      <c r="AV32" s="13">
        <v>0</v>
      </c>
      <c r="AW32" s="13" t="s">
        <v>192</v>
      </c>
      <c r="AX32" s="51">
        <f>5.97/4.06</f>
        <v>1.4704433497536946</v>
      </c>
      <c r="AY32" s="31">
        <v>0</v>
      </c>
      <c r="AZ32" s="31">
        <v>0</v>
      </c>
      <c r="BA32" s="31">
        <v>1</v>
      </c>
      <c r="BB32" s="51">
        <f>2.97/3.82</f>
        <v>0.77748691099476452</v>
      </c>
      <c r="BC32" s="31">
        <v>3</v>
      </c>
      <c r="BD32" s="31">
        <v>1</v>
      </c>
      <c r="BE32" s="31"/>
      <c r="BF32" s="13">
        <v>0</v>
      </c>
      <c r="BG32" s="13" t="s">
        <v>48</v>
      </c>
      <c r="BH32" s="13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3">
        <v>1</v>
      </c>
      <c r="BR32" s="13">
        <v>0</v>
      </c>
      <c r="BS32" s="13" t="s">
        <v>48</v>
      </c>
      <c r="BT32" s="13">
        <v>0</v>
      </c>
      <c r="BU32" s="13">
        <v>0</v>
      </c>
      <c r="BV32" s="61" t="s">
        <v>50</v>
      </c>
      <c r="BW32" s="99">
        <v>0</v>
      </c>
      <c r="BX32" s="13">
        <v>0</v>
      </c>
      <c r="BY32" s="13">
        <v>0</v>
      </c>
      <c r="BZ32" s="13">
        <v>0</v>
      </c>
      <c r="CA32" s="13">
        <v>0</v>
      </c>
      <c r="CB32" s="34" t="s">
        <v>54</v>
      </c>
    </row>
    <row r="33" spans="1:81" s="65" customFormat="1" ht="18.75" x14ac:dyDescent="0.3">
      <c r="A33" s="1">
        <v>32</v>
      </c>
      <c r="B33" s="60">
        <v>55</v>
      </c>
      <c r="C33" s="13" t="s">
        <v>52</v>
      </c>
      <c r="D33" s="50" t="s">
        <v>53</v>
      </c>
      <c r="E33" s="13" t="s">
        <v>146</v>
      </c>
      <c r="F33" s="5">
        <f>'[2]Removed Saddle Values'!G33*2.54</f>
        <v>149.86000000000001</v>
      </c>
      <c r="G33" s="5">
        <v>41</v>
      </c>
      <c r="H33" s="5">
        <f t="shared" si="1"/>
        <v>18.256284717108354</v>
      </c>
      <c r="I33" s="13">
        <v>1</v>
      </c>
      <c r="J33" s="13">
        <v>3</v>
      </c>
      <c r="K33" s="13">
        <v>3</v>
      </c>
      <c r="L33" s="13">
        <v>0</v>
      </c>
      <c r="M33" s="13">
        <v>108</v>
      </c>
      <c r="N33" s="13">
        <v>0</v>
      </c>
      <c r="O33" s="13">
        <v>101</v>
      </c>
      <c r="P33" s="13">
        <v>0</v>
      </c>
      <c r="Q33" s="13">
        <v>16</v>
      </c>
      <c r="R33" s="13">
        <v>0</v>
      </c>
      <c r="S33" s="5">
        <v>98.4</v>
      </c>
      <c r="T33" s="13">
        <v>0</v>
      </c>
      <c r="U33" s="13">
        <v>99</v>
      </c>
      <c r="V33" s="13">
        <v>0</v>
      </c>
      <c r="W33" s="13">
        <v>0</v>
      </c>
      <c r="X33" s="13">
        <v>0</v>
      </c>
      <c r="Y33" s="13">
        <v>0</v>
      </c>
      <c r="Z33" s="13">
        <v>1</v>
      </c>
      <c r="AA33" s="13">
        <v>1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1</v>
      </c>
      <c r="AH33" s="13">
        <v>0</v>
      </c>
      <c r="AI33" s="13">
        <v>0</v>
      </c>
      <c r="AJ33" s="13">
        <v>0</v>
      </c>
      <c r="AK33" s="13">
        <v>1</v>
      </c>
      <c r="AL33" s="13">
        <v>0</v>
      </c>
      <c r="AM33" s="13">
        <v>0</v>
      </c>
      <c r="AN33" s="13">
        <v>0</v>
      </c>
      <c r="AO33" s="13">
        <v>0</v>
      </c>
      <c r="AP33" s="13" t="s">
        <v>48</v>
      </c>
      <c r="AQ33" s="13" t="s">
        <v>48</v>
      </c>
      <c r="AR33" s="13" t="s">
        <v>48</v>
      </c>
      <c r="AS33" s="13">
        <v>1</v>
      </c>
      <c r="AT33" s="13">
        <v>1</v>
      </c>
      <c r="AU33" s="13">
        <v>1</v>
      </c>
      <c r="AV33" s="13">
        <v>0</v>
      </c>
      <c r="AW33" s="13">
        <v>60.3</v>
      </c>
      <c r="AX33" s="51">
        <f>3.28/3.35</f>
        <v>0.97910447761194019</v>
      </c>
      <c r="AY33" s="31">
        <v>0</v>
      </c>
      <c r="AZ33" s="31">
        <v>0</v>
      </c>
      <c r="BA33" s="31">
        <v>1</v>
      </c>
      <c r="BB33" s="51">
        <f>1.8/3.05</f>
        <v>0.59016393442622961</v>
      </c>
      <c r="BC33" s="31">
        <v>4</v>
      </c>
      <c r="BD33" s="31">
        <v>1</v>
      </c>
      <c r="BE33" s="31"/>
      <c r="BF33" s="13">
        <v>0</v>
      </c>
      <c r="BG33" s="13" t="s">
        <v>48</v>
      </c>
      <c r="BH33" s="13">
        <v>1</v>
      </c>
      <c r="BI33" s="13">
        <v>0</v>
      </c>
      <c r="BJ33" s="13">
        <v>0</v>
      </c>
      <c r="BK33" s="13">
        <v>1</v>
      </c>
      <c r="BL33" s="13">
        <v>1</v>
      </c>
      <c r="BM33" s="13">
        <v>1</v>
      </c>
      <c r="BN33" s="13">
        <v>0</v>
      </c>
      <c r="BO33" s="13">
        <v>0</v>
      </c>
      <c r="BP33" s="13" t="s">
        <v>48</v>
      </c>
      <c r="BQ33" s="13" t="s">
        <v>48</v>
      </c>
      <c r="BR33" s="13">
        <v>1</v>
      </c>
      <c r="BS33" s="13" t="s">
        <v>154</v>
      </c>
      <c r="BT33" s="13">
        <v>1</v>
      </c>
      <c r="BU33" s="13">
        <v>0</v>
      </c>
      <c r="BV33" s="61" t="s">
        <v>57</v>
      </c>
      <c r="BW33" s="99" t="s">
        <v>57</v>
      </c>
      <c r="BX33" s="13">
        <v>1</v>
      </c>
      <c r="BY33" s="13">
        <v>0</v>
      </c>
      <c r="BZ33" s="13">
        <v>0</v>
      </c>
      <c r="CA33" s="13">
        <v>0</v>
      </c>
      <c r="CB33" s="34" t="s">
        <v>60</v>
      </c>
    </row>
    <row r="34" spans="1:81" s="65" customFormat="1" ht="18.75" x14ac:dyDescent="0.3">
      <c r="A34" s="1">
        <v>33</v>
      </c>
      <c r="B34" s="60">
        <v>76</v>
      </c>
      <c r="C34" s="13" t="s">
        <v>52</v>
      </c>
      <c r="D34" s="50" t="s">
        <v>53</v>
      </c>
      <c r="E34" s="13" t="s">
        <v>130</v>
      </c>
      <c r="F34" s="5">
        <f>'[2]Removed Saddle Values'!G34*2.54</f>
        <v>165.1</v>
      </c>
      <c r="G34" s="5">
        <v>113.4</v>
      </c>
      <c r="H34" s="5">
        <f t="shared" si="1"/>
        <v>41.60245006880546</v>
      </c>
      <c r="I34" s="13">
        <v>1</v>
      </c>
      <c r="J34" s="13">
        <v>4</v>
      </c>
      <c r="K34" s="13">
        <v>2</v>
      </c>
      <c r="L34" s="13">
        <v>1</v>
      </c>
      <c r="M34" s="13">
        <v>110</v>
      </c>
      <c r="N34" s="13">
        <v>0</v>
      </c>
      <c r="O34" s="13">
        <v>145</v>
      </c>
      <c r="P34" s="13">
        <v>0</v>
      </c>
      <c r="Q34" s="13">
        <v>20</v>
      </c>
      <c r="R34" s="13">
        <v>0</v>
      </c>
      <c r="S34" s="5">
        <v>98.1</v>
      </c>
      <c r="T34" s="13">
        <v>0</v>
      </c>
      <c r="U34" s="13">
        <v>91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1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1</v>
      </c>
      <c r="AP34" s="13">
        <v>1</v>
      </c>
      <c r="AQ34" s="13">
        <v>1</v>
      </c>
      <c r="AR34" s="13">
        <v>0</v>
      </c>
      <c r="AS34" s="13">
        <v>1</v>
      </c>
      <c r="AT34" s="13">
        <v>1</v>
      </c>
      <c r="AU34" s="13">
        <v>1</v>
      </c>
      <c r="AV34" s="13">
        <v>0</v>
      </c>
      <c r="AW34" s="13">
        <v>67.8</v>
      </c>
      <c r="AX34" s="51">
        <f>4.99/3.01</f>
        <v>1.6578073089700998</v>
      </c>
      <c r="AY34" s="31">
        <v>0</v>
      </c>
      <c r="AZ34" s="31">
        <v>0</v>
      </c>
      <c r="BA34" s="31">
        <v>1</v>
      </c>
      <c r="BB34" s="51">
        <f>3.9/3.46</f>
        <v>1.1271676300578035</v>
      </c>
      <c r="BC34" s="31">
        <v>2</v>
      </c>
      <c r="BD34" s="31">
        <v>1</v>
      </c>
      <c r="BE34" s="31"/>
      <c r="BF34" s="13">
        <v>0</v>
      </c>
      <c r="BG34" s="13" t="s">
        <v>48</v>
      </c>
      <c r="BH34" s="13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0</v>
      </c>
      <c r="BQ34" s="13">
        <v>0</v>
      </c>
      <c r="BR34" s="13">
        <v>0</v>
      </c>
      <c r="BS34" s="13" t="s">
        <v>48</v>
      </c>
      <c r="BT34" s="13">
        <v>0</v>
      </c>
      <c r="BU34" s="13">
        <v>0</v>
      </c>
      <c r="BV34" s="61" t="s">
        <v>50</v>
      </c>
      <c r="BW34" s="99">
        <v>0</v>
      </c>
      <c r="BX34" s="13" t="s">
        <v>48</v>
      </c>
      <c r="BY34" s="13">
        <v>0</v>
      </c>
      <c r="BZ34" s="13">
        <v>0</v>
      </c>
      <c r="CA34" s="13">
        <v>0</v>
      </c>
      <c r="CB34" s="34" t="s">
        <v>54</v>
      </c>
    </row>
    <row r="35" spans="1:81" s="65" customFormat="1" ht="18.75" x14ac:dyDescent="0.3">
      <c r="A35" s="1">
        <v>34</v>
      </c>
      <c r="B35" s="60">
        <v>72</v>
      </c>
      <c r="C35" s="13" t="s">
        <v>52</v>
      </c>
      <c r="D35" s="50" t="s">
        <v>53</v>
      </c>
      <c r="E35" s="13" t="s">
        <v>83</v>
      </c>
      <c r="F35" s="5">
        <f>'[2]Removed Saddle Values'!G35*2.54</f>
        <v>160.02000000000001</v>
      </c>
      <c r="G35" s="5">
        <v>97.5</v>
      </c>
      <c r="H35" s="5">
        <f t="shared" si="1"/>
        <v>38.076417800605817</v>
      </c>
      <c r="I35" s="13">
        <v>1</v>
      </c>
      <c r="J35" s="13">
        <v>4</v>
      </c>
      <c r="K35" s="13">
        <v>2</v>
      </c>
      <c r="L35" s="13">
        <v>1</v>
      </c>
      <c r="M35" s="13">
        <v>110</v>
      </c>
      <c r="N35" s="13">
        <v>0</v>
      </c>
      <c r="O35" s="13">
        <v>140</v>
      </c>
      <c r="P35" s="13">
        <v>0</v>
      </c>
      <c r="Q35" s="13">
        <v>20</v>
      </c>
      <c r="R35" s="13">
        <v>0</v>
      </c>
      <c r="S35" s="5">
        <v>98.3</v>
      </c>
      <c r="T35" s="13">
        <v>1</v>
      </c>
      <c r="U35" s="13">
        <v>60</v>
      </c>
      <c r="V35" s="13">
        <v>1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1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 t="s">
        <v>48</v>
      </c>
      <c r="AP35" s="13" t="s">
        <v>48</v>
      </c>
      <c r="AQ35" s="13">
        <v>0</v>
      </c>
      <c r="AR35" s="13">
        <v>1</v>
      </c>
      <c r="AS35" s="13" t="s">
        <v>48</v>
      </c>
      <c r="AT35" s="13" t="s">
        <v>48</v>
      </c>
      <c r="AU35" s="13" t="s">
        <v>48</v>
      </c>
      <c r="AV35" s="13" t="s">
        <v>48</v>
      </c>
      <c r="AW35" s="13" t="s">
        <v>48</v>
      </c>
      <c r="AX35" s="51">
        <f>5.44/4.65</f>
        <v>1.1698924731182796</v>
      </c>
      <c r="AY35" s="31">
        <v>0</v>
      </c>
      <c r="AZ35" s="31">
        <v>0</v>
      </c>
      <c r="BA35" s="31">
        <v>1</v>
      </c>
      <c r="BB35" s="51">
        <f>3.94/3.78</f>
        <v>1.0423280423280423</v>
      </c>
      <c r="BC35" s="31">
        <v>4</v>
      </c>
      <c r="BD35" s="31">
        <v>1</v>
      </c>
      <c r="BE35" s="31"/>
      <c r="BF35" s="13">
        <v>0</v>
      </c>
      <c r="BG35" s="13" t="s">
        <v>48</v>
      </c>
      <c r="BH35" s="13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3">
        <v>1</v>
      </c>
      <c r="BR35" s="13">
        <v>0</v>
      </c>
      <c r="BS35" s="13" t="s">
        <v>48</v>
      </c>
      <c r="BT35" s="13">
        <v>0</v>
      </c>
      <c r="BU35" s="13">
        <v>1</v>
      </c>
      <c r="BV35" s="61" t="s">
        <v>50</v>
      </c>
      <c r="BW35" s="99">
        <v>0</v>
      </c>
      <c r="BX35" s="13">
        <v>1</v>
      </c>
      <c r="BY35" s="13">
        <v>0</v>
      </c>
      <c r="BZ35" s="13">
        <v>0</v>
      </c>
      <c r="CA35" s="13">
        <v>0</v>
      </c>
      <c r="CB35" s="34" t="s">
        <v>54</v>
      </c>
    </row>
    <row r="36" spans="1:81" s="65" customFormat="1" ht="18.75" x14ac:dyDescent="0.3">
      <c r="A36" s="1">
        <v>35</v>
      </c>
      <c r="B36" s="60">
        <v>73</v>
      </c>
      <c r="C36" s="13" t="s">
        <v>46</v>
      </c>
      <c r="D36" s="50" t="s">
        <v>47</v>
      </c>
      <c r="E36" s="13" t="s">
        <v>109</v>
      </c>
      <c r="F36" s="5">
        <f>'[2]Removed Saddle Values'!G36*2.54</f>
        <v>175.26</v>
      </c>
      <c r="G36" s="5">
        <v>77.099999999999994</v>
      </c>
      <c r="H36" s="5">
        <f t="shared" si="1"/>
        <v>25.100869357378286</v>
      </c>
      <c r="I36" s="13">
        <v>1</v>
      </c>
      <c r="J36" s="13">
        <v>4</v>
      </c>
      <c r="K36" s="13">
        <v>2</v>
      </c>
      <c r="L36" s="13">
        <v>0</v>
      </c>
      <c r="M36" s="13">
        <v>83</v>
      </c>
      <c r="N36" s="13">
        <v>0</v>
      </c>
      <c r="O36" s="13">
        <v>198</v>
      </c>
      <c r="P36" s="13">
        <v>0</v>
      </c>
      <c r="Q36" s="13">
        <v>17</v>
      </c>
      <c r="R36" s="13">
        <v>0</v>
      </c>
      <c r="S36" s="5">
        <v>98.1</v>
      </c>
      <c r="T36" s="13">
        <v>0</v>
      </c>
      <c r="U36" s="13">
        <v>98</v>
      </c>
      <c r="V36" s="13">
        <v>0</v>
      </c>
      <c r="W36" s="13">
        <v>0</v>
      </c>
      <c r="X36" s="13">
        <v>0</v>
      </c>
      <c r="Y36" s="13">
        <v>0</v>
      </c>
      <c r="Z36" s="13">
        <v>1</v>
      </c>
      <c r="AA36" s="13">
        <v>1</v>
      </c>
      <c r="AB36" s="13">
        <v>0</v>
      </c>
      <c r="AC36" s="13">
        <v>0</v>
      </c>
      <c r="AD36" s="13">
        <v>0</v>
      </c>
      <c r="AE36" s="13">
        <v>1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1</v>
      </c>
      <c r="AP36" s="13">
        <v>1</v>
      </c>
      <c r="AQ36" s="13">
        <v>0</v>
      </c>
      <c r="AR36" s="13">
        <v>0</v>
      </c>
      <c r="AS36" s="13">
        <v>1</v>
      </c>
      <c r="AT36" s="13">
        <v>0</v>
      </c>
      <c r="AU36" s="13">
        <v>0</v>
      </c>
      <c r="AV36" s="13">
        <v>0</v>
      </c>
      <c r="AW36" s="13">
        <v>31.6</v>
      </c>
      <c r="AX36" s="51">
        <f>5.62/5.35</f>
        <v>1.0504672897196263</v>
      </c>
      <c r="AY36" s="31">
        <v>0</v>
      </c>
      <c r="AZ36" s="31">
        <v>0</v>
      </c>
      <c r="BA36" s="31">
        <v>1</v>
      </c>
      <c r="BB36" s="51">
        <f>3.44/3.68</f>
        <v>0.93478260869565211</v>
      </c>
      <c r="BC36" s="31">
        <v>1</v>
      </c>
      <c r="BD36" s="31">
        <v>0</v>
      </c>
      <c r="BE36" s="31"/>
      <c r="BF36" s="13">
        <v>0</v>
      </c>
      <c r="BG36" s="13" t="s">
        <v>48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 t="s">
        <v>48</v>
      </c>
      <c r="BQ36" s="13" t="s">
        <v>48</v>
      </c>
      <c r="BR36" s="13">
        <v>0</v>
      </c>
      <c r="BS36" s="13" t="s">
        <v>48</v>
      </c>
      <c r="BT36" s="13">
        <v>0</v>
      </c>
      <c r="BU36" s="13">
        <v>0</v>
      </c>
      <c r="BV36" s="61" t="s">
        <v>50</v>
      </c>
      <c r="BW36" s="99">
        <v>0</v>
      </c>
      <c r="BX36" s="13">
        <v>0</v>
      </c>
      <c r="BY36" s="13">
        <v>0</v>
      </c>
      <c r="BZ36" s="13">
        <v>0</v>
      </c>
      <c r="CA36" s="13">
        <v>0</v>
      </c>
      <c r="CB36" s="34" t="s">
        <v>60</v>
      </c>
    </row>
    <row r="37" spans="1:81" s="65" customFormat="1" ht="18.75" x14ac:dyDescent="0.3">
      <c r="A37" s="1">
        <v>36</v>
      </c>
      <c r="B37" s="60">
        <v>72</v>
      </c>
      <c r="C37" s="13" t="s">
        <v>52</v>
      </c>
      <c r="D37" s="50" t="s">
        <v>47</v>
      </c>
      <c r="E37" s="13" t="s">
        <v>85</v>
      </c>
      <c r="F37" s="5">
        <f>'[2]Removed Saddle Values'!G37*2.54</f>
        <v>160.02000000000001</v>
      </c>
      <c r="G37" s="5">
        <v>99.5</v>
      </c>
      <c r="H37" s="5">
        <f t="shared" si="1"/>
        <v>38.857472524720812</v>
      </c>
      <c r="I37" s="13">
        <v>1</v>
      </c>
      <c r="J37" s="13">
        <v>3</v>
      </c>
      <c r="K37" s="13">
        <v>2</v>
      </c>
      <c r="L37" s="13">
        <v>1</v>
      </c>
      <c r="M37" s="13">
        <v>111</v>
      </c>
      <c r="N37" s="13">
        <v>0</v>
      </c>
      <c r="O37" s="13">
        <v>137</v>
      </c>
      <c r="P37" s="13">
        <v>0</v>
      </c>
      <c r="Q37" s="13">
        <v>20</v>
      </c>
      <c r="R37" s="13">
        <v>0</v>
      </c>
      <c r="S37" s="5">
        <v>97.7</v>
      </c>
      <c r="T37" s="13">
        <v>0</v>
      </c>
      <c r="U37" s="13">
        <v>95</v>
      </c>
      <c r="V37" s="13">
        <v>1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1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1</v>
      </c>
      <c r="AP37" s="13">
        <v>1</v>
      </c>
      <c r="AQ37" s="13">
        <v>0</v>
      </c>
      <c r="AR37" s="13">
        <v>1</v>
      </c>
      <c r="AS37" s="13">
        <v>1</v>
      </c>
      <c r="AT37" s="13">
        <v>1</v>
      </c>
      <c r="AU37" s="13">
        <v>1</v>
      </c>
      <c r="AV37" s="13">
        <v>0</v>
      </c>
      <c r="AW37" s="13" t="s">
        <v>192</v>
      </c>
      <c r="AX37" s="51">
        <f>4.61/4.93</f>
        <v>0.93509127789046664</v>
      </c>
      <c r="AY37" s="31">
        <v>0</v>
      </c>
      <c r="AZ37" s="31">
        <v>1</v>
      </c>
      <c r="BA37" s="31">
        <v>0</v>
      </c>
      <c r="BB37" s="51">
        <f>3.11/2.59</f>
        <v>1.2007722007722008</v>
      </c>
      <c r="BC37" s="31">
        <v>2</v>
      </c>
      <c r="BD37" s="31">
        <v>0</v>
      </c>
      <c r="BE37" s="31"/>
      <c r="BF37" s="13">
        <v>0</v>
      </c>
      <c r="BG37" s="13" t="s">
        <v>48</v>
      </c>
      <c r="BH37" s="13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 t="s">
        <v>48</v>
      </c>
      <c r="BQ37" s="13" t="s">
        <v>48</v>
      </c>
      <c r="BR37" s="13">
        <v>0</v>
      </c>
      <c r="BS37" s="13" t="s">
        <v>48</v>
      </c>
      <c r="BT37" s="13">
        <v>0</v>
      </c>
      <c r="BU37" s="13">
        <v>0</v>
      </c>
      <c r="BV37" s="61" t="s">
        <v>50</v>
      </c>
      <c r="BW37" s="99">
        <v>0</v>
      </c>
      <c r="BX37" s="13">
        <v>0</v>
      </c>
      <c r="BY37" s="13">
        <v>0</v>
      </c>
      <c r="BZ37" s="13">
        <v>0</v>
      </c>
      <c r="CA37" s="13">
        <v>0</v>
      </c>
      <c r="CB37" s="34" t="s">
        <v>61</v>
      </c>
    </row>
    <row r="38" spans="1:81" s="65" customFormat="1" ht="18.75" x14ac:dyDescent="0.3">
      <c r="A38" s="1">
        <v>37</v>
      </c>
      <c r="B38" s="60">
        <v>40</v>
      </c>
      <c r="C38" s="13" t="s">
        <v>46</v>
      </c>
      <c r="D38" s="50" t="s">
        <v>53</v>
      </c>
      <c r="E38" s="13" t="s">
        <v>85</v>
      </c>
      <c r="F38" s="5">
        <f>'[2]Removed Saddle Values'!G38*2.54</f>
        <v>175.26</v>
      </c>
      <c r="G38" s="5">
        <v>108.9</v>
      </c>
      <c r="H38" s="5">
        <f t="shared" si="1"/>
        <v>35.453757107892294</v>
      </c>
      <c r="I38" s="13">
        <v>1</v>
      </c>
      <c r="J38" s="13">
        <v>2</v>
      </c>
      <c r="K38" s="13">
        <v>2</v>
      </c>
      <c r="L38" s="13">
        <v>1</v>
      </c>
      <c r="M38" s="13">
        <v>114</v>
      </c>
      <c r="N38" s="13">
        <v>0</v>
      </c>
      <c r="O38" s="13">
        <v>141</v>
      </c>
      <c r="P38" s="13">
        <v>0</v>
      </c>
      <c r="Q38" s="13">
        <v>20</v>
      </c>
      <c r="R38" s="13">
        <v>0</v>
      </c>
      <c r="S38" s="5">
        <v>98.4</v>
      </c>
      <c r="T38" s="13">
        <v>0</v>
      </c>
      <c r="U38" s="13">
        <v>97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1</v>
      </c>
      <c r="AD38" s="13">
        <v>0</v>
      </c>
      <c r="AE38" s="13">
        <v>0</v>
      </c>
      <c r="AF38" s="13">
        <v>0</v>
      </c>
      <c r="AG38" s="13">
        <v>1</v>
      </c>
      <c r="AH38" s="13">
        <v>0</v>
      </c>
      <c r="AI38" s="13">
        <v>0</v>
      </c>
      <c r="AJ38" s="13">
        <v>0</v>
      </c>
      <c r="AK38" s="13">
        <v>1</v>
      </c>
      <c r="AL38" s="13">
        <v>0</v>
      </c>
      <c r="AM38" s="13">
        <v>0</v>
      </c>
      <c r="AN38" s="13">
        <v>0</v>
      </c>
      <c r="AO38" s="13">
        <v>1</v>
      </c>
      <c r="AP38" s="13">
        <v>0</v>
      </c>
      <c r="AQ38" s="13">
        <v>0</v>
      </c>
      <c r="AR38" s="13">
        <v>0</v>
      </c>
      <c r="AS38" s="13">
        <v>0</v>
      </c>
      <c r="AT38" s="13">
        <v>1</v>
      </c>
      <c r="AU38" s="13">
        <v>0</v>
      </c>
      <c r="AV38" s="13">
        <v>0</v>
      </c>
      <c r="AW38" s="13">
        <v>34</v>
      </c>
      <c r="AX38" s="51">
        <f>5.18/4.24</f>
        <v>1.2216981132075471</v>
      </c>
      <c r="AY38" s="31">
        <v>0</v>
      </c>
      <c r="AZ38" s="31">
        <v>0</v>
      </c>
      <c r="BA38" s="31">
        <v>1</v>
      </c>
      <c r="BB38" s="51">
        <f>3.46/2.75</f>
        <v>1.2581818181818181</v>
      </c>
      <c r="BC38" s="31">
        <v>2</v>
      </c>
      <c r="BD38" s="31">
        <v>1</v>
      </c>
      <c r="BE38" s="31"/>
      <c r="BF38" s="13">
        <v>0</v>
      </c>
      <c r="BG38" s="13" t="s">
        <v>48</v>
      </c>
      <c r="BH38" s="13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0</v>
      </c>
      <c r="BQ38" s="13">
        <v>0</v>
      </c>
      <c r="BR38" s="13">
        <v>0</v>
      </c>
      <c r="BS38" s="13" t="s">
        <v>48</v>
      </c>
      <c r="BT38" s="13">
        <v>0</v>
      </c>
      <c r="BU38" s="13">
        <v>0</v>
      </c>
      <c r="BV38" s="61" t="s">
        <v>50</v>
      </c>
      <c r="BW38" s="99">
        <v>0</v>
      </c>
      <c r="BX38" s="13">
        <v>0</v>
      </c>
      <c r="BY38" s="13">
        <v>0</v>
      </c>
      <c r="BZ38" s="13">
        <v>0</v>
      </c>
      <c r="CA38" s="13">
        <v>0</v>
      </c>
      <c r="CB38" s="34" t="s">
        <v>55</v>
      </c>
    </row>
    <row r="39" spans="1:81" s="65" customFormat="1" ht="18.75" x14ac:dyDescent="0.3">
      <c r="A39" s="1">
        <v>38</v>
      </c>
      <c r="B39" s="60">
        <v>56</v>
      </c>
      <c r="C39" s="13" t="s">
        <v>52</v>
      </c>
      <c r="D39" s="50" t="s">
        <v>53</v>
      </c>
      <c r="E39" s="13" t="s">
        <v>85</v>
      </c>
      <c r="F39" s="5">
        <f>'[2]Removed Saddle Values'!G39*2.54</f>
        <v>167.64000000000001</v>
      </c>
      <c r="G39" s="5">
        <v>126.6</v>
      </c>
      <c r="H39" s="5">
        <f t="shared" si="1"/>
        <v>45.048299462990109</v>
      </c>
      <c r="I39" s="13">
        <v>1</v>
      </c>
      <c r="J39" s="13">
        <v>4</v>
      </c>
      <c r="K39" s="13">
        <v>2</v>
      </c>
      <c r="L39" s="13">
        <v>1</v>
      </c>
      <c r="M39" s="13">
        <v>124</v>
      </c>
      <c r="N39" s="13">
        <v>0</v>
      </c>
      <c r="O39" s="13">
        <v>118</v>
      </c>
      <c r="P39" s="13">
        <v>0</v>
      </c>
      <c r="Q39" s="13">
        <v>20</v>
      </c>
      <c r="R39" s="13">
        <v>0</v>
      </c>
      <c r="S39" s="5">
        <v>97.7</v>
      </c>
      <c r="T39" s="13">
        <v>1</v>
      </c>
      <c r="U39" s="13" t="s">
        <v>48</v>
      </c>
      <c r="V39" s="13">
        <v>1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1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1</v>
      </c>
      <c r="AM39" s="13">
        <v>0</v>
      </c>
      <c r="AN39" s="13">
        <v>0</v>
      </c>
      <c r="AO39" s="13">
        <v>1</v>
      </c>
      <c r="AP39" s="13">
        <v>1</v>
      </c>
      <c r="AQ39" s="13">
        <v>1</v>
      </c>
      <c r="AR39" s="13">
        <v>1</v>
      </c>
      <c r="AS39" s="13">
        <v>0</v>
      </c>
      <c r="AT39" s="13">
        <v>0</v>
      </c>
      <c r="AU39" s="13">
        <v>0</v>
      </c>
      <c r="AV39" s="13">
        <v>1</v>
      </c>
      <c r="AW39" s="13" t="s">
        <v>192</v>
      </c>
      <c r="AX39" s="51">
        <f>3.99/3.77</f>
        <v>1.0583554376657824</v>
      </c>
      <c r="AY39" s="31">
        <v>0</v>
      </c>
      <c r="AZ39" s="31">
        <v>0</v>
      </c>
      <c r="BA39" s="31">
        <v>1</v>
      </c>
      <c r="BB39" s="51">
        <f>3.77/3.39</f>
        <v>1.112094395280236</v>
      </c>
      <c r="BC39" s="31">
        <v>1</v>
      </c>
      <c r="BD39" s="31">
        <v>1</v>
      </c>
      <c r="BE39" s="31"/>
      <c r="BF39" s="13">
        <v>0</v>
      </c>
      <c r="BG39" s="13" t="s">
        <v>48</v>
      </c>
      <c r="BH39" s="13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1</v>
      </c>
      <c r="BO39" s="13">
        <v>0</v>
      </c>
      <c r="BP39" s="13">
        <v>1</v>
      </c>
      <c r="BQ39" s="13">
        <v>0</v>
      </c>
      <c r="BR39" s="13">
        <v>0</v>
      </c>
      <c r="BS39" s="13" t="s">
        <v>48</v>
      </c>
      <c r="BT39" s="13">
        <v>0</v>
      </c>
      <c r="BU39" s="13">
        <v>1</v>
      </c>
      <c r="BV39" s="61" t="s">
        <v>50</v>
      </c>
      <c r="BW39" s="99">
        <v>0</v>
      </c>
      <c r="BX39" s="13">
        <v>1</v>
      </c>
      <c r="BY39" s="13">
        <v>0</v>
      </c>
      <c r="BZ39" s="13">
        <v>0</v>
      </c>
      <c r="CA39" s="13">
        <v>0</v>
      </c>
      <c r="CB39" s="34" t="s">
        <v>62</v>
      </c>
    </row>
    <row r="40" spans="1:81" s="53" customFormat="1" ht="18.75" x14ac:dyDescent="0.3">
      <c r="A40" s="1">
        <v>39</v>
      </c>
      <c r="B40" s="60">
        <v>34</v>
      </c>
      <c r="C40" s="13" t="s">
        <v>52</v>
      </c>
      <c r="D40" s="50" t="s">
        <v>47</v>
      </c>
      <c r="E40" s="13" t="s">
        <v>74</v>
      </c>
      <c r="F40" s="5">
        <f>'[2]Removed Saddle Values'!G40*2.54</f>
        <v>167.64000000000001</v>
      </c>
      <c r="G40" s="5">
        <v>179</v>
      </c>
      <c r="H40" s="5">
        <f t="shared" si="1"/>
        <v>63.693883126976537</v>
      </c>
      <c r="I40" s="13">
        <v>1</v>
      </c>
      <c r="J40" s="13">
        <v>2</v>
      </c>
      <c r="K40" s="13">
        <v>2</v>
      </c>
      <c r="L40" s="13">
        <v>1</v>
      </c>
      <c r="M40" s="13">
        <v>133</v>
      </c>
      <c r="N40" s="13">
        <v>0</v>
      </c>
      <c r="O40" s="13">
        <v>135</v>
      </c>
      <c r="P40" s="13">
        <v>1</v>
      </c>
      <c r="Q40" s="13">
        <v>40</v>
      </c>
      <c r="R40" s="13">
        <v>0</v>
      </c>
      <c r="S40" s="5">
        <v>97.5</v>
      </c>
      <c r="T40" s="13">
        <v>0</v>
      </c>
      <c r="U40" s="13">
        <v>90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 t="s">
        <v>48</v>
      </c>
      <c r="AQ40" s="13">
        <v>1</v>
      </c>
      <c r="AR40" s="13">
        <v>0</v>
      </c>
      <c r="AS40" s="13">
        <v>1</v>
      </c>
      <c r="AT40" s="13">
        <v>1</v>
      </c>
      <c r="AU40" s="13">
        <v>1</v>
      </c>
      <c r="AV40" s="13">
        <v>0</v>
      </c>
      <c r="AW40" s="13">
        <v>51</v>
      </c>
      <c r="AX40" s="51">
        <f>5.47/5.18</f>
        <v>1.055984555984556</v>
      </c>
      <c r="AY40" s="31">
        <v>0</v>
      </c>
      <c r="AZ40" s="31">
        <v>0</v>
      </c>
      <c r="BA40" s="31">
        <v>1</v>
      </c>
      <c r="BB40" s="51">
        <f>3.3/3.21</f>
        <v>1.02803738317757</v>
      </c>
      <c r="BC40" s="31">
        <v>2</v>
      </c>
      <c r="BD40" s="31">
        <v>1</v>
      </c>
      <c r="BE40" s="31"/>
      <c r="BF40" s="13">
        <v>0</v>
      </c>
      <c r="BG40" s="13" t="s">
        <v>48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 t="s">
        <v>48</v>
      </c>
      <c r="BQ40" s="13" t="s">
        <v>48</v>
      </c>
      <c r="BR40" s="13">
        <v>0</v>
      </c>
      <c r="BS40" s="13" t="s">
        <v>48</v>
      </c>
      <c r="BT40" s="13">
        <v>0</v>
      </c>
      <c r="BU40" s="13">
        <v>0</v>
      </c>
      <c r="BV40" s="61" t="s">
        <v>50</v>
      </c>
      <c r="BW40" s="99">
        <v>0</v>
      </c>
      <c r="BX40" s="13">
        <v>0</v>
      </c>
      <c r="BY40" s="13">
        <v>1</v>
      </c>
      <c r="BZ40" s="13">
        <v>0</v>
      </c>
      <c r="CA40" s="13">
        <v>0</v>
      </c>
      <c r="CB40" s="34" t="s">
        <v>142</v>
      </c>
      <c r="CC40" s="34"/>
    </row>
    <row r="41" spans="1:81" s="53" customFormat="1" ht="18.75" x14ac:dyDescent="0.3">
      <c r="A41" s="1">
        <v>40</v>
      </c>
      <c r="B41" s="60">
        <v>78</v>
      </c>
      <c r="C41" s="13" t="s">
        <v>52</v>
      </c>
      <c r="D41" s="50" t="s">
        <v>47</v>
      </c>
      <c r="E41" s="13" t="s">
        <v>130</v>
      </c>
      <c r="F41" s="5">
        <f>'[2]Removed Saddle Values'!G41*2.54</f>
        <v>167.64000000000001</v>
      </c>
      <c r="G41" s="5">
        <v>77</v>
      </c>
      <c r="H41" s="5">
        <f t="shared" si="1"/>
        <v>27.39904469707929</v>
      </c>
      <c r="I41" s="13">
        <v>0</v>
      </c>
      <c r="J41" s="13">
        <v>4</v>
      </c>
      <c r="K41" s="13">
        <v>2</v>
      </c>
      <c r="L41" s="13">
        <v>0</v>
      </c>
      <c r="M41" s="13">
        <v>78</v>
      </c>
      <c r="N41" s="13">
        <v>0</v>
      </c>
      <c r="O41" s="13">
        <v>177</v>
      </c>
      <c r="P41" s="13">
        <v>0</v>
      </c>
      <c r="Q41" s="13">
        <v>18</v>
      </c>
      <c r="R41" s="13">
        <v>0</v>
      </c>
      <c r="S41" s="5">
        <v>97.6</v>
      </c>
      <c r="T41" s="13">
        <v>0</v>
      </c>
      <c r="U41" s="13">
        <v>98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1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1</v>
      </c>
      <c r="AP41" s="13">
        <v>1</v>
      </c>
      <c r="AQ41" s="13">
        <v>1</v>
      </c>
      <c r="AR41" s="13">
        <v>0</v>
      </c>
      <c r="AS41" s="13">
        <v>1</v>
      </c>
      <c r="AT41" s="13">
        <v>1</v>
      </c>
      <c r="AU41" s="13">
        <v>1</v>
      </c>
      <c r="AV41" s="13">
        <v>0</v>
      </c>
      <c r="AW41" s="13">
        <v>45</v>
      </c>
      <c r="AX41" s="51">
        <f>3.87/4.54</f>
        <v>0.85242290748898675</v>
      </c>
      <c r="AY41" s="31">
        <v>1</v>
      </c>
      <c r="AZ41" s="31">
        <v>0</v>
      </c>
      <c r="BA41" s="31">
        <v>0</v>
      </c>
      <c r="BB41" s="51">
        <f>2.6/2.94</f>
        <v>0.88435374149659873</v>
      </c>
      <c r="BC41" s="31">
        <v>1</v>
      </c>
      <c r="BD41" s="31">
        <v>0</v>
      </c>
      <c r="BE41" s="31"/>
      <c r="BF41" s="13">
        <v>0</v>
      </c>
      <c r="BG41" s="13" t="s">
        <v>48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 t="s">
        <v>48</v>
      </c>
      <c r="BQ41" s="13" t="s">
        <v>48</v>
      </c>
      <c r="BR41" s="13">
        <v>0</v>
      </c>
      <c r="BS41" s="13" t="s">
        <v>48</v>
      </c>
      <c r="BT41" s="13">
        <v>0</v>
      </c>
      <c r="BU41" s="13">
        <v>0</v>
      </c>
      <c r="BV41" s="61" t="s">
        <v>149</v>
      </c>
      <c r="BW41" s="99">
        <v>0</v>
      </c>
      <c r="BX41" s="13">
        <v>0</v>
      </c>
      <c r="BY41" s="13">
        <v>0</v>
      </c>
      <c r="BZ41" s="13">
        <v>0</v>
      </c>
      <c r="CA41" s="13">
        <v>0</v>
      </c>
      <c r="CB41" s="67" t="s">
        <v>54</v>
      </c>
    </row>
    <row r="42" spans="1:81" s="65" customFormat="1" ht="18.75" x14ac:dyDescent="0.3">
      <c r="A42" s="1">
        <v>41</v>
      </c>
      <c r="B42" s="60">
        <v>72</v>
      </c>
      <c r="C42" s="13" t="s">
        <v>46</v>
      </c>
      <c r="D42" s="50" t="s">
        <v>53</v>
      </c>
      <c r="E42" s="13" t="s">
        <v>74</v>
      </c>
      <c r="F42" s="5">
        <f>'[2]Removed Saddle Values'!G42*2.54</f>
        <v>182.88</v>
      </c>
      <c r="G42" s="5">
        <v>98.4</v>
      </c>
      <c r="H42" s="5">
        <f t="shared" si="1"/>
        <v>29.421355139006575</v>
      </c>
      <c r="I42" s="13">
        <v>0</v>
      </c>
      <c r="J42" s="13">
        <v>2</v>
      </c>
      <c r="K42" s="13">
        <v>3</v>
      </c>
      <c r="L42" s="13">
        <v>0</v>
      </c>
      <c r="M42" s="13">
        <v>88</v>
      </c>
      <c r="N42" s="13">
        <v>0</v>
      </c>
      <c r="O42" s="13">
        <v>132</v>
      </c>
      <c r="P42" s="13">
        <v>0</v>
      </c>
      <c r="Q42" s="13">
        <v>15</v>
      </c>
      <c r="R42" s="13">
        <v>0</v>
      </c>
      <c r="S42" s="5">
        <v>98.3</v>
      </c>
      <c r="T42" s="13">
        <v>0</v>
      </c>
      <c r="U42" s="13">
        <v>96</v>
      </c>
      <c r="V42" s="13">
        <v>1</v>
      </c>
      <c r="W42" s="13">
        <v>0</v>
      </c>
      <c r="X42" s="13">
        <v>1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1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1</v>
      </c>
      <c r="AP42" s="13">
        <v>1</v>
      </c>
      <c r="AQ42" s="13">
        <v>1</v>
      </c>
      <c r="AR42" s="13">
        <v>1</v>
      </c>
      <c r="AS42" s="13">
        <v>0</v>
      </c>
      <c r="AT42" s="13">
        <v>1</v>
      </c>
      <c r="AU42" s="13">
        <v>0</v>
      </c>
      <c r="AV42" s="13">
        <v>0</v>
      </c>
      <c r="AW42" s="13">
        <v>55</v>
      </c>
      <c r="AX42" s="51">
        <f>4.26/4.76</f>
        <v>0.89495798319327735</v>
      </c>
      <c r="AY42" s="31">
        <v>1</v>
      </c>
      <c r="AZ42" s="31">
        <v>0</v>
      </c>
      <c r="BA42" s="31">
        <v>0</v>
      </c>
      <c r="BB42" s="51">
        <f>2.78/3.25</f>
        <v>0.8553846153846153</v>
      </c>
      <c r="BC42" s="31">
        <v>3</v>
      </c>
      <c r="BD42" s="31">
        <v>0</v>
      </c>
      <c r="BE42" s="31"/>
      <c r="BF42" s="13">
        <v>0</v>
      </c>
      <c r="BG42" s="13" t="s">
        <v>48</v>
      </c>
      <c r="BH42" s="13">
        <v>1</v>
      </c>
      <c r="BI42" s="13">
        <v>0</v>
      </c>
      <c r="BJ42" s="13">
        <v>0</v>
      </c>
      <c r="BK42" s="13">
        <v>1</v>
      </c>
      <c r="BL42" s="13">
        <v>1</v>
      </c>
      <c r="BM42" s="13">
        <v>1</v>
      </c>
      <c r="BN42" s="13">
        <v>0</v>
      </c>
      <c r="BO42" s="13">
        <v>0</v>
      </c>
      <c r="BP42" s="13" t="s">
        <v>48</v>
      </c>
      <c r="BQ42" s="13" t="s">
        <v>48</v>
      </c>
      <c r="BR42" s="13">
        <v>0</v>
      </c>
      <c r="BS42" s="13" t="s">
        <v>48</v>
      </c>
      <c r="BT42" s="13">
        <v>0</v>
      </c>
      <c r="BU42" s="13">
        <v>0</v>
      </c>
      <c r="BV42" s="61" t="s">
        <v>50</v>
      </c>
      <c r="BW42" s="99">
        <v>0</v>
      </c>
      <c r="BX42" s="13">
        <v>0</v>
      </c>
      <c r="BY42" s="13">
        <v>0</v>
      </c>
      <c r="BZ42" s="13">
        <v>0</v>
      </c>
      <c r="CA42" s="13">
        <v>0</v>
      </c>
      <c r="CB42" s="34" t="s">
        <v>54</v>
      </c>
    </row>
    <row r="43" spans="1:81" s="65" customFormat="1" ht="18.75" x14ac:dyDescent="0.3">
      <c r="A43" s="1">
        <v>42</v>
      </c>
      <c r="B43" s="60">
        <v>74</v>
      </c>
      <c r="C43" s="13" t="s">
        <v>52</v>
      </c>
      <c r="D43" s="50" t="s">
        <v>47</v>
      </c>
      <c r="E43" s="13" t="s">
        <v>130</v>
      </c>
      <c r="F43" s="5">
        <f>'[2]Removed Saddle Values'!G43*2.54</f>
        <v>167.64000000000001</v>
      </c>
      <c r="G43" s="5">
        <v>103</v>
      </c>
      <c r="H43" s="5">
        <f t="shared" si="1"/>
        <v>36.650670179209961</v>
      </c>
      <c r="I43" s="13">
        <v>0</v>
      </c>
      <c r="J43" s="13">
        <v>2</v>
      </c>
      <c r="K43" s="13">
        <v>2</v>
      </c>
      <c r="L43" s="13">
        <v>0</v>
      </c>
      <c r="M43" s="13">
        <v>103</v>
      </c>
      <c r="N43" s="13">
        <v>0</v>
      </c>
      <c r="O43" s="13">
        <v>171</v>
      </c>
      <c r="P43" s="13">
        <v>0</v>
      </c>
      <c r="Q43" s="13">
        <v>20</v>
      </c>
      <c r="R43" s="13">
        <v>0</v>
      </c>
      <c r="S43" s="5">
        <v>98.3</v>
      </c>
      <c r="T43" s="13">
        <v>0</v>
      </c>
      <c r="U43" s="13">
        <v>90</v>
      </c>
      <c r="V43" s="13">
        <v>1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1</v>
      </c>
      <c r="AF43" s="13">
        <v>1</v>
      </c>
      <c r="AG43" s="13">
        <v>0</v>
      </c>
      <c r="AH43" s="13">
        <v>0</v>
      </c>
      <c r="AI43" s="13">
        <v>0</v>
      </c>
      <c r="AJ43" s="13">
        <v>0</v>
      </c>
      <c r="AK43" s="13">
        <v>1</v>
      </c>
      <c r="AL43" s="13">
        <v>0</v>
      </c>
      <c r="AM43" s="13">
        <v>0</v>
      </c>
      <c r="AN43" s="13">
        <v>0</v>
      </c>
      <c r="AO43" s="13">
        <v>1</v>
      </c>
      <c r="AP43" s="13">
        <v>1</v>
      </c>
      <c r="AQ43" s="13">
        <v>1</v>
      </c>
      <c r="AR43" s="13">
        <v>1</v>
      </c>
      <c r="AS43" s="13">
        <v>1</v>
      </c>
      <c r="AT43" s="13">
        <v>1</v>
      </c>
      <c r="AU43" s="13">
        <v>1</v>
      </c>
      <c r="AV43" s="13">
        <v>0</v>
      </c>
      <c r="AW43" s="13">
        <v>43.5</v>
      </c>
      <c r="AX43" s="51">
        <f>4.59/4.46</f>
        <v>1.0291479820627802</v>
      </c>
      <c r="AY43" s="31">
        <v>0</v>
      </c>
      <c r="AZ43" s="31">
        <v>0</v>
      </c>
      <c r="BA43" s="31">
        <v>1</v>
      </c>
      <c r="BB43" s="51">
        <f>4.26/3.77</f>
        <v>1.129973474801061</v>
      </c>
      <c r="BC43" s="31">
        <v>2</v>
      </c>
      <c r="BD43" s="31">
        <v>1</v>
      </c>
      <c r="BE43" s="31"/>
      <c r="BF43" s="13">
        <v>0</v>
      </c>
      <c r="BG43" s="13" t="s">
        <v>48</v>
      </c>
      <c r="BH43" s="13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0</v>
      </c>
      <c r="BQ43" s="13">
        <v>1</v>
      </c>
      <c r="BR43" s="13">
        <v>0</v>
      </c>
      <c r="BS43" s="13" t="s">
        <v>48</v>
      </c>
      <c r="BT43" s="13">
        <v>0</v>
      </c>
      <c r="BU43" s="13">
        <v>1</v>
      </c>
      <c r="BV43" s="61" t="s">
        <v>50</v>
      </c>
      <c r="BW43" s="99">
        <v>0</v>
      </c>
      <c r="BX43" s="13">
        <v>0</v>
      </c>
      <c r="BY43" s="13">
        <v>0</v>
      </c>
      <c r="BZ43" s="13">
        <v>0</v>
      </c>
      <c r="CA43" s="13">
        <v>0</v>
      </c>
      <c r="CB43" s="34" t="s">
        <v>54</v>
      </c>
    </row>
    <row r="44" spans="1:81" s="53" customFormat="1" ht="18.75" x14ac:dyDescent="0.3">
      <c r="A44" s="1">
        <v>43</v>
      </c>
      <c r="B44" s="60">
        <v>68</v>
      </c>
      <c r="C44" s="13" t="s">
        <v>52</v>
      </c>
      <c r="D44" s="50" t="s">
        <v>47</v>
      </c>
      <c r="E44" s="13" t="s">
        <v>109</v>
      </c>
      <c r="F44" s="5">
        <f>'[2]Removed Saddle Values'!G44*2.54</f>
        <v>160.02000000000001</v>
      </c>
      <c r="G44" s="5">
        <v>73</v>
      </c>
      <c r="H44" s="5">
        <f t="shared" si="1"/>
        <v>28.508497430197178</v>
      </c>
      <c r="I44" s="13">
        <v>1</v>
      </c>
      <c r="J44" s="13">
        <v>3</v>
      </c>
      <c r="K44" s="13">
        <v>2</v>
      </c>
      <c r="L44" s="13">
        <v>0</v>
      </c>
      <c r="M44" s="13">
        <v>107</v>
      </c>
      <c r="N44" s="13">
        <v>0</v>
      </c>
      <c r="O44" s="13">
        <v>125</v>
      </c>
      <c r="P44" s="13">
        <v>0</v>
      </c>
      <c r="Q44" s="13">
        <v>20</v>
      </c>
      <c r="R44" s="13">
        <v>0</v>
      </c>
      <c r="S44" s="5">
        <v>99</v>
      </c>
      <c r="T44" s="13">
        <v>0</v>
      </c>
      <c r="U44" s="13">
        <v>94</v>
      </c>
      <c r="V44" s="13">
        <v>1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1</v>
      </c>
      <c r="AH44" s="13">
        <v>1</v>
      </c>
      <c r="AI44" s="13">
        <v>0</v>
      </c>
      <c r="AJ44" s="13">
        <v>0</v>
      </c>
      <c r="AK44" s="13">
        <v>1</v>
      </c>
      <c r="AL44" s="13">
        <v>0</v>
      </c>
      <c r="AM44" s="13">
        <v>0</v>
      </c>
      <c r="AN44" s="13">
        <v>0</v>
      </c>
      <c r="AO44" s="13">
        <v>1</v>
      </c>
      <c r="AP44" s="13">
        <v>1</v>
      </c>
      <c r="AQ44" s="13" t="s">
        <v>48</v>
      </c>
      <c r="AR44" s="13" t="s">
        <v>48</v>
      </c>
      <c r="AS44" s="13">
        <v>1</v>
      </c>
      <c r="AT44" s="13">
        <v>1</v>
      </c>
      <c r="AU44" s="13">
        <v>1</v>
      </c>
      <c r="AV44" s="13">
        <v>0</v>
      </c>
      <c r="AW44" s="13">
        <v>51</v>
      </c>
      <c r="AX44" s="51">
        <f>4.77/4.55</f>
        <v>1.0483516483516484</v>
      </c>
      <c r="AY44" s="31">
        <v>0</v>
      </c>
      <c r="AZ44" s="31">
        <v>0</v>
      </c>
      <c r="BA44" s="31">
        <v>1</v>
      </c>
      <c r="BB44" s="51">
        <f>2.87/3.44</f>
        <v>0.83430232558139539</v>
      </c>
      <c r="BC44" s="31">
        <v>2</v>
      </c>
      <c r="BD44" s="31">
        <v>0</v>
      </c>
      <c r="BE44" s="31"/>
      <c r="BF44" s="13">
        <v>0</v>
      </c>
      <c r="BG44" s="13" t="s">
        <v>48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 t="s">
        <v>48</v>
      </c>
      <c r="BQ44" s="13" t="s">
        <v>48</v>
      </c>
      <c r="BR44" s="13">
        <v>0</v>
      </c>
      <c r="BS44" s="13" t="s">
        <v>48</v>
      </c>
      <c r="BT44" s="13">
        <v>0</v>
      </c>
      <c r="BU44" s="13">
        <v>0</v>
      </c>
      <c r="BV44" s="61" t="s">
        <v>50</v>
      </c>
      <c r="BW44" s="99">
        <v>0</v>
      </c>
      <c r="BX44" s="13">
        <v>1</v>
      </c>
      <c r="BY44" s="13">
        <v>0</v>
      </c>
      <c r="BZ44" s="13">
        <v>0</v>
      </c>
      <c r="CA44" s="13">
        <v>0</v>
      </c>
      <c r="CB44" s="34" t="s">
        <v>55</v>
      </c>
    </row>
    <row r="45" spans="1:81" s="53" customFormat="1" ht="18.75" x14ac:dyDescent="0.3">
      <c r="A45" s="1">
        <v>44</v>
      </c>
      <c r="B45" s="60">
        <v>72</v>
      </c>
      <c r="C45" s="13" t="s">
        <v>52</v>
      </c>
      <c r="D45" s="50" t="s">
        <v>47</v>
      </c>
      <c r="E45" s="13" t="s">
        <v>83</v>
      </c>
      <c r="F45" s="5">
        <f>'[2]Removed Saddle Values'!G45*2.54</f>
        <v>175.26</v>
      </c>
      <c r="G45" s="5">
        <v>116</v>
      </c>
      <c r="H45" s="5">
        <f t="shared" si="1"/>
        <v>37.765250913824659</v>
      </c>
      <c r="I45" s="13">
        <v>0</v>
      </c>
      <c r="J45" s="13">
        <v>2</v>
      </c>
      <c r="K45" s="13">
        <v>1</v>
      </c>
      <c r="L45" s="13">
        <v>0</v>
      </c>
      <c r="M45" s="13">
        <v>85</v>
      </c>
      <c r="N45" s="13">
        <v>0</v>
      </c>
      <c r="O45" s="13">
        <v>138</v>
      </c>
      <c r="P45" s="13">
        <v>0</v>
      </c>
      <c r="Q45" s="13">
        <v>18</v>
      </c>
      <c r="R45" s="13">
        <v>0</v>
      </c>
      <c r="S45" s="5">
        <v>98</v>
      </c>
      <c r="T45" s="13">
        <v>0</v>
      </c>
      <c r="U45" s="13">
        <v>94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1</v>
      </c>
      <c r="AF45" s="13">
        <v>0</v>
      </c>
      <c r="AG45" s="13">
        <v>1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1</v>
      </c>
      <c r="AP45" s="13">
        <v>1</v>
      </c>
      <c r="AQ45" s="13" t="s">
        <v>48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 t="s">
        <v>192</v>
      </c>
      <c r="AX45" s="51">
        <f>4.13/4.57</f>
        <v>0.9037199124726476</v>
      </c>
      <c r="AY45" s="31">
        <v>1</v>
      </c>
      <c r="AZ45" s="31">
        <v>0</v>
      </c>
      <c r="BA45" s="31">
        <v>0</v>
      </c>
      <c r="BB45" s="51">
        <f>2.65/3.19</f>
        <v>0.83072100313479624</v>
      </c>
      <c r="BC45" s="31">
        <v>2</v>
      </c>
      <c r="BD45" s="31">
        <v>0</v>
      </c>
      <c r="BE45" s="31"/>
      <c r="BF45" s="13">
        <v>0</v>
      </c>
      <c r="BG45" s="13" t="s">
        <v>48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 t="s">
        <v>48</v>
      </c>
      <c r="BQ45" s="13" t="s">
        <v>48</v>
      </c>
      <c r="BR45" s="13">
        <v>0</v>
      </c>
      <c r="BS45" s="13" t="s">
        <v>48</v>
      </c>
      <c r="BT45" s="13">
        <v>0</v>
      </c>
      <c r="BU45" s="13">
        <v>0</v>
      </c>
      <c r="BV45" s="61" t="s">
        <v>50</v>
      </c>
      <c r="BW45" s="99">
        <v>0</v>
      </c>
      <c r="BX45" s="13">
        <v>0</v>
      </c>
      <c r="BY45" s="13">
        <v>0</v>
      </c>
      <c r="BZ45" s="13">
        <v>0</v>
      </c>
      <c r="CA45" s="13">
        <v>0</v>
      </c>
      <c r="CB45" s="34" t="s">
        <v>61</v>
      </c>
    </row>
    <row r="46" spans="1:81" s="65" customFormat="1" ht="18.75" x14ac:dyDescent="0.3">
      <c r="A46" s="1">
        <v>45</v>
      </c>
      <c r="B46" s="60">
        <v>87</v>
      </c>
      <c r="C46" s="13" t="s">
        <v>46</v>
      </c>
      <c r="D46" s="50" t="s">
        <v>47</v>
      </c>
      <c r="E46" s="13" t="s">
        <v>83</v>
      </c>
      <c r="F46" s="5">
        <f>'[2]Removed Saddle Values'!G46*2.54</f>
        <v>172.72</v>
      </c>
      <c r="G46" s="5">
        <v>170.6</v>
      </c>
      <c r="H46" s="5">
        <f t="shared" si="1"/>
        <v>57.186533058187216</v>
      </c>
      <c r="I46" s="13">
        <v>1</v>
      </c>
      <c r="J46" s="13">
        <v>5</v>
      </c>
      <c r="K46" s="13">
        <v>2</v>
      </c>
      <c r="L46" s="13">
        <v>0</v>
      </c>
      <c r="M46" s="13">
        <v>94</v>
      </c>
      <c r="N46" s="13">
        <v>0</v>
      </c>
      <c r="O46" s="13">
        <v>149</v>
      </c>
      <c r="P46" s="13">
        <v>0</v>
      </c>
      <c r="Q46" s="13">
        <v>18</v>
      </c>
      <c r="R46" s="13">
        <v>0</v>
      </c>
      <c r="S46" s="5">
        <v>97.2</v>
      </c>
      <c r="T46" s="13">
        <v>0</v>
      </c>
      <c r="U46" s="13">
        <v>97</v>
      </c>
      <c r="V46" s="13">
        <v>0</v>
      </c>
      <c r="W46" s="13">
        <v>0</v>
      </c>
      <c r="X46" s="13">
        <v>0</v>
      </c>
      <c r="Y46" s="13">
        <v>0</v>
      </c>
      <c r="Z46" s="13">
        <v>1</v>
      </c>
      <c r="AA46" s="13">
        <v>1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1</v>
      </c>
      <c r="AP46" s="13">
        <v>1</v>
      </c>
      <c r="AQ46" s="13">
        <v>1</v>
      </c>
      <c r="AR46" s="13">
        <v>0</v>
      </c>
      <c r="AS46" s="13">
        <v>0</v>
      </c>
      <c r="AT46" s="13">
        <v>0</v>
      </c>
      <c r="AU46" s="13">
        <v>0</v>
      </c>
      <c r="AV46" s="13">
        <v>1</v>
      </c>
      <c r="AW46" s="13">
        <v>32.5</v>
      </c>
      <c r="AX46" s="51">
        <f>3.34/4.01</f>
        <v>0.83291770573566082</v>
      </c>
      <c r="AY46" s="31">
        <v>0</v>
      </c>
      <c r="AZ46" s="31">
        <v>0</v>
      </c>
      <c r="BA46" s="31">
        <v>0</v>
      </c>
      <c r="BB46" s="51">
        <f>2.86/3.56</f>
        <v>0.8033707865168539</v>
      </c>
      <c r="BC46" s="31">
        <v>3</v>
      </c>
      <c r="BD46" s="31">
        <v>0</v>
      </c>
      <c r="BE46" s="31"/>
      <c r="BF46" s="13">
        <v>0</v>
      </c>
      <c r="BG46" s="13" t="s">
        <v>48</v>
      </c>
      <c r="BH46" s="13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1</v>
      </c>
      <c r="BO46" s="13">
        <v>0</v>
      </c>
      <c r="BP46" s="13">
        <v>1</v>
      </c>
      <c r="BQ46" s="13">
        <v>1</v>
      </c>
      <c r="BR46" s="13">
        <v>0</v>
      </c>
      <c r="BS46" s="13" t="s">
        <v>48</v>
      </c>
      <c r="BT46" s="13">
        <v>0</v>
      </c>
      <c r="BU46" s="13">
        <v>1</v>
      </c>
      <c r="BV46" s="61" t="s">
        <v>50</v>
      </c>
      <c r="BW46" s="99">
        <v>0</v>
      </c>
      <c r="BX46" s="13">
        <v>0</v>
      </c>
      <c r="BY46" s="13">
        <v>0</v>
      </c>
      <c r="BZ46" s="13">
        <v>0</v>
      </c>
      <c r="CA46" s="13">
        <v>0</v>
      </c>
      <c r="CB46" s="34" t="s">
        <v>60</v>
      </c>
    </row>
    <row r="47" spans="1:81" s="53" customFormat="1" ht="18.75" x14ac:dyDescent="0.3">
      <c r="A47" s="1">
        <v>46</v>
      </c>
      <c r="B47" s="60">
        <v>65</v>
      </c>
      <c r="C47" s="13" t="s">
        <v>46</v>
      </c>
      <c r="D47" s="50" t="s">
        <v>47</v>
      </c>
      <c r="E47" s="13" t="s">
        <v>130</v>
      </c>
      <c r="F47" s="5">
        <f>'[2]Removed Saddle Values'!G47*2.54</f>
        <v>160.02000000000001</v>
      </c>
      <c r="G47" s="5">
        <v>75</v>
      </c>
      <c r="H47" s="5">
        <f t="shared" si="1"/>
        <v>29.289552154312169</v>
      </c>
      <c r="I47" s="13">
        <v>1</v>
      </c>
      <c r="J47" s="13">
        <v>5</v>
      </c>
      <c r="K47" s="13">
        <v>2</v>
      </c>
      <c r="L47" s="13">
        <v>1</v>
      </c>
      <c r="M47" s="13">
        <v>114</v>
      </c>
      <c r="N47" s="13">
        <v>0</v>
      </c>
      <c r="O47" s="13">
        <v>123</v>
      </c>
      <c r="P47" s="13">
        <v>0</v>
      </c>
      <c r="Q47" s="13">
        <v>24</v>
      </c>
      <c r="R47" s="13">
        <v>0</v>
      </c>
      <c r="S47" s="5">
        <v>97.4</v>
      </c>
      <c r="T47" s="13">
        <v>1</v>
      </c>
      <c r="U47" s="13">
        <v>74</v>
      </c>
      <c r="V47" s="13">
        <v>1</v>
      </c>
      <c r="W47" s="13">
        <v>0</v>
      </c>
      <c r="X47" s="13">
        <v>1</v>
      </c>
      <c r="Y47" s="13">
        <v>0</v>
      </c>
      <c r="Z47" s="13">
        <v>1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1</v>
      </c>
      <c r="AP47" s="13">
        <v>1</v>
      </c>
      <c r="AQ47" s="13">
        <v>1</v>
      </c>
      <c r="AR47" s="13">
        <v>1</v>
      </c>
      <c r="AS47" s="13">
        <v>1</v>
      </c>
      <c r="AT47" s="13">
        <v>0</v>
      </c>
      <c r="AU47" s="13">
        <v>0</v>
      </c>
      <c r="AV47" s="13">
        <v>0</v>
      </c>
      <c r="AW47" s="13" t="s">
        <v>192</v>
      </c>
      <c r="AX47" s="51">
        <f>3.94/3.48</f>
        <v>1.132183908045977</v>
      </c>
      <c r="AY47" s="31">
        <v>0</v>
      </c>
      <c r="AZ47" s="31">
        <v>0</v>
      </c>
      <c r="BA47" s="31">
        <v>1</v>
      </c>
      <c r="BB47" s="51">
        <f>3.47/3.68</f>
        <v>0.94293478260869568</v>
      </c>
      <c r="BC47" s="31">
        <v>5</v>
      </c>
      <c r="BD47" s="31">
        <v>1</v>
      </c>
      <c r="BE47" s="31"/>
      <c r="BF47" s="13">
        <v>0</v>
      </c>
      <c r="BG47" s="13" t="s">
        <v>48</v>
      </c>
      <c r="BH47" s="13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1</v>
      </c>
      <c r="BO47" s="13">
        <v>0</v>
      </c>
      <c r="BP47" s="13">
        <v>1</v>
      </c>
      <c r="BQ47" s="13">
        <v>1</v>
      </c>
      <c r="BR47" s="13">
        <v>0</v>
      </c>
      <c r="BS47" s="13" t="s">
        <v>48</v>
      </c>
      <c r="BT47" s="13">
        <v>0</v>
      </c>
      <c r="BU47" s="13">
        <v>0</v>
      </c>
      <c r="BV47" s="61" t="s">
        <v>50</v>
      </c>
      <c r="BW47" s="99">
        <v>0</v>
      </c>
      <c r="BX47" s="13">
        <v>0</v>
      </c>
      <c r="BY47" s="13">
        <v>1</v>
      </c>
      <c r="BZ47" s="13">
        <v>0</v>
      </c>
      <c r="CA47" s="13">
        <v>0</v>
      </c>
      <c r="CB47" s="34" t="s">
        <v>60</v>
      </c>
    </row>
    <row r="48" spans="1:81" s="53" customFormat="1" ht="18.75" x14ac:dyDescent="0.3">
      <c r="A48" s="1">
        <v>47</v>
      </c>
      <c r="B48" s="60">
        <v>69</v>
      </c>
      <c r="C48" s="13" t="s">
        <v>46</v>
      </c>
      <c r="D48" s="50" t="s">
        <v>47</v>
      </c>
      <c r="E48" s="13" t="s">
        <v>98</v>
      </c>
      <c r="F48" s="5">
        <f>'[2]Removed Saddle Values'!G48*2.54</f>
        <v>162.56</v>
      </c>
      <c r="G48" s="5">
        <v>69.5</v>
      </c>
      <c r="H48" s="5">
        <f t="shared" si="1"/>
        <v>26.300101428327856</v>
      </c>
      <c r="I48" s="13">
        <v>1</v>
      </c>
      <c r="J48" s="13">
        <v>3</v>
      </c>
      <c r="K48" s="13">
        <v>2</v>
      </c>
      <c r="L48" s="13">
        <v>0</v>
      </c>
      <c r="M48" s="13">
        <v>76</v>
      </c>
      <c r="N48" s="13">
        <v>0</v>
      </c>
      <c r="O48" s="13">
        <v>116</v>
      </c>
      <c r="P48" s="13">
        <v>0</v>
      </c>
      <c r="Q48" s="13">
        <v>18</v>
      </c>
      <c r="R48" s="13">
        <v>0</v>
      </c>
      <c r="S48" s="5">
        <v>99</v>
      </c>
      <c r="T48" s="13">
        <v>0</v>
      </c>
      <c r="U48" s="13">
        <v>95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1</v>
      </c>
      <c r="AC48" s="13">
        <v>0</v>
      </c>
      <c r="AD48" s="13">
        <v>0</v>
      </c>
      <c r="AE48" s="13">
        <v>1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 t="s">
        <v>48</v>
      </c>
      <c r="AQ48" s="13" t="s">
        <v>48</v>
      </c>
      <c r="AR48" s="13">
        <v>1</v>
      </c>
      <c r="AS48" s="13">
        <v>1</v>
      </c>
      <c r="AT48" s="13">
        <v>1</v>
      </c>
      <c r="AU48" s="13">
        <v>1</v>
      </c>
      <c r="AV48" s="13">
        <v>0</v>
      </c>
      <c r="AW48" s="13">
        <v>35</v>
      </c>
      <c r="AX48" s="51">
        <f>5.07/4.4</f>
        <v>1.1522727272727273</v>
      </c>
      <c r="AY48" s="31">
        <v>0</v>
      </c>
      <c r="AZ48" s="31">
        <v>0</v>
      </c>
      <c r="BA48" s="31">
        <v>1</v>
      </c>
      <c r="BB48" s="51">
        <f>2.29/3.17</f>
        <v>0.72239747634069407</v>
      </c>
      <c r="BC48" s="31">
        <v>4</v>
      </c>
      <c r="BD48" s="31">
        <v>1</v>
      </c>
      <c r="BE48" s="31"/>
      <c r="BF48" s="13">
        <v>0</v>
      </c>
      <c r="BG48" s="13" t="s">
        <v>48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 t="s">
        <v>48</v>
      </c>
      <c r="BQ48" s="13" t="s">
        <v>48</v>
      </c>
      <c r="BR48" s="13">
        <v>0</v>
      </c>
      <c r="BS48" s="13" t="s">
        <v>48</v>
      </c>
      <c r="BT48" s="13">
        <v>0</v>
      </c>
      <c r="BU48" s="13">
        <v>0</v>
      </c>
      <c r="BV48" s="61" t="s">
        <v>50</v>
      </c>
      <c r="BW48" s="99">
        <v>0</v>
      </c>
      <c r="BX48" s="13">
        <v>0</v>
      </c>
      <c r="BY48" s="13">
        <v>0</v>
      </c>
      <c r="BZ48" s="13">
        <v>0</v>
      </c>
      <c r="CA48" s="13">
        <v>0</v>
      </c>
      <c r="CB48" s="34" t="s">
        <v>54</v>
      </c>
    </row>
    <row r="49" spans="1:80" s="65" customFormat="1" ht="18.75" x14ac:dyDescent="0.3">
      <c r="A49" s="1">
        <v>48</v>
      </c>
      <c r="B49" s="60">
        <v>59</v>
      </c>
      <c r="C49" s="13" t="s">
        <v>52</v>
      </c>
      <c r="D49" s="50" t="s">
        <v>47</v>
      </c>
      <c r="E49" s="13" t="s">
        <v>76</v>
      </c>
      <c r="F49" s="5">
        <f>'[2]Removed Saddle Values'!G49*2.54</f>
        <v>167.64000000000001</v>
      </c>
      <c r="G49" s="5">
        <v>81.2</v>
      </c>
      <c r="H49" s="5">
        <f t="shared" si="1"/>
        <v>28.893538044192709</v>
      </c>
      <c r="I49" s="13">
        <v>1</v>
      </c>
      <c r="J49" s="13">
        <v>3</v>
      </c>
      <c r="K49" s="13">
        <v>1</v>
      </c>
      <c r="L49" s="13">
        <v>0</v>
      </c>
      <c r="M49" s="13">
        <v>108</v>
      </c>
      <c r="N49" s="13">
        <v>0</v>
      </c>
      <c r="O49" s="13">
        <v>149</v>
      </c>
      <c r="P49" s="13">
        <v>0</v>
      </c>
      <c r="Q49" s="13">
        <v>22</v>
      </c>
      <c r="R49" s="13">
        <v>0</v>
      </c>
      <c r="S49" s="5">
        <v>98.6</v>
      </c>
      <c r="T49" s="13">
        <v>0</v>
      </c>
      <c r="U49" s="13">
        <v>94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1</v>
      </c>
      <c r="AB49" s="13">
        <v>0</v>
      </c>
      <c r="AC49" s="13">
        <v>1</v>
      </c>
      <c r="AD49" s="13">
        <v>0</v>
      </c>
      <c r="AE49" s="13">
        <v>0</v>
      </c>
      <c r="AF49" s="13">
        <v>0</v>
      </c>
      <c r="AG49" s="13">
        <v>1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1</v>
      </c>
      <c r="AP49" s="13">
        <v>1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 t="s">
        <v>192</v>
      </c>
      <c r="AX49" s="51">
        <f>2.46/4.73</f>
        <v>0.5200845665961944</v>
      </c>
      <c r="AY49" s="31">
        <v>0</v>
      </c>
      <c r="AZ49" s="31">
        <v>0</v>
      </c>
      <c r="BA49" s="31">
        <v>0</v>
      </c>
      <c r="BB49" s="51">
        <f>3.64/3.3</f>
        <v>1.103030303030303</v>
      </c>
      <c r="BC49" s="31">
        <v>2</v>
      </c>
      <c r="BD49" s="31">
        <v>0</v>
      </c>
      <c r="BE49" s="31"/>
      <c r="BF49" s="13" t="s">
        <v>48</v>
      </c>
      <c r="BG49" s="13" t="s">
        <v>48</v>
      </c>
      <c r="BH49" s="13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 t="s">
        <v>48</v>
      </c>
      <c r="BQ49" s="13" t="s">
        <v>48</v>
      </c>
      <c r="BR49" s="13">
        <v>0</v>
      </c>
      <c r="BS49" s="13" t="s">
        <v>48</v>
      </c>
      <c r="BT49" s="13">
        <v>0</v>
      </c>
      <c r="BU49" s="13">
        <v>1</v>
      </c>
      <c r="BV49" s="61" t="s">
        <v>50</v>
      </c>
      <c r="BW49" s="99">
        <v>0</v>
      </c>
      <c r="BX49" s="13">
        <v>0</v>
      </c>
      <c r="BY49" s="13">
        <v>0</v>
      </c>
      <c r="BZ49" s="13">
        <v>0</v>
      </c>
      <c r="CA49" s="13">
        <v>0</v>
      </c>
      <c r="CB49" s="34" t="s">
        <v>61</v>
      </c>
    </row>
    <row r="50" spans="1:80" s="53" customFormat="1" ht="18.75" x14ac:dyDescent="0.3">
      <c r="A50" s="1">
        <v>49</v>
      </c>
      <c r="B50" s="60">
        <v>56</v>
      </c>
      <c r="C50" s="13" t="s">
        <v>52</v>
      </c>
      <c r="D50" s="50" t="s">
        <v>47</v>
      </c>
      <c r="E50" s="13" t="s">
        <v>130</v>
      </c>
      <c r="F50" s="5">
        <f>'[2]Removed Saddle Values'!G50*2.54</f>
        <v>172.72</v>
      </c>
      <c r="G50" s="5">
        <v>117</v>
      </c>
      <c r="H50" s="5">
        <f t="shared" si="1"/>
        <v>39.219369096177637</v>
      </c>
      <c r="I50" s="13">
        <v>1</v>
      </c>
      <c r="J50" s="13">
        <v>5</v>
      </c>
      <c r="K50" s="13">
        <v>1</v>
      </c>
      <c r="L50" s="13">
        <v>0</v>
      </c>
      <c r="M50" s="13">
        <v>54</v>
      </c>
      <c r="N50" s="13">
        <v>1</v>
      </c>
      <c r="O50" s="13">
        <v>93</v>
      </c>
      <c r="P50" s="13">
        <v>0</v>
      </c>
      <c r="Q50" s="13">
        <v>26</v>
      </c>
      <c r="R50" s="13">
        <v>0</v>
      </c>
      <c r="S50" s="5">
        <v>100.1</v>
      </c>
      <c r="T50" s="13">
        <v>0</v>
      </c>
      <c r="U50" s="13">
        <v>95</v>
      </c>
      <c r="V50" s="13">
        <v>1</v>
      </c>
      <c r="W50" s="13">
        <v>0</v>
      </c>
      <c r="X50" s="13">
        <v>1</v>
      </c>
      <c r="Y50" s="13">
        <v>0</v>
      </c>
      <c r="Z50" s="13">
        <v>0</v>
      </c>
      <c r="AA50" s="13">
        <v>0</v>
      </c>
      <c r="AB50" s="13">
        <v>1</v>
      </c>
      <c r="AC50" s="13">
        <v>0</v>
      </c>
      <c r="AD50" s="13">
        <v>0</v>
      </c>
      <c r="AE50" s="13">
        <v>0</v>
      </c>
      <c r="AF50" s="13">
        <v>0</v>
      </c>
      <c r="AG50" s="13">
        <v>1</v>
      </c>
      <c r="AH50" s="13">
        <v>0</v>
      </c>
      <c r="AI50" s="13">
        <v>1</v>
      </c>
      <c r="AJ50" s="13">
        <v>1</v>
      </c>
      <c r="AK50" s="13">
        <v>0</v>
      </c>
      <c r="AL50" s="13">
        <v>0</v>
      </c>
      <c r="AM50" s="13">
        <v>0</v>
      </c>
      <c r="AN50" s="13">
        <v>1</v>
      </c>
      <c r="AO50" s="13">
        <v>0</v>
      </c>
      <c r="AP50" s="13" t="s">
        <v>48</v>
      </c>
      <c r="AQ50" s="13" t="s">
        <v>48</v>
      </c>
      <c r="AR50" s="13">
        <v>0</v>
      </c>
      <c r="AS50" s="13" t="s">
        <v>48</v>
      </c>
      <c r="AT50" s="13" t="s">
        <v>48</v>
      </c>
      <c r="AU50" s="13" t="s">
        <v>48</v>
      </c>
      <c r="AV50" s="13" t="s">
        <v>48</v>
      </c>
      <c r="AW50" s="13" t="s">
        <v>48</v>
      </c>
      <c r="AX50" s="51">
        <f>4.66/4.55</f>
        <v>1.0241758241758243</v>
      </c>
      <c r="AY50" s="31">
        <v>0</v>
      </c>
      <c r="AZ50" s="31">
        <v>0</v>
      </c>
      <c r="BA50" s="31">
        <v>1</v>
      </c>
      <c r="BB50" s="51">
        <f>3.29/3.55</f>
        <v>0.92676056338028179</v>
      </c>
      <c r="BC50" s="31">
        <v>1</v>
      </c>
      <c r="BD50" s="31">
        <v>0</v>
      </c>
      <c r="BE50" s="31"/>
      <c r="BF50" s="13">
        <v>0</v>
      </c>
      <c r="BG50" s="13" t="s">
        <v>48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 t="s">
        <v>48</v>
      </c>
      <c r="BQ50" s="13" t="s">
        <v>48</v>
      </c>
      <c r="BR50" s="13">
        <v>0</v>
      </c>
      <c r="BS50" s="13" t="s">
        <v>48</v>
      </c>
      <c r="BT50" s="13">
        <v>0</v>
      </c>
      <c r="BU50" s="13">
        <v>0</v>
      </c>
      <c r="BV50" s="61" t="s">
        <v>50</v>
      </c>
      <c r="BW50" s="99">
        <v>0</v>
      </c>
      <c r="BX50" s="13">
        <v>0</v>
      </c>
      <c r="BY50" s="13">
        <v>1</v>
      </c>
      <c r="BZ50" s="13">
        <v>0</v>
      </c>
      <c r="CA50" s="13">
        <v>0</v>
      </c>
      <c r="CB50" s="34" t="s">
        <v>56</v>
      </c>
    </row>
    <row r="51" spans="1:80" s="65" customFormat="1" ht="18.75" x14ac:dyDescent="0.3">
      <c r="A51" s="1">
        <v>50</v>
      </c>
      <c r="B51" s="60">
        <v>80</v>
      </c>
      <c r="C51" s="13" t="s">
        <v>52</v>
      </c>
      <c r="D51" s="50" t="s">
        <v>47</v>
      </c>
      <c r="E51" s="13" t="s">
        <v>109</v>
      </c>
      <c r="F51" s="5">
        <f>'[2]Removed Saddle Values'!G51*2.54</f>
        <v>167.64000000000001</v>
      </c>
      <c r="G51" s="5">
        <v>90.7</v>
      </c>
      <c r="H51" s="5">
        <f t="shared" si="1"/>
        <v>32.27393966266353</v>
      </c>
      <c r="I51" s="13">
        <v>1</v>
      </c>
      <c r="J51" s="13">
        <v>3</v>
      </c>
      <c r="K51" s="13">
        <v>2</v>
      </c>
      <c r="L51" s="13">
        <v>0</v>
      </c>
      <c r="M51" s="13">
        <v>85</v>
      </c>
      <c r="N51" s="13">
        <v>0</v>
      </c>
      <c r="O51" s="13">
        <v>117</v>
      </c>
      <c r="P51" s="13">
        <v>0</v>
      </c>
      <c r="Q51" s="13">
        <v>14</v>
      </c>
      <c r="R51" s="13">
        <v>0</v>
      </c>
      <c r="S51" s="5">
        <v>98.2</v>
      </c>
      <c r="T51" s="13">
        <v>1</v>
      </c>
      <c r="U51" s="13">
        <v>84</v>
      </c>
      <c r="V51" s="13">
        <v>1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 t="s">
        <v>48</v>
      </c>
      <c r="AQ51" s="13">
        <v>1</v>
      </c>
      <c r="AR51" s="13">
        <v>0</v>
      </c>
      <c r="AS51" s="13">
        <v>1</v>
      </c>
      <c r="AT51" s="13">
        <v>1</v>
      </c>
      <c r="AU51" s="13">
        <v>1</v>
      </c>
      <c r="AV51" s="13">
        <v>0</v>
      </c>
      <c r="AW51" s="13">
        <v>66</v>
      </c>
      <c r="AX51" s="51">
        <f>4.5/4.58</f>
        <v>0.98253275109170302</v>
      </c>
      <c r="AY51" s="31">
        <v>0</v>
      </c>
      <c r="AZ51" s="31">
        <v>0</v>
      </c>
      <c r="BA51" s="31">
        <v>1</v>
      </c>
      <c r="BB51" s="51">
        <f>2.96/3.65</f>
        <v>0.81095890410958904</v>
      </c>
      <c r="BC51" s="31">
        <v>3</v>
      </c>
      <c r="BD51" s="31">
        <v>0</v>
      </c>
      <c r="BE51" s="31"/>
      <c r="BF51" s="13">
        <v>0</v>
      </c>
      <c r="BG51" s="13" t="s">
        <v>48</v>
      </c>
      <c r="BH51" s="13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 t="s">
        <v>48</v>
      </c>
      <c r="BQ51" s="13" t="s">
        <v>48</v>
      </c>
      <c r="BR51" s="13">
        <v>0</v>
      </c>
      <c r="BS51" s="13" t="s">
        <v>48</v>
      </c>
      <c r="BT51" s="13">
        <v>0</v>
      </c>
      <c r="BU51" s="13">
        <v>0</v>
      </c>
      <c r="BV51" s="61" t="s">
        <v>50</v>
      </c>
      <c r="BW51" s="99">
        <v>0</v>
      </c>
      <c r="BX51" s="13">
        <v>0</v>
      </c>
      <c r="BY51" s="13">
        <v>0</v>
      </c>
      <c r="BZ51" s="13">
        <v>0</v>
      </c>
      <c r="CA51" s="13">
        <v>0</v>
      </c>
      <c r="CB51" s="34" t="s">
        <v>54</v>
      </c>
    </row>
    <row r="52" spans="1:80" s="65" customFormat="1" ht="18.75" x14ac:dyDescent="0.3">
      <c r="A52" s="1">
        <v>51</v>
      </c>
      <c r="B52" s="60">
        <v>58</v>
      </c>
      <c r="C52" s="13" t="s">
        <v>46</v>
      </c>
      <c r="D52" s="50" t="s">
        <v>47</v>
      </c>
      <c r="E52" s="13">
        <v>6</v>
      </c>
      <c r="F52" s="5">
        <f>'[2]Removed Saddle Values'!G52*2.54</f>
        <v>177.8</v>
      </c>
      <c r="G52" s="5">
        <v>92.1</v>
      </c>
      <c r="H52" s="5">
        <f t="shared" si="1"/>
        <v>29.133731736851225</v>
      </c>
      <c r="I52" s="13">
        <v>0</v>
      </c>
      <c r="J52" s="13">
        <v>2</v>
      </c>
      <c r="K52" s="13">
        <v>2</v>
      </c>
      <c r="L52" s="13">
        <v>0</v>
      </c>
      <c r="M52" s="13">
        <v>106</v>
      </c>
      <c r="N52" s="13">
        <v>0</v>
      </c>
      <c r="O52" s="13">
        <v>148</v>
      </c>
      <c r="P52" s="13">
        <v>0</v>
      </c>
      <c r="Q52" s="13">
        <v>26</v>
      </c>
      <c r="R52" s="13">
        <v>0</v>
      </c>
      <c r="S52" s="5">
        <v>97.5</v>
      </c>
      <c r="T52" s="13">
        <v>0</v>
      </c>
      <c r="U52" s="13">
        <v>96</v>
      </c>
      <c r="V52" s="13">
        <v>1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1</v>
      </c>
      <c r="AM52" s="13">
        <v>0</v>
      </c>
      <c r="AN52" s="13">
        <v>0</v>
      </c>
      <c r="AO52" s="13">
        <v>1</v>
      </c>
      <c r="AP52" s="13">
        <v>1</v>
      </c>
      <c r="AQ52" s="13">
        <v>0</v>
      </c>
      <c r="AR52" s="13">
        <v>0</v>
      </c>
      <c r="AS52" s="13">
        <v>1</v>
      </c>
      <c r="AT52" s="13">
        <v>1</v>
      </c>
      <c r="AU52" s="13">
        <v>1</v>
      </c>
      <c r="AV52" s="13">
        <v>0</v>
      </c>
      <c r="AW52" s="13">
        <v>37.9</v>
      </c>
      <c r="AX52" s="51">
        <f>3.3/4.5</f>
        <v>0.73333333333333328</v>
      </c>
      <c r="AY52" s="31">
        <v>0</v>
      </c>
      <c r="AZ52" s="31">
        <v>0</v>
      </c>
      <c r="BA52" s="31">
        <v>0</v>
      </c>
      <c r="BB52" s="51">
        <f>3.81/3.75</f>
        <v>1.016</v>
      </c>
      <c r="BC52" s="31">
        <v>2</v>
      </c>
      <c r="BD52" s="31">
        <v>0</v>
      </c>
      <c r="BE52" s="31"/>
      <c r="BF52" s="13">
        <v>0</v>
      </c>
      <c r="BG52" s="13" t="s">
        <v>48</v>
      </c>
      <c r="BH52" s="13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0</v>
      </c>
      <c r="BQ52" s="13">
        <v>1</v>
      </c>
      <c r="BR52" s="13">
        <v>0</v>
      </c>
      <c r="BS52" s="13" t="s">
        <v>48</v>
      </c>
      <c r="BT52" s="13">
        <v>0</v>
      </c>
      <c r="BU52" s="13">
        <v>0</v>
      </c>
      <c r="BV52" s="61" t="s">
        <v>57</v>
      </c>
      <c r="BW52" s="99" t="s">
        <v>57</v>
      </c>
      <c r="BX52" s="13">
        <v>0</v>
      </c>
      <c r="BY52" s="13">
        <v>0</v>
      </c>
      <c r="BZ52" s="13">
        <v>0</v>
      </c>
      <c r="CA52" s="13">
        <v>0</v>
      </c>
      <c r="CB52" s="34" t="s">
        <v>54</v>
      </c>
    </row>
    <row r="53" spans="1:80" s="65" customFormat="1" ht="18.75" x14ac:dyDescent="0.3">
      <c r="A53" s="1">
        <v>52</v>
      </c>
      <c r="B53" s="60">
        <v>80</v>
      </c>
      <c r="C53" s="13" t="s">
        <v>46</v>
      </c>
      <c r="D53" s="50" t="s">
        <v>47</v>
      </c>
      <c r="E53" s="13" t="s">
        <v>74</v>
      </c>
      <c r="F53" s="5">
        <f>'[2]Removed Saddle Values'!G53*2.54</f>
        <v>175.26</v>
      </c>
      <c r="G53" s="5">
        <v>82.6</v>
      </c>
      <c r="H53" s="5">
        <f t="shared" si="1"/>
        <v>26.89146315070618</v>
      </c>
      <c r="I53" s="13">
        <v>1</v>
      </c>
      <c r="J53" s="13">
        <v>3</v>
      </c>
      <c r="K53" s="13">
        <v>1</v>
      </c>
      <c r="L53" s="13">
        <v>0</v>
      </c>
      <c r="M53" s="13">
        <v>96</v>
      </c>
      <c r="N53" s="13">
        <v>0</v>
      </c>
      <c r="O53" s="13">
        <v>155</v>
      </c>
      <c r="P53" s="13">
        <v>0</v>
      </c>
      <c r="Q53" s="13">
        <v>16</v>
      </c>
      <c r="R53" s="13">
        <v>0</v>
      </c>
      <c r="S53" s="5">
        <v>98</v>
      </c>
      <c r="T53" s="13">
        <v>0</v>
      </c>
      <c r="U53" s="13">
        <v>98</v>
      </c>
      <c r="V53" s="13">
        <v>0</v>
      </c>
      <c r="W53" s="13">
        <v>0</v>
      </c>
      <c r="X53" s="13">
        <v>0</v>
      </c>
      <c r="Y53" s="13">
        <v>1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1</v>
      </c>
      <c r="AF53" s="13" t="s">
        <v>48</v>
      </c>
      <c r="AG53" s="13" t="s">
        <v>48</v>
      </c>
      <c r="AH53" s="13" t="s">
        <v>48</v>
      </c>
      <c r="AI53" s="13" t="s">
        <v>48</v>
      </c>
      <c r="AJ53" s="13">
        <v>1</v>
      </c>
      <c r="AK53" s="13" t="s">
        <v>48</v>
      </c>
      <c r="AL53" s="13" t="s">
        <v>48</v>
      </c>
      <c r="AM53" s="13">
        <v>0</v>
      </c>
      <c r="AN53" s="13">
        <v>0</v>
      </c>
      <c r="AO53" s="13" t="s">
        <v>48</v>
      </c>
      <c r="AP53" s="13" t="s">
        <v>48</v>
      </c>
      <c r="AQ53" s="13">
        <v>0</v>
      </c>
      <c r="AR53" s="13">
        <v>0</v>
      </c>
      <c r="AS53" s="13" t="s">
        <v>48</v>
      </c>
      <c r="AT53" s="13" t="s">
        <v>48</v>
      </c>
      <c r="AU53" s="13" t="s">
        <v>48</v>
      </c>
      <c r="AV53" s="13" t="s">
        <v>48</v>
      </c>
      <c r="AW53" s="13" t="s">
        <v>48</v>
      </c>
      <c r="AX53" s="51">
        <f>3.34/3.79</f>
        <v>0.8812664907651715</v>
      </c>
      <c r="AY53" s="31">
        <v>1</v>
      </c>
      <c r="AZ53" s="31">
        <v>0</v>
      </c>
      <c r="BA53" s="31">
        <v>0</v>
      </c>
      <c r="BB53" s="51">
        <f>2.68/3.58</f>
        <v>0.74860335195530725</v>
      </c>
      <c r="BC53" s="31">
        <v>3</v>
      </c>
      <c r="BD53" s="31">
        <v>0</v>
      </c>
      <c r="BE53" s="31"/>
      <c r="BF53" s="13" t="s">
        <v>48</v>
      </c>
      <c r="BG53" s="13" t="s">
        <v>48</v>
      </c>
      <c r="BH53" s="13" t="s">
        <v>48</v>
      </c>
      <c r="BI53" s="13">
        <v>0</v>
      </c>
      <c r="BJ53" s="13" t="s">
        <v>48</v>
      </c>
      <c r="BK53" s="13" t="s">
        <v>48</v>
      </c>
      <c r="BL53" s="13" t="s">
        <v>48</v>
      </c>
      <c r="BM53" s="13" t="s">
        <v>48</v>
      </c>
      <c r="BN53" s="13" t="s">
        <v>48</v>
      </c>
      <c r="BO53" s="13">
        <v>0</v>
      </c>
      <c r="BP53" s="13" t="s">
        <v>48</v>
      </c>
      <c r="BQ53" s="13" t="s">
        <v>48</v>
      </c>
      <c r="BR53" s="13" t="s">
        <v>48</v>
      </c>
      <c r="BS53" s="13" t="s">
        <v>48</v>
      </c>
      <c r="BT53" s="13" t="s">
        <v>48</v>
      </c>
      <c r="BU53" s="13" t="s">
        <v>48</v>
      </c>
      <c r="BV53" s="61" t="s">
        <v>50</v>
      </c>
      <c r="BW53" s="99">
        <v>0</v>
      </c>
      <c r="BX53" s="13" t="s">
        <v>48</v>
      </c>
      <c r="BY53" s="13" t="s">
        <v>48</v>
      </c>
      <c r="BZ53" s="13">
        <v>0</v>
      </c>
      <c r="CA53" s="13">
        <v>0</v>
      </c>
      <c r="CB53" s="34" t="s">
        <v>61</v>
      </c>
    </row>
    <row r="54" spans="1:80" s="53" customFormat="1" ht="18.75" x14ac:dyDescent="0.3">
      <c r="A54" s="1">
        <v>53</v>
      </c>
      <c r="B54" s="60">
        <v>75</v>
      </c>
      <c r="C54" s="13" t="s">
        <v>52</v>
      </c>
      <c r="D54" s="50" t="s">
        <v>53</v>
      </c>
      <c r="E54" s="13" t="s">
        <v>74</v>
      </c>
      <c r="F54" s="5">
        <f>'[2]Removed Saddle Values'!G54*2.54</f>
        <v>167.64000000000001</v>
      </c>
      <c r="G54" s="5">
        <v>123.5</v>
      </c>
      <c r="H54" s="5">
        <f t="shared" si="1"/>
        <v>43.945221040120678</v>
      </c>
      <c r="I54" s="13">
        <v>0</v>
      </c>
      <c r="J54" s="13">
        <v>2</v>
      </c>
      <c r="K54" s="13">
        <v>1</v>
      </c>
      <c r="L54" s="13">
        <v>0</v>
      </c>
      <c r="M54" s="13">
        <v>89</v>
      </c>
      <c r="N54" s="13">
        <v>0</v>
      </c>
      <c r="O54" s="13">
        <v>159</v>
      </c>
      <c r="P54" s="13">
        <v>0</v>
      </c>
      <c r="Q54" s="13">
        <v>19</v>
      </c>
      <c r="R54" s="13">
        <v>0</v>
      </c>
      <c r="S54" s="5">
        <v>98.2</v>
      </c>
      <c r="T54" s="13">
        <v>0</v>
      </c>
      <c r="U54" s="13">
        <v>94</v>
      </c>
      <c r="V54" s="13">
        <v>1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 t="s">
        <v>48</v>
      </c>
      <c r="AP54" s="13" t="s">
        <v>48</v>
      </c>
      <c r="AQ54" s="13" t="s">
        <v>48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37</v>
      </c>
      <c r="AX54" s="51">
        <f>4.25/3.55</f>
        <v>1.1971830985915493</v>
      </c>
      <c r="AY54" s="31">
        <v>0</v>
      </c>
      <c r="AZ54" s="31">
        <v>0</v>
      </c>
      <c r="BA54" s="31">
        <v>1</v>
      </c>
      <c r="BB54" s="51">
        <f>3/3.13</f>
        <v>0.95846645367412142</v>
      </c>
      <c r="BC54" s="31">
        <v>4</v>
      </c>
      <c r="BD54" s="31">
        <v>0</v>
      </c>
      <c r="BE54" s="31"/>
      <c r="BF54" s="13">
        <v>0</v>
      </c>
      <c r="BG54" s="13" t="s">
        <v>48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 t="s">
        <v>48</v>
      </c>
      <c r="BQ54" s="13" t="s">
        <v>48</v>
      </c>
      <c r="BR54" s="13">
        <v>0</v>
      </c>
      <c r="BS54" s="13" t="s">
        <v>48</v>
      </c>
      <c r="BT54" s="13">
        <v>0</v>
      </c>
      <c r="BU54" s="13">
        <v>0</v>
      </c>
      <c r="BV54" s="61" t="s">
        <v>149</v>
      </c>
      <c r="BW54" s="99">
        <v>0</v>
      </c>
      <c r="BX54" s="13">
        <v>0</v>
      </c>
      <c r="BY54" s="13">
        <v>0</v>
      </c>
      <c r="BZ54" s="13">
        <v>0</v>
      </c>
      <c r="CA54" s="13">
        <v>0</v>
      </c>
      <c r="CB54" s="34" t="s">
        <v>54</v>
      </c>
    </row>
    <row r="55" spans="1:80" s="65" customFormat="1" ht="18.75" x14ac:dyDescent="0.3">
      <c r="A55" s="1">
        <v>54</v>
      </c>
      <c r="B55" s="60">
        <v>56</v>
      </c>
      <c r="C55" s="13" t="s">
        <v>46</v>
      </c>
      <c r="D55" s="50" t="s">
        <v>53</v>
      </c>
      <c r="E55" s="13" t="s">
        <v>83</v>
      </c>
      <c r="F55" s="5">
        <f>'[2]Removed Saddle Values'!G55*2.54</f>
        <v>180.34</v>
      </c>
      <c r="G55" s="5">
        <v>95.7</v>
      </c>
      <c r="H55" s="5">
        <f t="shared" si="1"/>
        <v>29.425768036221648</v>
      </c>
      <c r="I55" s="13">
        <v>0</v>
      </c>
      <c r="J55" s="13">
        <v>2</v>
      </c>
      <c r="K55" s="13">
        <v>4</v>
      </c>
      <c r="L55" s="13">
        <v>0</v>
      </c>
      <c r="M55" s="13">
        <v>90</v>
      </c>
      <c r="N55" s="13">
        <v>0</v>
      </c>
      <c r="O55" s="13">
        <v>106</v>
      </c>
      <c r="P55" s="13">
        <v>0</v>
      </c>
      <c r="Q55" s="13">
        <v>20</v>
      </c>
      <c r="R55" s="13" t="s">
        <v>48</v>
      </c>
      <c r="S55" s="5" t="s">
        <v>48</v>
      </c>
      <c r="T55" s="13">
        <v>0</v>
      </c>
      <c r="U55" s="13">
        <v>94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1</v>
      </c>
      <c r="AP55" s="13">
        <v>1</v>
      </c>
      <c r="AQ55" s="13" t="s">
        <v>48</v>
      </c>
      <c r="AR55" s="13" t="s">
        <v>48</v>
      </c>
      <c r="AS55" s="13" t="s">
        <v>48</v>
      </c>
      <c r="AT55" s="13" t="s">
        <v>48</v>
      </c>
      <c r="AU55" s="13" t="s">
        <v>48</v>
      </c>
      <c r="AV55" s="13" t="s">
        <v>48</v>
      </c>
      <c r="AW55" s="13" t="s">
        <v>48</v>
      </c>
      <c r="AX55" s="51">
        <f>3.66/4.6</f>
        <v>0.79565217391304355</v>
      </c>
      <c r="AY55" s="31">
        <v>0</v>
      </c>
      <c r="AZ55" s="31">
        <v>0</v>
      </c>
      <c r="BA55" s="31">
        <v>0</v>
      </c>
      <c r="BB55" s="51">
        <f>2.78/2.75</f>
        <v>1.0109090909090908</v>
      </c>
      <c r="BC55" s="31">
        <v>5</v>
      </c>
      <c r="BD55" s="31">
        <v>0</v>
      </c>
      <c r="BE55" s="31"/>
      <c r="BF55" s="13">
        <v>0</v>
      </c>
      <c r="BG55" s="13" t="s">
        <v>48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 t="s">
        <v>48</v>
      </c>
      <c r="BQ55" s="13" t="s">
        <v>48</v>
      </c>
      <c r="BR55" s="13">
        <v>0</v>
      </c>
      <c r="BS55" s="13" t="s">
        <v>48</v>
      </c>
      <c r="BT55" s="13">
        <v>0</v>
      </c>
      <c r="BU55" s="13">
        <v>0</v>
      </c>
      <c r="BV55" s="61" t="s">
        <v>50</v>
      </c>
      <c r="BW55" s="99">
        <v>0</v>
      </c>
      <c r="BX55" s="13">
        <v>0</v>
      </c>
      <c r="BY55" s="13">
        <v>0</v>
      </c>
      <c r="BZ55" s="13">
        <v>0</v>
      </c>
      <c r="CA55" s="13">
        <v>0</v>
      </c>
      <c r="CB55" s="34" t="s">
        <v>62</v>
      </c>
    </row>
    <row r="56" spans="1:80" s="65" customFormat="1" ht="18.75" x14ac:dyDescent="0.3">
      <c r="A56" s="1">
        <v>55</v>
      </c>
      <c r="B56" s="60">
        <v>68</v>
      </c>
      <c r="C56" s="13" t="s">
        <v>46</v>
      </c>
      <c r="D56" s="50" t="s">
        <v>47</v>
      </c>
      <c r="E56" s="13" t="s">
        <v>77</v>
      </c>
      <c r="F56" s="5">
        <f>'[2]Removed Saddle Values'!G56*2.54</f>
        <v>177.8</v>
      </c>
      <c r="G56" s="5">
        <v>112.8</v>
      </c>
      <c r="H56" s="5">
        <f t="shared" si="1"/>
        <v>35.681704016469254</v>
      </c>
      <c r="I56" s="13">
        <v>0</v>
      </c>
      <c r="J56" s="13">
        <v>2</v>
      </c>
      <c r="K56" s="13">
        <v>2</v>
      </c>
      <c r="L56" s="13">
        <v>0</v>
      </c>
      <c r="M56" s="13">
        <v>104</v>
      </c>
      <c r="N56" s="13">
        <v>0</v>
      </c>
      <c r="O56" s="13">
        <v>128</v>
      </c>
      <c r="P56" s="13">
        <v>0</v>
      </c>
      <c r="Q56" s="13">
        <v>15</v>
      </c>
      <c r="R56" s="13">
        <v>0</v>
      </c>
      <c r="S56" s="5">
        <v>98.1</v>
      </c>
      <c r="T56" s="13">
        <v>0</v>
      </c>
      <c r="U56" s="13">
        <v>98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1</v>
      </c>
      <c r="AG56" s="13">
        <v>0</v>
      </c>
      <c r="AH56" s="13">
        <v>0</v>
      </c>
      <c r="AI56" s="13">
        <v>0</v>
      </c>
      <c r="AJ56" s="13">
        <v>0</v>
      </c>
      <c r="AK56" s="13">
        <v>1</v>
      </c>
      <c r="AL56" s="13">
        <v>0</v>
      </c>
      <c r="AM56" s="13">
        <v>0</v>
      </c>
      <c r="AN56" s="13">
        <v>0</v>
      </c>
      <c r="AO56" s="13">
        <v>1</v>
      </c>
      <c r="AP56" s="13">
        <v>1</v>
      </c>
      <c r="AQ56" s="13">
        <v>1</v>
      </c>
      <c r="AR56" s="13">
        <v>0</v>
      </c>
      <c r="AS56" s="13">
        <v>1</v>
      </c>
      <c r="AT56" s="13">
        <v>1</v>
      </c>
      <c r="AU56" s="13">
        <v>1</v>
      </c>
      <c r="AV56" s="13">
        <v>0</v>
      </c>
      <c r="AW56" s="13" t="s">
        <v>192</v>
      </c>
      <c r="AX56" s="51">
        <f>5.72/4.08</f>
        <v>1.4019607843137254</v>
      </c>
      <c r="AY56" s="31">
        <v>0</v>
      </c>
      <c r="AZ56" s="31">
        <v>0</v>
      </c>
      <c r="BA56" s="31">
        <v>1</v>
      </c>
      <c r="BB56" s="51">
        <f>3.84/3.74</f>
        <v>1.0267379679144384</v>
      </c>
      <c r="BC56" s="31">
        <v>4</v>
      </c>
      <c r="BD56" s="31">
        <v>1</v>
      </c>
      <c r="BE56" s="31"/>
      <c r="BF56" s="13">
        <v>0</v>
      </c>
      <c r="BG56" s="13" t="s">
        <v>48</v>
      </c>
      <c r="BH56" s="13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3">
        <v>1</v>
      </c>
      <c r="BR56" s="13">
        <v>0</v>
      </c>
      <c r="BS56" s="13" t="s">
        <v>48</v>
      </c>
      <c r="BT56" s="13">
        <v>0</v>
      </c>
      <c r="BU56" s="13">
        <v>0</v>
      </c>
      <c r="BV56" s="61" t="s">
        <v>50</v>
      </c>
      <c r="BW56" s="99">
        <v>0</v>
      </c>
      <c r="BX56" s="13">
        <v>1</v>
      </c>
      <c r="BY56" s="13">
        <v>0</v>
      </c>
      <c r="BZ56" s="13">
        <v>0</v>
      </c>
      <c r="CA56" s="13">
        <v>0</v>
      </c>
      <c r="CB56" s="34" t="s">
        <v>62</v>
      </c>
    </row>
    <row r="57" spans="1:80" s="65" customFormat="1" ht="18.75" x14ac:dyDescent="0.3">
      <c r="A57" s="1">
        <v>56</v>
      </c>
      <c r="B57" s="60">
        <v>69</v>
      </c>
      <c r="C57" s="13" t="s">
        <v>46</v>
      </c>
      <c r="D57" s="50" t="s">
        <v>47</v>
      </c>
      <c r="E57" s="13" t="s">
        <v>109</v>
      </c>
      <c r="F57" s="5">
        <f>'[2]Removed Saddle Values'!G57*2.54</f>
        <v>177.8</v>
      </c>
      <c r="G57" s="5">
        <v>96.2</v>
      </c>
      <c r="H57" s="5">
        <f t="shared" si="1"/>
        <v>30.430673106244171</v>
      </c>
      <c r="I57" s="13">
        <v>0</v>
      </c>
      <c r="J57" s="13">
        <v>2</v>
      </c>
      <c r="K57" s="13">
        <v>1</v>
      </c>
      <c r="L57" s="13">
        <v>0</v>
      </c>
      <c r="M57" s="13">
        <v>96</v>
      </c>
      <c r="N57" s="13">
        <v>0</v>
      </c>
      <c r="O57" s="13">
        <v>137</v>
      </c>
      <c r="P57" s="13">
        <v>0</v>
      </c>
      <c r="Q57" s="13">
        <v>17</v>
      </c>
      <c r="R57" s="13">
        <v>0</v>
      </c>
      <c r="S57" s="5">
        <v>98.2</v>
      </c>
      <c r="T57" s="13">
        <v>0</v>
      </c>
      <c r="U57" s="13">
        <v>94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1</v>
      </c>
      <c r="AM57" s="13">
        <v>0</v>
      </c>
      <c r="AN57" s="13">
        <v>0</v>
      </c>
      <c r="AO57" s="13">
        <v>1</v>
      </c>
      <c r="AP57" s="13">
        <v>1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34</v>
      </c>
      <c r="AX57" s="51">
        <f>3.87/4.06</f>
        <v>0.95320197044334987</v>
      </c>
      <c r="AY57" s="31">
        <v>0</v>
      </c>
      <c r="AZ57" s="31">
        <v>0</v>
      </c>
      <c r="BA57" s="31">
        <v>1</v>
      </c>
      <c r="BB57" s="51">
        <f>2.59/3.66</f>
        <v>0.70765027322404361</v>
      </c>
      <c r="BC57" s="31">
        <v>1</v>
      </c>
      <c r="BD57" s="31">
        <v>0</v>
      </c>
      <c r="BE57" s="31"/>
      <c r="BF57" s="13">
        <v>0</v>
      </c>
      <c r="BG57" s="13" t="s">
        <v>48</v>
      </c>
      <c r="BH57" s="13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0</v>
      </c>
      <c r="BQ57" s="13">
        <v>1</v>
      </c>
      <c r="BR57" s="13">
        <v>0</v>
      </c>
      <c r="BS57" s="13" t="s">
        <v>48</v>
      </c>
      <c r="BT57" s="13">
        <v>0</v>
      </c>
      <c r="BU57" s="13">
        <v>0</v>
      </c>
      <c r="BV57" s="61" t="s">
        <v>149</v>
      </c>
      <c r="BW57" s="99">
        <v>0</v>
      </c>
      <c r="BX57" s="13">
        <v>0</v>
      </c>
      <c r="BY57" s="13">
        <v>1</v>
      </c>
      <c r="BZ57" s="13">
        <v>0</v>
      </c>
      <c r="CA57" s="13">
        <v>0</v>
      </c>
      <c r="CB57" s="34" t="s">
        <v>54</v>
      </c>
    </row>
    <row r="58" spans="1:80" s="65" customFormat="1" ht="18.75" x14ac:dyDescent="0.3">
      <c r="A58" s="1">
        <v>57</v>
      </c>
      <c r="B58" s="60">
        <v>64</v>
      </c>
      <c r="C58" s="13" t="s">
        <v>46</v>
      </c>
      <c r="D58" s="50" t="s">
        <v>47</v>
      </c>
      <c r="E58" s="13" t="s">
        <v>77</v>
      </c>
      <c r="F58" s="5">
        <f>'[2]Removed Saddle Values'!G58*2.54</f>
        <v>187.96</v>
      </c>
      <c r="G58" s="5">
        <v>95</v>
      </c>
      <c r="H58" s="5">
        <f t="shared" si="1"/>
        <v>26.890119521656132</v>
      </c>
      <c r="I58" s="13">
        <v>0</v>
      </c>
      <c r="J58" s="13">
        <v>2</v>
      </c>
      <c r="K58" s="13">
        <v>2</v>
      </c>
      <c r="L58" s="13">
        <v>0</v>
      </c>
      <c r="M58" s="13">
        <v>71</v>
      </c>
      <c r="N58" s="13">
        <v>0</v>
      </c>
      <c r="O58" s="13">
        <v>132</v>
      </c>
      <c r="P58" s="13">
        <v>0</v>
      </c>
      <c r="Q58" s="13">
        <v>23</v>
      </c>
      <c r="R58" s="13">
        <v>0</v>
      </c>
      <c r="S58" s="5">
        <v>97.7</v>
      </c>
      <c r="T58" s="13">
        <v>0</v>
      </c>
      <c r="U58" s="13">
        <v>97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1</v>
      </c>
      <c r="AP58" s="13">
        <v>1</v>
      </c>
      <c r="AQ58" s="13">
        <v>0</v>
      </c>
      <c r="AR58" s="13">
        <v>0</v>
      </c>
      <c r="AS58" s="13">
        <v>0</v>
      </c>
      <c r="AT58" s="13">
        <v>1</v>
      </c>
      <c r="AU58" s="13">
        <v>0</v>
      </c>
      <c r="AV58" s="13">
        <v>0</v>
      </c>
      <c r="AW58" s="13">
        <v>26.5</v>
      </c>
      <c r="AX58" s="51">
        <f>3.56/4.49</f>
        <v>0.79287305122494434</v>
      </c>
      <c r="AY58" s="31">
        <v>0</v>
      </c>
      <c r="AZ58" s="31">
        <v>0</v>
      </c>
      <c r="BA58" s="31">
        <v>0</v>
      </c>
      <c r="BB58" s="51">
        <f>2.45/3.85</f>
        <v>0.63636363636363635</v>
      </c>
      <c r="BC58" s="31">
        <v>1</v>
      </c>
      <c r="BD58" s="31">
        <v>0</v>
      </c>
      <c r="BE58" s="31"/>
      <c r="BF58" s="13">
        <v>0</v>
      </c>
      <c r="BG58" s="13" t="s">
        <v>48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 t="s">
        <v>48</v>
      </c>
      <c r="BQ58" s="13" t="s">
        <v>48</v>
      </c>
      <c r="BR58" s="13">
        <v>0</v>
      </c>
      <c r="BS58" s="13" t="s">
        <v>48</v>
      </c>
      <c r="BT58" s="13">
        <v>0</v>
      </c>
      <c r="BU58" s="13">
        <v>0</v>
      </c>
      <c r="BV58" s="61" t="s">
        <v>50</v>
      </c>
      <c r="BW58" s="99">
        <v>0</v>
      </c>
      <c r="BX58" s="13">
        <v>0</v>
      </c>
      <c r="BY58" s="13">
        <v>0</v>
      </c>
      <c r="BZ58" s="13">
        <v>0</v>
      </c>
      <c r="CA58" s="13">
        <v>0</v>
      </c>
      <c r="CB58" s="34" t="s">
        <v>54</v>
      </c>
    </row>
    <row r="59" spans="1:80" s="65" customFormat="1" ht="18.75" x14ac:dyDescent="0.3">
      <c r="A59" s="1">
        <v>58</v>
      </c>
      <c r="B59" s="60">
        <v>55</v>
      </c>
      <c r="C59" s="13" t="s">
        <v>46</v>
      </c>
      <c r="D59" s="50" t="s">
        <v>47</v>
      </c>
      <c r="E59" s="13" t="s">
        <v>83</v>
      </c>
      <c r="F59" s="5">
        <f>'[2]Removed Saddle Values'!G59*2.54</f>
        <v>185.42000000000002</v>
      </c>
      <c r="G59" s="5">
        <v>86.2</v>
      </c>
      <c r="H59" s="5">
        <f t="shared" si="1"/>
        <v>25.072296344630217</v>
      </c>
      <c r="I59" s="13">
        <v>1</v>
      </c>
      <c r="J59" s="13">
        <v>3</v>
      </c>
      <c r="K59" s="13">
        <v>2</v>
      </c>
      <c r="L59" s="13">
        <v>1</v>
      </c>
      <c r="M59" s="13">
        <v>120</v>
      </c>
      <c r="N59" s="13">
        <v>0</v>
      </c>
      <c r="O59" s="13">
        <v>119</v>
      </c>
      <c r="P59" s="13">
        <v>0</v>
      </c>
      <c r="Q59" s="13">
        <v>18</v>
      </c>
      <c r="R59" s="13">
        <v>0</v>
      </c>
      <c r="S59" s="5">
        <v>97.7</v>
      </c>
      <c r="T59" s="13">
        <v>0</v>
      </c>
      <c r="U59" s="13">
        <v>96</v>
      </c>
      <c r="V59" s="13">
        <v>1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1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1</v>
      </c>
      <c r="AP59" s="13">
        <v>1</v>
      </c>
      <c r="AQ59" s="13">
        <v>1</v>
      </c>
      <c r="AR59" s="13">
        <v>0</v>
      </c>
      <c r="AS59" s="13">
        <v>1</v>
      </c>
      <c r="AT59" s="13">
        <v>1</v>
      </c>
      <c r="AU59" s="13">
        <v>1</v>
      </c>
      <c r="AV59" s="13">
        <v>0</v>
      </c>
      <c r="AW59" s="13">
        <v>63</v>
      </c>
      <c r="AX59" s="51">
        <f>5.74/3.61</f>
        <v>1.5900277008310251</v>
      </c>
      <c r="AY59" s="31">
        <v>0</v>
      </c>
      <c r="AZ59" s="31">
        <v>0</v>
      </c>
      <c r="BA59" s="31">
        <v>1</v>
      </c>
      <c r="BB59" s="51">
        <f>3.44/3.28</f>
        <v>1.0487804878048781</v>
      </c>
      <c r="BC59" s="31">
        <v>3</v>
      </c>
      <c r="BD59" s="31">
        <v>1</v>
      </c>
      <c r="BE59" s="31"/>
      <c r="BF59" s="13">
        <v>0</v>
      </c>
      <c r="BG59" s="13" t="s">
        <v>48</v>
      </c>
      <c r="BH59" s="13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1</v>
      </c>
      <c r="BO59" s="13">
        <v>0</v>
      </c>
      <c r="BP59" s="13">
        <v>1</v>
      </c>
      <c r="BQ59" s="13">
        <v>1</v>
      </c>
      <c r="BR59" s="13">
        <v>1</v>
      </c>
      <c r="BS59" s="34" t="s">
        <v>155</v>
      </c>
      <c r="BT59" s="13">
        <v>0</v>
      </c>
      <c r="BU59" s="13">
        <v>0</v>
      </c>
      <c r="BV59" s="61" t="s">
        <v>50</v>
      </c>
      <c r="BW59" s="99">
        <v>0</v>
      </c>
      <c r="BX59" s="13">
        <v>0</v>
      </c>
      <c r="BY59" s="13">
        <v>0</v>
      </c>
      <c r="BZ59" s="13">
        <v>0</v>
      </c>
      <c r="CA59" s="13">
        <v>0</v>
      </c>
      <c r="CB59" s="34" t="s">
        <v>62</v>
      </c>
    </row>
    <row r="60" spans="1:80" s="65" customFormat="1" ht="18.75" x14ac:dyDescent="0.3">
      <c r="A60" s="1">
        <v>59</v>
      </c>
      <c r="B60" s="60">
        <v>51</v>
      </c>
      <c r="C60" s="13" t="s">
        <v>46</v>
      </c>
      <c r="D60" s="50" t="s">
        <v>53</v>
      </c>
      <c r="E60" s="13" t="s">
        <v>83</v>
      </c>
      <c r="F60" s="5">
        <f>'[2]Removed Saddle Values'!G60*2.54</f>
        <v>172.72</v>
      </c>
      <c r="G60" s="5">
        <v>127.1</v>
      </c>
      <c r="H60" s="5">
        <f t="shared" si="1"/>
        <v>42.604972753198098</v>
      </c>
      <c r="I60" s="13">
        <v>1</v>
      </c>
      <c r="J60" s="13">
        <v>2</v>
      </c>
      <c r="K60" s="13">
        <v>2</v>
      </c>
      <c r="L60" s="13">
        <v>1</v>
      </c>
      <c r="M60" s="13">
        <v>110</v>
      </c>
      <c r="N60" s="13">
        <v>0</v>
      </c>
      <c r="O60" s="13">
        <v>148</v>
      </c>
      <c r="P60" s="13">
        <v>0</v>
      </c>
      <c r="Q60" s="13">
        <v>18</v>
      </c>
      <c r="R60" s="13">
        <v>0</v>
      </c>
      <c r="S60" s="5">
        <v>98.4</v>
      </c>
      <c r="T60" s="13">
        <v>0</v>
      </c>
      <c r="U60" s="13">
        <v>100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1</v>
      </c>
      <c r="AL60" s="13">
        <v>1</v>
      </c>
      <c r="AM60" s="13">
        <v>0</v>
      </c>
      <c r="AN60" s="13">
        <v>0</v>
      </c>
      <c r="AO60" s="13">
        <v>1</v>
      </c>
      <c r="AP60" s="13">
        <v>0</v>
      </c>
      <c r="AQ60" s="13">
        <v>1</v>
      </c>
      <c r="AR60" s="13">
        <v>1</v>
      </c>
      <c r="AS60" s="13">
        <v>1</v>
      </c>
      <c r="AT60" s="13">
        <v>1</v>
      </c>
      <c r="AU60" s="13">
        <v>1</v>
      </c>
      <c r="AV60" s="13">
        <v>0</v>
      </c>
      <c r="AW60" s="13">
        <v>44.2</v>
      </c>
      <c r="AX60" s="51">
        <f>5.3/4.72</f>
        <v>1.1228813559322035</v>
      </c>
      <c r="AY60" s="31">
        <v>0</v>
      </c>
      <c r="AZ60" s="31">
        <v>0</v>
      </c>
      <c r="BA60" s="31">
        <v>1</v>
      </c>
      <c r="BB60" s="51">
        <f>4.89/4.06</f>
        <v>1.204433497536946</v>
      </c>
      <c r="BC60" s="31">
        <v>4</v>
      </c>
      <c r="BD60" s="31">
        <v>1</v>
      </c>
      <c r="BE60" s="31"/>
      <c r="BF60" s="13">
        <v>0</v>
      </c>
      <c r="BG60" s="13" t="s">
        <v>48</v>
      </c>
      <c r="BH60" s="13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0</v>
      </c>
      <c r="BQ60" s="13">
        <v>1</v>
      </c>
      <c r="BR60" s="13">
        <v>0</v>
      </c>
      <c r="BS60" s="13" t="s">
        <v>48</v>
      </c>
      <c r="BT60" s="13">
        <v>0</v>
      </c>
      <c r="BU60" s="13">
        <v>0</v>
      </c>
      <c r="BV60" s="61" t="s">
        <v>50</v>
      </c>
      <c r="BW60" s="99">
        <v>0</v>
      </c>
      <c r="BX60" s="13">
        <v>0</v>
      </c>
      <c r="BY60" s="13">
        <v>0</v>
      </c>
      <c r="BZ60" s="13">
        <v>0</v>
      </c>
      <c r="CA60" s="13">
        <v>0</v>
      </c>
      <c r="CB60" s="34" t="s">
        <v>55</v>
      </c>
    </row>
    <row r="61" spans="1:80" s="65" customFormat="1" ht="18.75" x14ac:dyDescent="0.3">
      <c r="A61" s="1">
        <v>60</v>
      </c>
      <c r="B61" s="60">
        <v>68</v>
      </c>
      <c r="C61" s="13" t="s">
        <v>52</v>
      </c>
      <c r="D61" s="50" t="s">
        <v>47</v>
      </c>
      <c r="E61" s="13" t="s">
        <v>76</v>
      </c>
      <c r="F61" s="5">
        <f>'[2]Removed Saddle Values'!G61*2.54</f>
        <v>162.56</v>
      </c>
      <c r="G61" s="5">
        <v>61.7</v>
      </c>
      <c r="H61" s="5">
        <f t="shared" si="1"/>
        <v>23.34843536874574</v>
      </c>
      <c r="I61" s="13">
        <v>1</v>
      </c>
      <c r="J61" s="13">
        <v>4</v>
      </c>
      <c r="K61" s="13">
        <v>1</v>
      </c>
      <c r="L61" s="13">
        <v>1</v>
      </c>
      <c r="M61" s="13">
        <v>120</v>
      </c>
      <c r="N61" s="13">
        <v>0</v>
      </c>
      <c r="O61" s="13">
        <v>163</v>
      </c>
      <c r="P61" s="13">
        <v>0</v>
      </c>
      <c r="Q61" s="13">
        <v>22</v>
      </c>
      <c r="R61" s="13">
        <v>0</v>
      </c>
      <c r="S61" s="5">
        <v>99.2</v>
      </c>
      <c r="T61" s="13">
        <v>0</v>
      </c>
      <c r="U61" s="13">
        <v>95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1</v>
      </c>
      <c r="AC61" s="13">
        <v>0</v>
      </c>
      <c r="AD61" s="13">
        <v>0</v>
      </c>
      <c r="AE61" s="13">
        <v>0</v>
      </c>
      <c r="AF61" s="13">
        <v>0</v>
      </c>
      <c r="AG61" s="13">
        <v>1</v>
      </c>
      <c r="AH61" s="13">
        <v>0</v>
      </c>
      <c r="AI61" s="13">
        <v>0</v>
      </c>
      <c r="AJ61" s="13">
        <v>0</v>
      </c>
      <c r="AK61" s="13">
        <v>1</v>
      </c>
      <c r="AL61" s="13">
        <v>1</v>
      </c>
      <c r="AM61" s="13">
        <v>0</v>
      </c>
      <c r="AN61" s="13">
        <v>0</v>
      </c>
      <c r="AO61" s="13">
        <v>1</v>
      </c>
      <c r="AP61" s="13">
        <v>1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47.9</v>
      </c>
      <c r="AX61" s="51">
        <f>2.83/3.03</f>
        <v>0.93399339933993408</v>
      </c>
      <c r="AY61" s="31">
        <v>0</v>
      </c>
      <c r="AZ61" s="31">
        <v>1</v>
      </c>
      <c r="BA61" s="31">
        <v>0</v>
      </c>
      <c r="BB61" s="51">
        <f>3.13/2.94</f>
        <v>1.064625850340136</v>
      </c>
      <c r="BC61" s="31">
        <v>3</v>
      </c>
      <c r="BD61" s="31">
        <v>1</v>
      </c>
      <c r="BE61" s="31"/>
      <c r="BF61" s="13">
        <v>0</v>
      </c>
      <c r="BG61" s="13" t="s">
        <v>48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 t="s">
        <v>48</v>
      </c>
      <c r="BQ61" s="13" t="s">
        <v>48</v>
      </c>
      <c r="BR61" s="13">
        <v>0</v>
      </c>
      <c r="BS61" s="13" t="s">
        <v>48</v>
      </c>
      <c r="BT61" s="13">
        <v>0</v>
      </c>
      <c r="BU61" s="13">
        <v>0</v>
      </c>
      <c r="BV61" s="61" t="s">
        <v>57</v>
      </c>
      <c r="BW61" s="99" t="s">
        <v>57</v>
      </c>
      <c r="BX61" s="13">
        <v>0</v>
      </c>
      <c r="BY61" s="13">
        <v>0</v>
      </c>
      <c r="BZ61" s="13">
        <v>0</v>
      </c>
      <c r="CA61" s="13">
        <v>0</v>
      </c>
      <c r="CB61" s="34" t="s">
        <v>61</v>
      </c>
    </row>
    <row r="62" spans="1:80" s="65" customFormat="1" ht="18.75" x14ac:dyDescent="0.3">
      <c r="A62" s="1">
        <v>61</v>
      </c>
      <c r="B62" s="60">
        <v>58</v>
      </c>
      <c r="C62" s="13" t="s">
        <v>46</v>
      </c>
      <c r="D62" s="50" t="s">
        <v>47</v>
      </c>
      <c r="E62" s="13" t="s">
        <v>83</v>
      </c>
      <c r="F62" s="5">
        <f>'[2]Removed Saddle Values'!G62*2.54</f>
        <v>180.34</v>
      </c>
      <c r="G62" s="5">
        <v>92.3</v>
      </c>
      <c r="H62" s="5">
        <v>26.86</v>
      </c>
      <c r="I62" s="13">
        <v>1</v>
      </c>
      <c r="J62" s="13">
        <v>4</v>
      </c>
      <c r="K62" s="13">
        <v>2</v>
      </c>
      <c r="L62" s="13">
        <v>1</v>
      </c>
      <c r="M62" s="13">
        <v>124</v>
      </c>
      <c r="N62" s="13">
        <v>0</v>
      </c>
      <c r="O62" s="13">
        <v>101</v>
      </c>
      <c r="P62" s="13">
        <v>0</v>
      </c>
      <c r="Q62" s="13">
        <v>26</v>
      </c>
      <c r="R62" s="13">
        <v>0</v>
      </c>
      <c r="S62" s="5">
        <v>98.5</v>
      </c>
      <c r="T62" s="13">
        <v>1</v>
      </c>
      <c r="U62" s="13">
        <v>88</v>
      </c>
      <c r="V62" s="13">
        <v>1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1</v>
      </c>
      <c r="AD62" s="13">
        <v>0</v>
      </c>
      <c r="AE62" s="13">
        <v>0</v>
      </c>
      <c r="AF62" s="13">
        <v>0</v>
      </c>
      <c r="AG62" s="13">
        <v>1</v>
      </c>
      <c r="AH62" s="13">
        <v>1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1</v>
      </c>
      <c r="AP62" s="13">
        <v>1</v>
      </c>
      <c r="AQ62" s="13">
        <v>1</v>
      </c>
      <c r="AR62" s="13">
        <v>1</v>
      </c>
      <c r="AS62" s="13">
        <v>1</v>
      </c>
      <c r="AT62" s="13">
        <v>1</v>
      </c>
      <c r="AU62" s="13">
        <v>1</v>
      </c>
      <c r="AV62" s="13">
        <v>0</v>
      </c>
      <c r="AW62" s="13">
        <v>37.299999999999997</v>
      </c>
      <c r="AX62" s="51">
        <f>5.78/4.73</f>
        <v>1.2219873150105707</v>
      </c>
      <c r="AY62" s="31">
        <v>0</v>
      </c>
      <c r="AZ62" s="31">
        <v>0</v>
      </c>
      <c r="BA62" s="31">
        <v>1</v>
      </c>
      <c r="BB62" s="51">
        <f>3.7/4.01</f>
        <v>0.92269326683291775</v>
      </c>
      <c r="BC62" s="31">
        <v>5</v>
      </c>
      <c r="BD62" s="31">
        <v>1</v>
      </c>
      <c r="BE62" s="31"/>
      <c r="BF62" s="13">
        <v>0</v>
      </c>
      <c r="BG62" s="13" t="s">
        <v>48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 t="s">
        <v>48</v>
      </c>
      <c r="BQ62" s="13" t="s">
        <v>48</v>
      </c>
      <c r="BR62" s="13">
        <v>0</v>
      </c>
      <c r="BS62" s="13" t="s">
        <v>48</v>
      </c>
      <c r="BT62" s="13">
        <v>0</v>
      </c>
      <c r="BU62" s="13">
        <v>1</v>
      </c>
      <c r="BV62" s="61" t="s">
        <v>50</v>
      </c>
      <c r="BW62" s="99">
        <v>0</v>
      </c>
      <c r="BX62" s="13">
        <v>0</v>
      </c>
      <c r="BY62" s="13">
        <v>0</v>
      </c>
      <c r="BZ62" s="13">
        <v>0</v>
      </c>
      <c r="CA62" s="13">
        <v>0</v>
      </c>
      <c r="CB62" s="34" t="s">
        <v>84</v>
      </c>
    </row>
    <row r="63" spans="1:80" s="65" customFormat="1" ht="18.75" x14ac:dyDescent="0.3">
      <c r="A63" s="1">
        <v>62</v>
      </c>
      <c r="B63" s="60">
        <v>95</v>
      </c>
      <c r="C63" s="13" t="s">
        <v>52</v>
      </c>
      <c r="D63" s="50" t="s">
        <v>53</v>
      </c>
      <c r="E63" s="13" t="s">
        <v>102</v>
      </c>
      <c r="F63" s="5">
        <f>'[2]Removed Saddle Values'!G63*2.54</f>
        <v>165.1</v>
      </c>
      <c r="G63" s="5">
        <v>89.8</v>
      </c>
      <c r="H63" s="5">
        <f t="shared" ref="H63:H94" si="2">G63/((F63/100)^2)</f>
        <v>32.94444458711402</v>
      </c>
      <c r="I63" s="13">
        <v>1</v>
      </c>
      <c r="J63" s="13">
        <v>5</v>
      </c>
      <c r="K63" s="13">
        <v>1</v>
      </c>
      <c r="L63" s="13">
        <v>0</v>
      </c>
      <c r="M63" s="13">
        <v>94</v>
      </c>
      <c r="N63" s="13">
        <v>0</v>
      </c>
      <c r="O63" s="13">
        <v>134</v>
      </c>
      <c r="P63" s="13">
        <v>0</v>
      </c>
      <c r="Q63" s="13">
        <v>20</v>
      </c>
      <c r="R63" s="13">
        <v>0</v>
      </c>
      <c r="S63" s="5">
        <v>99.3</v>
      </c>
      <c r="T63" s="13">
        <v>1</v>
      </c>
      <c r="U63" s="13">
        <v>76</v>
      </c>
      <c r="V63" s="13">
        <v>1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1</v>
      </c>
      <c r="AC63" s="13">
        <v>0</v>
      </c>
      <c r="AD63" s="13">
        <v>0</v>
      </c>
      <c r="AE63" s="13">
        <v>0</v>
      </c>
      <c r="AF63" s="13">
        <v>0</v>
      </c>
      <c r="AG63" s="13">
        <v>1</v>
      </c>
      <c r="AH63" s="13">
        <v>0</v>
      </c>
      <c r="AI63" s="13">
        <v>0</v>
      </c>
      <c r="AJ63" s="13">
        <v>1</v>
      </c>
      <c r="AK63" s="13">
        <v>0</v>
      </c>
      <c r="AL63" s="13">
        <v>0</v>
      </c>
      <c r="AM63" s="13">
        <v>1</v>
      </c>
      <c r="AN63" s="13">
        <v>0</v>
      </c>
      <c r="AO63" s="13">
        <v>0</v>
      </c>
      <c r="AP63" s="13" t="s">
        <v>48</v>
      </c>
      <c r="AQ63" s="13" t="s">
        <v>48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 t="s">
        <v>192</v>
      </c>
      <c r="AX63" s="51">
        <f>3.86/4.25</f>
        <v>0.90823529411764703</v>
      </c>
      <c r="AY63" s="31">
        <v>0</v>
      </c>
      <c r="AZ63" s="31">
        <v>1</v>
      </c>
      <c r="BA63" s="31">
        <v>0</v>
      </c>
      <c r="BB63" s="51">
        <f>4.05/3.56</f>
        <v>1.1376404494382022</v>
      </c>
      <c r="BC63" s="31">
        <v>3</v>
      </c>
      <c r="BD63" s="31">
        <v>0</v>
      </c>
      <c r="BE63" s="31"/>
      <c r="BF63" s="13">
        <v>0</v>
      </c>
      <c r="BG63" s="13" t="s">
        <v>48</v>
      </c>
      <c r="BH63" s="13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 t="s">
        <v>48</v>
      </c>
      <c r="BQ63" s="13" t="s">
        <v>48</v>
      </c>
      <c r="BR63" s="13">
        <v>0</v>
      </c>
      <c r="BS63" s="13" t="s">
        <v>48</v>
      </c>
      <c r="BT63" s="13">
        <v>0</v>
      </c>
      <c r="BU63" s="13">
        <v>0</v>
      </c>
      <c r="BV63" s="61" t="s">
        <v>50</v>
      </c>
      <c r="BW63" s="99">
        <v>0</v>
      </c>
      <c r="BX63" s="13">
        <v>1</v>
      </c>
      <c r="BY63" s="13">
        <v>0</v>
      </c>
      <c r="BZ63" s="13">
        <v>0</v>
      </c>
      <c r="CA63" s="13">
        <v>0</v>
      </c>
      <c r="CB63" s="34" t="s">
        <v>61</v>
      </c>
    </row>
    <row r="64" spans="1:80" s="53" customFormat="1" ht="18.75" x14ac:dyDescent="0.3">
      <c r="A64" s="1">
        <v>63</v>
      </c>
      <c r="B64" s="60">
        <v>56</v>
      </c>
      <c r="C64" s="13" t="s">
        <v>46</v>
      </c>
      <c r="D64" s="50" t="s">
        <v>47</v>
      </c>
      <c r="E64" s="13" t="s">
        <v>77</v>
      </c>
      <c r="F64" s="5">
        <f>'[2]Removed Saddle Values'!G64*2.54</f>
        <v>180.34</v>
      </c>
      <c r="G64" s="5">
        <v>130</v>
      </c>
      <c r="H64" s="5">
        <f t="shared" si="2"/>
        <v>39.972307677208086</v>
      </c>
      <c r="I64" s="13">
        <v>1</v>
      </c>
      <c r="J64" s="13">
        <v>3</v>
      </c>
      <c r="K64" s="13">
        <v>3</v>
      </c>
      <c r="L64" s="13">
        <v>0</v>
      </c>
      <c r="M64" s="13">
        <v>106</v>
      </c>
      <c r="N64" s="13">
        <v>0</v>
      </c>
      <c r="O64" s="13">
        <v>141</v>
      </c>
      <c r="P64" s="13">
        <v>0</v>
      </c>
      <c r="Q64" s="13">
        <v>25</v>
      </c>
      <c r="R64" s="13">
        <v>0</v>
      </c>
      <c r="S64" s="5">
        <v>97.2</v>
      </c>
      <c r="T64" s="13">
        <v>0</v>
      </c>
      <c r="U64" s="13">
        <v>90</v>
      </c>
      <c r="V64" s="13">
        <v>1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1</v>
      </c>
      <c r="AF64" s="13">
        <v>0</v>
      </c>
      <c r="AG64" s="13">
        <v>0</v>
      </c>
      <c r="AH64" s="13">
        <v>1</v>
      </c>
      <c r="AI64" s="13">
        <v>0</v>
      </c>
      <c r="AJ64" s="13">
        <v>0</v>
      </c>
      <c r="AK64" s="13">
        <v>1</v>
      </c>
      <c r="AL64" s="13">
        <v>1</v>
      </c>
      <c r="AM64" s="13">
        <v>0</v>
      </c>
      <c r="AN64" s="13">
        <v>0</v>
      </c>
      <c r="AO64" s="13">
        <v>1</v>
      </c>
      <c r="AP64" s="13">
        <v>1</v>
      </c>
      <c r="AQ64" s="13">
        <v>1</v>
      </c>
      <c r="AR64" s="13">
        <v>0</v>
      </c>
      <c r="AS64" s="13">
        <v>1</v>
      </c>
      <c r="AT64" s="13">
        <v>1</v>
      </c>
      <c r="AU64" s="13">
        <v>1</v>
      </c>
      <c r="AV64" s="13">
        <v>0</v>
      </c>
      <c r="AW64" s="13">
        <v>57</v>
      </c>
      <c r="AX64" s="51">
        <f>5.69/4.83</f>
        <v>1.1780538302277432</v>
      </c>
      <c r="AY64" s="31">
        <v>0</v>
      </c>
      <c r="AZ64" s="31">
        <v>0</v>
      </c>
      <c r="BA64" s="31">
        <v>1</v>
      </c>
      <c r="BB64" s="51">
        <f>3.66/3.41</f>
        <v>1.0733137829912023</v>
      </c>
      <c r="BC64" s="31">
        <v>2</v>
      </c>
      <c r="BD64" s="31">
        <v>1</v>
      </c>
      <c r="BE64" s="31"/>
      <c r="BF64" s="13">
        <v>0</v>
      </c>
      <c r="BG64" s="13" t="s">
        <v>48</v>
      </c>
      <c r="BH64" s="13">
        <v>1</v>
      </c>
      <c r="BI64" s="13">
        <v>0</v>
      </c>
      <c r="BJ64" s="13">
        <v>1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 t="s">
        <v>48</v>
      </c>
      <c r="BQ64" s="13" t="s">
        <v>48</v>
      </c>
      <c r="BR64" s="13">
        <v>0</v>
      </c>
      <c r="BS64" s="13" t="s">
        <v>48</v>
      </c>
      <c r="BT64" s="13">
        <v>0</v>
      </c>
      <c r="BU64" s="13">
        <v>0</v>
      </c>
      <c r="BV64" s="61" t="s">
        <v>82</v>
      </c>
      <c r="BW64" s="99" t="s">
        <v>48</v>
      </c>
      <c r="BX64" s="13" t="s">
        <v>48</v>
      </c>
      <c r="BY64" s="13" t="s">
        <v>48</v>
      </c>
      <c r="BZ64" s="13" t="s">
        <v>48</v>
      </c>
      <c r="CA64" s="13" t="s">
        <v>48</v>
      </c>
      <c r="CB64" s="34" t="s">
        <v>54</v>
      </c>
    </row>
    <row r="65" spans="1:81" s="65" customFormat="1" ht="18.75" x14ac:dyDescent="0.3">
      <c r="A65" s="1">
        <v>64</v>
      </c>
      <c r="B65" s="60">
        <v>43</v>
      </c>
      <c r="C65" s="13" t="s">
        <v>46</v>
      </c>
      <c r="D65" s="50" t="s">
        <v>47</v>
      </c>
      <c r="E65" s="13" t="s">
        <v>98</v>
      </c>
      <c r="F65" s="5">
        <f>'[2]Removed Saddle Values'!G65*2.54</f>
        <v>190.5</v>
      </c>
      <c r="G65" s="5">
        <v>137.4</v>
      </c>
      <c r="H65" s="5">
        <f t="shared" si="2"/>
        <v>37.861409056151444</v>
      </c>
      <c r="I65" s="13">
        <v>1</v>
      </c>
      <c r="J65" s="13">
        <v>2</v>
      </c>
      <c r="K65" s="13">
        <v>2</v>
      </c>
      <c r="L65" s="13">
        <v>1</v>
      </c>
      <c r="M65" s="13">
        <v>126</v>
      </c>
      <c r="N65" s="13">
        <v>0</v>
      </c>
      <c r="O65" s="13">
        <v>123</v>
      </c>
      <c r="P65" s="13">
        <v>0</v>
      </c>
      <c r="Q65" s="13">
        <v>20</v>
      </c>
      <c r="R65" s="13">
        <v>0</v>
      </c>
      <c r="S65" s="5">
        <v>97.8</v>
      </c>
      <c r="T65" s="13">
        <v>0</v>
      </c>
      <c r="U65" s="13">
        <v>94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1</v>
      </c>
      <c r="AL65" s="13">
        <v>1</v>
      </c>
      <c r="AM65" s="13">
        <v>0</v>
      </c>
      <c r="AN65" s="13">
        <v>0</v>
      </c>
      <c r="AO65" s="13">
        <v>1</v>
      </c>
      <c r="AP65" s="13">
        <v>1</v>
      </c>
      <c r="AQ65" s="13">
        <v>1</v>
      </c>
      <c r="AR65" s="13">
        <v>0</v>
      </c>
      <c r="AS65" s="13">
        <v>1</v>
      </c>
      <c r="AT65" s="13">
        <v>1</v>
      </c>
      <c r="AU65" s="13">
        <v>1</v>
      </c>
      <c r="AV65" s="13">
        <v>0</v>
      </c>
      <c r="AW65" s="13">
        <v>53.9</v>
      </c>
      <c r="AX65" s="51">
        <f>4.78/4.21</f>
        <v>1.1353919239904988</v>
      </c>
      <c r="AY65" s="31">
        <v>0</v>
      </c>
      <c r="AZ65" s="31">
        <v>0</v>
      </c>
      <c r="BA65" s="31">
        <v>1</v>
      </c>
      <c r="BB65" s="51">
        <f>3.49/3.3</f>
        <v>1.0575757575757576</v>
      </c>
      <c r="BC65" s="31">
        <v>2</v>
      </c>
      <c r="BD65" s="31">
        <v>1</v>
      </c>
      <c r="BE65" s="31"/>
      <c r="BF65" s="13">
        <v>0</v>
      </c>
      <c r="BG65" s="13" t="s">
        <v>48</v>
      </c>
      <c r="BH65" s="13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0</v>
      </c>
      <c r="BQ65" s="13">
        <v>1</v>
      </c>
      <c r="BR65" s="13">
        <v>0</v>
      </c>
      <c r="BS65" s="13" t="s">
        <v>48</v>
      </c>
      <c r="BT65" s="13">
        <v>0</v>
      </c>
      <c r="BU65" s="13">
        <v>1</v>
      </c>
      <c r="BV65" s="61" t="s">
        <v>50</v>
      </c>
      <c r="BW65" s="99">
        <v>0</v>
      </c>
      <c r="BX65" s="13">
        <v>0</v>
      </c>
      <c r="BY65" s="13">
        <v>0</v>
      </c>
      <c r="BZ65" s="13">
        <v>0</v>
      </c>
      <c r="CA65" s="13">
        <v>0</v>
      </c>
      <c r="CB65" s="34" t="s">
        <v>55</v>
      </c>
    </row>
    <row r="66" spans="1:81" s="65" customFormat="1" ht="18.75" x14ac:dyDescent="0.3">
      <c r="A66" s="1">
        <v>65</v>
      </c>
      <c r="B66" s="60">
        <v>66</v>
      </c>
      <c r="C66" s="13" t="s">
        <v>46</v>
      </c>
      <c r="D66" s="50" t="s">
        <v>47</v>
      </c>
      <c r="E66" s="13" t="s">
        <v>83</v>
      </c>
      <c r="F66" s="5">
        <f>'[2]Removed Saddle Values'!G66*2.54</f>
        <v>172.72</v>
      </c>
      <c r="G66" s="5">
        <v>99.8</v>
      </c>
      <c r="H66" s="5">
        <f t="shared" si="2"/>
        <v>33.453786630756646</v>
      </c>
      <c r="I66" s="13">
        <v>1</v>
      </c>
      <c r="J66" s="13">
        <v>3</v>
      </c>
      <c r="K66" s="13">
        <v>2</v>
      </c>
      <c r="L66" s="13">
        <v>0</v>
      </c>
      <c r="M66" s="13">
        <v>76</v>
      </c>
      <c r="N66" s="13">
        <v>0</v>
      </c>
      <c r="O66" s="13">
        <v>107</v>
      </c>
      <c r="P66" s="13">
        <v>0</v>
      </c>
      <c r="Q66" s="13">
        <v>14</v>
      </c>
      <c r="R66" s="13">
        <v>0</v>
      </c>
      <c r="S66" s="5">
        <v>98.6</v>
      </c>
      <c r="T66" s="13">
        <v>1</v>
      </c>
      <c r="U66" s="13" t="s">
        <v>48</v>
      </c>
      <c r="V66" s="13">
        <v>1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1</v>
      </c>
      <c r="AH66" s="13">
        <v>0</v>
      </c>
      <c r="AI66" s="13">
        <v>1</v>
      </c>
      <c r="AJ66" s="13">
        <v>1</v>
      </c>
      <c r="AK66" s="13">
        <v>1</v>
      </c>
      <c r="AL66" s="13">
        <v>0</v>
      </c>
      <c r="AM66" s="13">
        <v>0</v>
      </c>
      <c r="AN66" s="13">
        <v>0</v>
      </c>
      <c r="AO66" s="13">
        <v>1</v>
      </c>
      <c r="AP66" s="13">
        <v>1</v>
      </c>
      <c r="AQ66" s="13">
        <v>0</v>
      </c>
      <c r="AR66" s="13">
        <v>0</v>
      </c>
      <c r="AS66" s="13">
        <v>1</v>
      </c>
      <c r="AT66" s="13">
        <v>0</v>
      </c>
      <c r="AU66" s="13">
        <v>0</v>
      </c>
      <c r="AV66" s="13">
        <v>0</v>
      </c>
      <c r="AW66" s="13">
        <v>46.2</v>
      </c>
      <c r="AX66" s="51">
        <f>4.22/4.66</f>
        <v>0.90557939914163077</v>
      </c>
      <c r="AY66" s="31">
        <v>0</v>
      </c>
      <c r="AZ66" s="31">
        <v>1</v>
      </c>
      <c r="BA66" s="31">
        <v>0</v>
      </c>
      <c r="BB66" s="51">
        <f>3.2/3.11</f>
        <v>1.0289389067524117</v>
      </c>
      <c r="BC66" s="31">
        <v>2</v>
      </c>
      <c r="BD66" s="31">
        <v>0</v>
      </c>
      <c r="BE66" s="31"/>
      <c r="BF66" s="13">
        <v>0</v>
      </c>
      <c r="BG66" s="13" t="s">
        <v>48</v>
      </c>
      <c r="BH66" s="13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 t="s">
        <v>48</v>
      </c>
      <c r="BQ66" s="13" t="s">
        <v>48</v>
      </c>
      <c r="BR66" s="13">
        <v>0</v>
      </c>
      <c r="BS66" s="13" t="s">
        <v>48</v>
      </c>
      <c r="BT66" s="13">
        <v>0</v>
      </c>
      <c r="BU66" s="13">
        <v>1</v>
      </c>
      <c r="BV66" s="61" t="s">
        <v>50</v>
      </c>
      <c r="BW66" s="99">
        <v>0</v>
      </c>
      <c r="BX66" s="13">
        <v>0</v>
      </c>
      <c r="BY66" s="13">
        <v>0</v>
      </c>
      <c r="BZ66" s="13">
        <v>0</v>
      </c>
      <c r="CA66" s="13">
        <v>0</v>
      </c>
      <c r="CB66" s="34" t="s">
        <v>56</v>
      </c>
    </row>
    <row r="67" spans="1:81" s="65" customFormat="1" ht="18.75" x14ac:dyDescent="0.3">
      <c r="A67" s="1">
        <v>66</v>
      </c>
      <c r="B67" s="60">
        <v>47</v>
      </c>
      <c r="C67" s="13" t="s">
        <v>46</v>
      </c>
      <c r="D67" s="50" t="s">
        <v>47</v>
      </c>
      <c r="E67" s="13" t="s">
        <v>83</v>
      </c>
      <c r="F67" s="5">
        <f>'[2]Removed Saddle Values'!G67*2.54</f>
        <v>175.26</v>
      </c>
      <c r="G67" s="5">
        <v>87.1</v>
      </c>
      <c r="H67" s="5">
        <f t="shared" si="2"/>
        <v>28.356494436156272</v>
      </c>
      <c r="I67" s="13">
        <v>1</v>
      </c>
      <c r="J67" s="13">
        <v>3</v>
      </c>
      <c r="K67" s="13">
        <v>2</v>
      </c>
      <c r="L67" s="13">
        <v>1</v>
      </c>
      <c r="M67" s="13">
        <v>124</v>
      </c>
      <c r="N67" s="13">
        <v>0</v>
      </c>
      <c r="O67" s="13">
        <v>168</v>
      </c>
      <c r="P67" s="13">
        <v>0</v>
      </c>
      <c r="Q67" s="13">
        <v>20</v>
      </c>
      <c r="R67" s="13">
        <v>0</v>
      </c>
      <c r="S67" s="5">
        <v>98.3</v>
      </c>
      <c r="T67" s="13">
        <v>0</v>
      </c>
      <c r="U67" s="13">
        <v>97</v>
      </c>
      <c r="V67" s="13">
        <v>1</v>
      </c>
      <c r="W67" s="13">
        <v>0</v>
      </c>
      <c r="X67" s="13">
        <v>1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1</v>
      </c>
      <c r="AP67" s="13">
        <v>1</v>
      </c>
      <c r="AQ67" s="13">
        <v>0</v>
      </c>
      <c r="AR67" s="13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27.1</v>
      </c>
      <c r="AX67" s="51">
        <f>5.14/4</f>
        <v>1.2849999999999999</v>
      </c>
      <c r="AY67" s="31">
        <v>0</v>
      </c>
      <c r="AZ67" s="31">
        <v>0</v>
      </c>
      <c r="BA67" s="31">
        <v>1</v>
      </c>
      <c r="BB67" s="51">
        <f>3.44/3.47</f>
        <v>0.99135446685878958</v>
      </c>
      <c r="BC67" s="31">
        <v>2</v>
      </c>
      <c r="BD67" s="31">
        <v>1</v>
      </c>
      <c r="BE67" s="31"/>
      <c r="BF67" s="13">
        <v>0</v>
      </c>
      <c r="BG67" s="13" t="s">
        <v>48</v>
      </c>
      <c r="BH67" s="13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 t="s">
        <v>48</v>
      </c>
      <c r="BQ67" s="13" t="s">
        <v>48</v>
      </c>
      <c r="BR67" s="13">
        <v>0</v>
      </c>
      <c r="BS67" s="13" t="s">
        <v>48</v>
      </c>
      <c r="BT67" s="13">
        <v>0</v>
      </c>
      <c r="BU67" s="13">
        <v>0</v>
      </c>
      <c r="BV67" s="61" t="s">
        <v>149</v>
      </c>
      <c r="BW67" s="99">
        <v>0</v>
      </c>
      <c r="BX67" s="13">
        <v>0</v>
      </c>
      <c r="BY67" s="13">
        <v>0</v>
      </c>
      <c r="BZ67" s="13">
        <v>0</v>
      </c>
      <c r="CA67" s="13">
        <v>0</v>
      </c>
      <c r="CB67" s="34" t="s">
        <v>62</v>
      </c>
    </row>
    <row r="68" spans="1:81" s="65" customFormat="1" ht="18.75" x14ac:dyDescent="0.3">
      <c r="A68" s="1">
        <v>67</v>
      </c>
      <c r="B68" s="60">
        <v>64</v>
      </c>
      <c r="C68" s="13" t="s">
        <v>46</v>
      </c>
      <c r="D68" s="50" t="s">
        <v>47</v>
      </c>
      <c r="E68" s="13" t="s">
        <v>85</v>
      </c>
      <c r="F68" s="5">
        <f>'[2]Removed Saddle Values'!G68*2.54</f>
        <v>187.96</v>
      </c>
      <c r="G68" s="5">
        <v>122.9</v>
      </c>
      <c r="H68" s="5">
        <f t="shared" si="2"/>
        <v>34.787323044331991</v>
      </c>
      <c r="I68" s="13">
        <v>0</v>
      </c>
      <c r="J68" s="13">
        <v>3</v>
      </c>
      <c r="K68" s="13">
        <v>2</v>
      </c>
      <c r="L68" s="13">
        <v>0</v>
      </c>
      <c r="M68" s="13">
        <v>104</v>
      </c>
      <c r="N68" s="13">
        <v>0</v>
      </c>
      <c r="O68" s="13">
        <v>141</v>
      </c>
      <c r="P68" s="13">
        <v>0</v>
      </c>
      <c r="Q68" s="13">
        <v>16</v>
      </c>
      <c r="R68" s="13">
        <v>0</v>
      </c>
      <c r="S68" s="5">
        <v>98.2</v>
      </c>
      <c r="T68" s="13">
        <v>0</v>
      </c>
      <c r="U68" s="13">
        <v>94</v>
      </c>
      <c r="V68" s="13">
        <v>1</v>
      </c>
      <c r="W68" s="13">
        <v>0</v>
      </c>
      <c r="X68" s="13">
        <v>0</v>
      </c>
      <c r="Y68" s="13">
        <v>1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1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1</v>
      </c>
      <c r="AP68" s="13">
        <v>1</v>
      </c>
      <c r="AQ68" s="13">
        <v>1</v>
      </c>
      <c r="AR68" s="13">
        <v>1</v>
      </c>
      <c r="AS68" s="13">
        <v>1</v>
      </c>
      <c r="AT68" s="13">
        <v>1</v>
      </c>
      <c r="AU68" s="13">
        <v>1</v>
      </c>
      <c r="AV68" s="13">
        <v>0</v>
      </c>
      <c r="AW68" s="13">
        <v>52.3</v>
      </c>
      <c r="AX68" s="51">
        <f>5.69/4.98</f>
        <v>1.142570281124498</v>
      </c>
      <c r="AY68" s="31">
        <v>0</v>
      </c>
      <c r="AZ68" s="31">
        <v>0</v>
      </c>
      <c r="BA68" s="31">
        <v>1</v>
      </c>
      <c r="BB68" s="51">
        <f>4.06/4.28</f>
        <v>0.94859813084112132</v>
      </c>
      <c r="BC68" s="31">
        <v>4</v>
      </c>
      <c r="BD68" s="31">
        <v>1</v>
      </c>
      <c r="BE68" s="31"/>
      <c r="BF68" s="13">
        <v>0</v>
      </c>
      <c r="BG68" s="13" t="s">
        <v>48</v>
      </c>
      <c r="BH68" s="13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0</v>
      </c>
      <c r="BQ68" s="13">
        <v>1</v>
      </c>
      <c r="BR68" s="13">
        <v>0</v>
      </c>
      <c r="BS68" s="13" t="s">
        <v>48</v>
      </c>
      <c r="BT68" s="13">
        <v>0</v>
      </c>
      <c r="BU68" s="13">
        <v>0</v>
      </c>
      <c r="BV68" s="61" t="s">
        <v>149</v>
      </c>
      <c r="BW68" s="99">
        <v>0</v>
      </c>
      <c r="BX68" s="13">
        <v>0</v>
      </c>
      <c r="BY68" s="13">
        <v>0</v>
      </c>
      <c r="BZ68" s="13">
        <v>0</v>
      </c>
      <c r="CA68" s="13">
        <v>0</v>
      </c>
      <c r="CB68" s="34" t="s">
        <v>62</v>
      </c>
    </row>
    <row r="69" spans="1:81" s="53" customFormat="1" ht="18.75" x14ac:dyDescent="0.3">
      <c r="A69" s="1">
        <v>68</v>
      </c>
      <c r="B69" s="60">
        <v>76</v>
      </c>
      <c r="C69" s="13" t="s">
        <v>46</v>
      </c>
      <c r="D69" s="50" t="s">
        <v>53</v>
      </c>
      <c r="E69" s="13" t="s">
        <v>76</v>
      </c>
      <c r="F69" s="5">
        <f>'[2]Removed Saddle Values'!G69*2.54</f>
        <v>177.8</v>
      </c>
      <c r="G69" s="5">
        <v>100</v>
      </c>
      <c r="H69" s="5">
        <f t="shared" si="2"/>
        <v>31.632716326657143</v>
      </c>
      <c r="I69" s="13">
        <v>1</v>
      </c>
      <c r="J69" s="13">
        <v>3</v>
      </c>
      <c r="K69" s="13">
        <v>2</v>
      </c>
      <c r="L69" s="13">
        <v>0</v>
      </c>
      <c r="M69" s="13">
        <v>96</v>
      </c>
      <c r="N69" s="13">
        <v>0</v>
      </c>
      <c r="O69" s="13">
        <v>135</v>
      </c>
      <c r="P69" s="13">
        <v>0</v>
      </c>
      <c r="Q69" s="13">
        <v>20</v>
      </c>
      <c r="R69" s="13">
        <v>0</v>
      </c>
      <c r="S69" s="5">
        <v>97.9</v>
      </c>
      <c r="T69" s="13">
        <v>0</v>
      </c>
      <c r="U69" s="13">
        <v>97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1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1</v>
      </c>
      <c r="AP69" s="13">
        <v>1</v>
      </c>
      <c r="AQ69" s="13">
        <v>1</v>
      </c>
      <c r="AR69" s="13">
        <v>1</v>
      </c>
      <c r="AS69" s="13">
        <v>1</v>
      </c>
      <c r="AT69" s="13">
        <v>1</v>
      </c>
      <c r="AU69" s="13">
        <v>1</v>
      </c>
      <c r="AV69" s="13">
        <v>0</v>
      </c>
      <c r="AW69" s="13">
        <v>40</v>
      </c>
      <c r="AX69" s="51">
        <f>6.07/4.87</f>
        <v>1.2464065708418892</v>
      </c>
      <c r="AY69" s="31">
        <v>0</v>
      </c>
      <c r="AZ69" s="31">
        <v>0</v>
      </c>
      <c r="BA69" s="31">
        <v>1</v>
      </c>
      <c r="BB69" s="51">
        <f>3.72/4.34</f>
        <v>0.85714285714285721</v>
      </c>
      <c r="BC69" s="31">
        <v>2</v>
      </c>
      <c r="BD69" s="31">
        <v>0</v>
      </c>
      <c r="BE69" s="31"/>
      <c r="BF69" s="13">
        <v>1</v>
      </c>
      <c r="BG69" s="34" t="s">
        <v>112</v>
      </c>
      <c r="BH69" s="13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1</v>
      </c>
      <c r="BO69" s="13">
        <v>0</v>
      </c>
      <c r="BP69" s="13">
        <v>0</v>
      </c>
      <c r="BQ69" s="13">
        <v>0</v>
      </c>
      <c r="BR69" s="13">
        <v>0</v>
      </c>
      <c r="BS69" s="13" t="s">
        <v>48</v>
      </c>
      <c r="BT69" s="13">
        <v>0</v>
      </c>
      <c r="BU69" s="13">
        <v>1</v>
      </c>
      <c r="BV69" s="61" t="s">
        <v>50</v>
      </c>
      <c r="BW69" s="99">
        <v>0</v>
      </c>
      <c r="BX69" s="13">
        <v>0</v>
      </c>
      <c r="BY69" s="13">
        <v>0</v>
      </c>
      <c r="BZ69" s="13">
        <v>0</v>
      </c>
      <c r="CA69" s="13">
        <v>0</v>
      </c>
      <c r="CB69" s="34" t="s">
        <v>156</v>
      </c>
    </row>
    <row r="70" spans="1:81" s="53" customFormat="1" ht="18.75" x14ac:dyDescent="0.3">
      <c r="A70" s="1">
        <v>69</v>
      </c>
      <c r="B70" s="60">
        <v>55</v>
      </c>
      <c r="C70" s="13" t="s">
        <v>46</v>
      </c>
      <c r="D70" s="50" t="s">
        <v>53</v>
      </c>
      <c r="E70" s="13" t="s">
        <v>98</v>
      </c>
      <c r="F70" s="5">
        <f>'[2]Removed Saddle Values'!G70*2.54</f>
        <v>180.34</v>
      </c>
      <c r="G70" s="5">
        <v>110</v>
      </c>
      <c r="H70" s="5">
        <f t="shared" si="2"/>
        <v>33.822721880714539</v>
      </c>
      <c r="I70" s="13">
        <v>1</v>
      </c>
      <c r="J70" s="13">
        <v>2</v>
      </c>
      <c r="K70" s="13">
        <v>2</v>
      </c>
      <c r="L70" s="13">
        <v>0</v>
      </c>
      <c r="M70" s="13">
        <v>80</v>
      </c>
      <c r="N70" s="13">
        <v>0</v>
      </c>
      <c r="O70" s="13">
        <v>108</v>
      </c>
      <c r="P70" s="13">
        <v>0</v>
      </c>
      <c r="Q70" s="13">
        <v>17</v>
      </c>
      <c r="R70" s="13">
        <v>0</v>
      </c>
      <c r="S70" s="5">
        <v>98.6</v>
      </c>
      <c r="T70" s="13">
        <v>0</v>
      </c>
      <c r="U70" s="13">
        <v>100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1</v>
      </c>
      <c r="AC70" s="13">
        <v>0</v>
      </c>
      <c r="AD70" s="13">
        <v>1</v>
      </c>
      <c r="AE70" s="13">
        <v>1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1</v>
      </c>
      <c r="AP70" s="13">
        <v>1</v>
      </c>
      <c r="AQ70" s="13">
        <v>1</v>
      </c>
      <c r="AR70" s="13">
        <v>1</v>
      </c>
      <c r="AS70" s="13">
        <v>1</v>
      </c>
      <c r="AT70" s="13">
        <v>1</v>
      </c>
      <c r="AU70" s="13">
        <v>1</v>
      </c>
      <c r="AV70" s="13">
        <v>0</v>
      </c>
      <c r="AW70" s="13">
        <v>30</v>
      </c>
      <c r="AX70" s="51">
        <f>4.44/5.14</f>
        <v>0.86381322957198459</v>
      </c>
      <c r="AY70" s="31">
        <v>1</v>
      </c>
      <c r="AZ70" s="31">
        <v>0</v>
      </c>
      <c r="BA70" s="31">
        <v>0</v>
      </c>
      <c r="BB70" s="51">
        <f>2.95/3.36</f>
        <v>0.87797619047619058</v>
      </c>
      <c r="BC70" s="31">
        <v>1</v>
      </c>
      <c r="BD70" s="31">
        <v>0</v>
      </c>
      <c r="BE70" s="31"/>
      <c r="BF70" s="13">
        <v>1</v>
      </c>
      <c r="BG70" s="34" t="s">
        <v>157</v>
      </c>
      <c r="BH70" s="13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0</v>
      </c>
      <c r="BQ70" s="13">
        <v>1</v>
      </c>
      <c r="BR70" s="13">
        <v>0</v>
      </c>
      <c r="BS70" s="13" t="s">
        <v>48</v>
      </c>
      <c r="BT70" s="13">
        <v>0</v>
      </c>
      <c r="BU70" s="13">
        <v>1</v>
      </c>
      <c r="BV70" s="61" t="s">
        <v>50</v>
      </c>
      <c r="BW70" s="99">
        <v>0</v>
      </c>
      <c r="BX70" s="13">
        <v>0</v>
      </c>
      <c r="BY70" s="13">
        <v>0</v>
      </c>
      <c r="BZ70" s="13">
        <v>0</v>
      </c>
      <c r="CA70" s="13">
        <v>0</v>
      </c>
      <c r="CB70" s="34" t="s">
        <v>54</v>
      </c>
    </row>
    <row r="71" spans="1:81" s="65" customFormat="1" ht="18.75" x14ac:dyDescent="0.3">
      <c r="A71" s="1">
        <v>70</v>
      </c>
      <c r="B71" s="60">
        <v>44</v>
      </c>
      <c r="C71" s="13" t="s">
        <v>46</v>
      </c>
      <c r="D71" s="50" t="s">
        <v>53</v>
      </c>
      <c r="E71" s="13" t="s">
        <v>85</v>
      </c>
      <c r="F71" s="5">
        <f>'[2]Removed Saddle Values'!G71*2.54</f>
        <v>180.34</v>
      </c>
      <c r="G71" s="5">
        <v>88.4</v>
      </c>
      <c r="H71" s="5">
        <f t="shared" si="2"/>
        <v>27.181169220501502</v>
      </c>
      <c r="I71" s="13">
        <v>0</v>
      </c>
      <c r="J71" s="13">
        <v>2</v>
      </c>
      <c r="K71" s="13">
        <v>2</v>
      </c>
      <c r="L71" s="13">
        <v>0</v>
      </c>
      <c r="M71" s="13">
        <v>109</v>
      </c>
      <c r="N71" s="13">
        <v>0</v>
      </c>
      <c r="O71" s="13">
        <v>130</v>
      </c>
      <c r="P71" s="13">
        <v>0</v>
      </c>
      <c r="Q71" s="13">
        <v>20</v>
      </c>
      <c r="R71" s="13">
        <v>0</v>
      </c>
      <c r="S71" s="5">
        <v>99.2</v>
      </c>
      <c r="T71" s="13">
        <v>0</v>
      </c>
      <c r="U71" s="13">
        <v>97</v>
      </c>
      <c r="V71" s="13">
        <v>0</v>
      </c>
      <c r="W71" s="13">
        <v>0</v>
      </c>
      <c r="X71" s="13">
        <v>0</v>
      </c>
      <c r="Y71" s="13">
        <v>1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1</v>
      </c>
      <c r="AL71" s="13">
        <v>0</v>
      </c>
      <c r="AM71" s="13">
        <v>0</v>
      </c>
      <c r="AN71" s="13">
        <v>0</v>
      </c>
      <c r="AO71" s="13">
        <v>3</v>
      </c>
      <c r="AP71" s="13" t="s">
        <v>48</v>
      </c>
      <c r="AQ71" s="13">
        <v>1</v>
      </c>
      <c r="AR71" s="13">
        <v>1</v>
      </c>
      <c r="AS71" s="13">
        <v>1</v>
      </c>
      <c r="AT71" s="13">
        <v>1</v>
      </c>
      <c r="AU71" s="13">
        <v>1</v>
      </c>
      <c r="AV71" s="13">
        <v>0</v>
      </c>
      <c r="AW71" s="13">
        <v>39.9</v>
      </c>
      <c r="AX71" s="51">
        <f>5.65/3.97</f>
        <v>1.4231738035264483</v>
      </c>
      <c r="AY71" s="31">
        <v>0</v>
      </c>
      <c r="AZ71" s="31">
        <v>0</v>
      </c>
      <c r="BA71" s="31">
        <v>1</v>
      </c>
      <c r="BB71" s="51">
        <f>3.44/3.57</f>
        <v>0.96358543417366949</v>
      </c>
      <c r="BC71" s="31">
        <v>3</v>
      </c>
      <c r="BD71" s="31">
        <v>1</v>
      </c>
      <c r="BE71" s="31"/>
      <c r="BF71" s="13">
        <v>0</v>
      </c>
      <c r="BG71" s="13" t="s">
        <v>48</v>
      </c>
      <c r="BH71" s="13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3">
        <v>0</v>
      </c>
      <c r="BR71" s="13">
        <v>0</v>
      </c>
      <c r="BS71" s="13" t="s">
        <v>48</v>
      </c>
      <c r="BT71" s="13">
        <v>0</v>
      </c>
      <c r="BU71" s="13" t="s">
        <v>117</v>
      </c>
      <c r="BV71" s="61" t="s">
        <v>50</v>
      </c>
      <c r="BW71" s="99">
        <v>0</v>
      </c>
      <c r="BX71" s="13">
        <v>0</v>
      </c>
      <c r="BY71" s="13">
        <v>0</v>
      </c>
      <c r="BZ71" s="13">
        <v>0</v>
      </c>
      <c r="CA71" s="13">
        <v>0</v>
      </c>
      <c r="CB71" s="34" t="s">
        <v>54</v>
      </c>
    </row>
    <row r="72" spans="1:81" s="65" customFormat="1" ht="18.75" x14ac:dyDescent="0.3">
      <c r="A72" s="1">
        <v>71</v>
      </c>
      <c r="B72" s="60">
        <v>73</v>
      </c>
      <c r="C72" s="13" t="s">
        <v>46</v>
      </c>
      <c r="D72" s="50" t="s">
        <v>53</v>
      </c>
      <c r="E72" s="13" t="s">
        <v>79</v>
      </c>
      <c r="F72" s="5">
        <f>'[2]Removed Saddle Values'!G72*2.54</f>
        <v>185.42000000000002</v>
      </c>
      <c r="G72" s="5">
        <v>84.3</v>
      </c>
      <c r="H72" s="5">
        <f t="shared" si="2"/>
        <v>24.519658722184772</v>
      </c>
      <c r="I72" s="13">
        <v>1</v>
      </c>
      <c r="J72" s="13">
        <v>3</v>
      </c>
      <c r="K72" s="13">
        <v>2</v>
      </c>
      <c r="L72" s="13">
        <v>0</v>
      </c>
      <c r="M72" s="13">
        <v>80</v>
      </c>
      <c r="N72" s="13">
        <v>0</v>
      </c>
      <c r="O72" s="13">
        <v>127</v>
      </c>
      <c r="P72" s="13">
        <v>0</v>
      </c>
      <c r="Q72" s="13">
        <v>14</v>
      </c>
      <c r="R72" s="13">
        <v>0</v>
      </c>
      <c r="S72" s="5">
        <v>97.7</v>
      </c>
      <c r="T72" s="13">
        <v>0</v>
      </c>
      <c r="U72" s="13">
        <v>96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1</v>
      </c>
      <c r="AB72" s="13">
        <v>0</v>
      </c>
      <c r="AC72" s="13">
        <v>0</v>
      </c>
      <c r="AD72" s="13">
        <v>1</v>
      </c>
      <c r="AE72" s="13">
        <v>0</v>
      </c>
      <c r="AF72" s="13">
        <v>1</v>
      </c>
      <c r="AG72" s="13">
        <v>0</v>
      </c>
      <c r="AH72" s="13">
        <v>0</v>
      </c>
      <c r="AI72" s="13">
        <v>0</v>
      </c>
      <c r="AJ72" s="13">
        <v>0</v>
      </c>
      <c r="AK72" s="13">
        <v>1</v>
      </c>
      <c r="AL72" s="13">
        <v>0</v>
      </c>
      <c r="AM72" s="13">
        <v>0</v>
      </c>
      <c r="AN72" s="13">
        <v>0</v>
      </c>
      <c r="AO72" s="13">
        <v>1</v>
      </c>
      <c r="AP72" s="13">
        <v>1</v>
      </c>
      <c r="AQ72" s="13" t="s">
        <v>48</v>
      </c>
      <c r="AR72" s="13">
        <v>0</v>
      </c>
      <c r="AS72" s="13">
        <v>0</v>
      </c>
      <c r="AT72" s="13">
        <v>1</v>
      </c>
      <c r="AU72" s="13">
        <v>0</v>
      </c>
      <c r="AV72" s="13">
        <v>0</v>
      </c>
      <c r="AW72" s="13" t="s">
        <v>192</v>
      </c>
      <c r="AX72" s="51">
        <f>5.61/4.22</f>
        <v>1.3293838862559244</v>
      </c>
      <c r="AY72" s="31">
        <v>0</v>
      </c>
      <c r="AZ72" s="31">
        <v>0</v>
      </c>
      <c r="BA72" s="31">
        <v>1</v>
      </c>
      <c r="BB72" s="51">
        <f>2.93/3.43</f>
        <v>0.85422740524781338</v>
      </c>
      <c r="BC72" s="31">
        <v>1</v>
      </c>
      <c r="BD72" s="31">
        <v>0</v>
      </c>
      <c r="BE72" s="31"/>
      <c r="BF72" s="13">
        <v>0</v>
      </c>
      <c r="BG72" s="13" t="s">
        <v>48</v>
      </c>
      <c r="BH72" s="13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 t="s">
        <v>48</v>
      </c>
      <c r="BQ72" s="13" t="s">
        <v>48</v>
      </c>
      <c r="BR72" s="13">
        <v>1</v>
      </c>
      <c r="BS72" s="13" t="s">
        <v>144</v>
      </c>
      <c r="BT72" s="13">
        <v>0</v>
      </c>
      <c r="BU72" s="13">
        <v>1</v>
      </c>
      <c r="BV72" s="61" t="s">
        <v>50</v>
      </c>
      <c r="BW72" s="99">
        <v>0</v>
      </c>
      <c r="BX72" s="13">
        <v>0</v>
      </c>
      <c r="BY72" s="13">
        <v>0</v>
      </c>
      <c r="BZ72" s="13">
        <v>0</v>
      </c>
      <c r="CA72" s="13">
        <v>0</v>
      </c>
      <c r="CB72" s="34" t="s">
        <v>62</v>
      </c>
    </row>
    <row r="73" spans="1:81" s="65" customFormat="1" ht="18.75" x14ac:dyDescent="0.3">
      <c r="A73" s="1">
        <v>72</v>
      </c>
      <c r="B73" s="60">
        <v>56</v>
      </c>
      <c r="C73" s="13" t="s">
        <v>52</v>
      </c>
      <c r="D73" s="50" t="s">
        <v>47</v>
      </c>
      <c r="E73" s="13" t="s">
        <v>102</v>
      </c>
      <c r="F73" s="5">
        <f>'[2]Removed Saddle Values'!G73*2.54</f>
        <v>172.72</v>
      </c>
      <c r="G73" s="5">
        <v>77.099999999999994</v>
      </c>
      <c r="H73" s="5">
        <f t="shared" si="2"/>
        <v>25.844558609532438</v>
      </c>
      <c r="I73" s="13">
        <v>1</v>
      </c>
      <c r="J73" s="13">
        <v>3</v>
      </c>
      <c r="K73" s="13">
        <v>1</v>
      </c>
      <c r="L73" s="13">
        <v>1</v>
      </c>
      <c r="M73" s="13">
        <v>138</v>
      </c>
      <c r="N73" s="13">
        <v>0</v>
      </c>
      <c r="O73" s="13">
        <v>126</v>
      </c>
      <c r="P73" s="13">
        <v>0</v>
      </c>
      <c r="Q73" s="13">
        <v>14</v>
      </c>
      <c r="R73" s="13">
        <v>0</v>
      </c>
      <c r="S73" s="5">
        <v>98</v>
      </c>
      <c r="T73" s="13">
        <v>1</v>
      </c>
      <c r="U73" s="13">
        <v>89</v>
      </c>
      <c r="V73" s="13">
        <v>1</v>
      </c>
      <c r="W73" s="13">
        <v>0</v>
      </c>
      <c r="X73" s="13">
        <v>0</v>
      </c>
      <c r="Y73" s="13">
        <v>1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1</v>
      </c>
      <c r="AG73" s="13">
        <v>1</v>
      </c>
      <c r="AH73" s="13">
        <v>0</v>
      </c>
      <c r="AI73" s="13">
        <v>1</v>
      </c>
      <c r="AJ73" s="13">
        <v>1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 t="s">
        <v>48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 t="s">
        <v>192</v>
      </c>
      <c r="AX73" s="51">
        <f>3.2/4.47</f>
        <v>0.71588366890380317</v>
      </c>
      <c r="AY73" s="31">
        <v>0</v>
      </c>
      <c r="AZ73" s="31">
        <v>0</v>
      </c>
      <c r="BA73" s="31">
        <v>0</v>
      </c>
      <c r="BB73" s="51">
        <f>2.33/3.08</f>
        <v>0.75649350649350655</v>
      </c>
      <c r="BC73" s="31">
        <v>1</v>
      </c>
      <c r="BD73" s="31">
        <v>0</v>
      </c>
      <c r="BE73" s="31"/>
      <c r="BF73" s="13">
        <v>0</v>
      </c>
      <c r="BG73" s="13" t="s">
        <v>48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 t="s">
        <v>48</v>
      </c>
      <c r="BQ73" s="13" t="s">
        <v>48</v>
      </c>
      <c r="BR73" s="13">
        <v>0</v>
      </c>
      <c r="BS73" s="13" t="s">
        <v>48</v>
      </c>
      <c r="BT73" s="13">
        <v>0</v>
      </c>
      <c r="BU73" s="13">
        <v>0</v>
      </c>
      <c r="BV73" s="61" t="s">
        <v>50</v>
      </c>
      <c r="BW73" s="99">
        <v>0</v>
      </c>
      <c r="BX73" s="13">
        <v>0</v>
      </c>
      <c r="BY73" s="13">
        <v>0</v>
      </c>
      <c r="BZ73" s="13">
        <v>0</v>
      </c>
      <c r="CA73" s="13">
        <v>0</v>
      </c>
      <c r="CB73" s="34" t="s">
        <v>61</v>
      </c>
    </row>
    <row r="74" spans="1:81" s="53" customFormat="1" ht="18.75" x14ac:dyDescent="0.3">
      <c r="A74" s="1">
        <v>73</v>
      </c>
      <c r="B74" s="60">
        <v>56</v>
      </c>
      <c r="C74" s="13" t="s">
        <v>52</v>
      </c>
      <c r="D74" s="50" t="s">
        <v>53</v>
      </c>
      <c r="E74" s="13" t="s">
        <v>85</v>
      </c>
      <c r="F74" s="5">
        <f>'[2]Removed Saddle Values'!G74*2.54</f>
        <v>165.1</v>
      </c>
      <c r="G74" s="5">
        <v>136</v>
      </c>
      <c r="H74" s="5">
        <f t="shared" si="2"/>
        <v>49.893590911442175</v>
      </c>
      <c r="I74" s="13">
        <v>1</v>
      </c>
      <c r="J74" s="13">
        <v>2</v>
      </c>
      <c r="K74" s="13">
        <v>3</v>
      </c>
      <c r="L74" s="13">
        <v>0</v>
      </c>
      <c r="M74" s="13">
        <v>105</v>
      </c>
      <c r="N74" s="13">
        <v>0</v>
      </c>
      <c r="O74" s="13">
        <v>121</v>
      </c>
      <c r="P74" s="13">
        <v>0</v>
      </c>
      <c r="Q74" s="13">
        <v>18</v>
      </c>
      <c r="R74" s="13">
        <v>0</v>
      </c>
      <c r="S74" s="5">
        <v>98.8</v>
      </c>
      <c r="T74" s="13">
        <v>0</v>
      </c>
      <c r="U74" s="13">
        <v>91</v>
      </c>
      <c r="V74" s="13">
        <v>1</v>
      </c>
      <c r="W74" s="13">
        <v>0</v>
      </c>
      <c r="X74" s="13">
        <v>1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1</v>
      </c>
      <c r="AF74" s="13">
        <v>0</v>
      </c>
      <c r="AG74" s="13">
        <v>0</v>
      </c>
      <c r="AH74" s="13">
        <v>0</v>
      </c>
      <c r="AI74" s="13">
        <v>1</v>
      </c>
      <c r="AJ74" s="13">
        <v>1</v>
      </c>
      <c r="AK74" s="13">
        <v>1</v>
      </c>
      <c r="AL74" s="13">
        <v>0</v>
      </c>
      <c r="AM74" s="13">
        <v>0</v>
      </c>
      <c r="AN74" s="13">
        <v>0</v>
      </c>
      <c r="AO74" s="13">
        <v>1</v>
      </c>
      <c r="AP74" s="13">
        <v>1</v>
      </c>
      <c r="AQ74" s="13">
        <v>0</v>
      </c>
      <c r="AR74" s="13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50</v>
      </c>
      <c r="AX74" s="51">
        <f>5/4.2</f>
        <v>1.1904761904761905</v>
      </c>
      <c r="AY74" s="31">
        <v>0</v>
      </c>
      <c r="AZ74" s="31">
        <v>0</v>
      </c>
      <c r="BA74" s="31">
        <v>1</v>
      </c>
      <c r="BB74" s="51">
        <f>2.7/3.27</f>
        <v>0.82568807339449546</v>
      </c>
      <c r="BC74" s="31">
        <v>2</v>
      </c>
      <c r="BD74" s="31">
        <v>1</v>
      </c>
      <c r="BE74" s="31"/>
      <c r="BF74" s="13">
        <v>0</v>
      </c>
      <c r="BG74" s="13" t="s">
        <v>48</v>
      </c>
      <c r="BH74" s="13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1</v>
      </c>
      <c r="BN74" s="13">
        <v>0</v>
      </c>
      <c r="BO74" s="13">
        <v>0</v>
      </c>
      <c r="BP74" s="13" t="s">
        <v>48</v>
      </c>
      <c r="BQ74" s="13" t="s">
        <v>48</v>
      </c>
      <c r="BR74" s="13">
        <v>0</v>
      </c>
      <c r="BS74" s="13" t="s">
        <v>48</v>
      </c>
      <c r="BT74" s="13">
        <v>0</v>
      </c>
      <c r="BU74" s="13">
        <v>1</v>
      </c>
      <c r="BV74" s="61" t="s">
        <v>50</v>
      </c>
      <c r="BW74" s="99">
        <v>0</v>
      </c>
      <c r="BX74" s="13">
        <v>0</v>
      </c>
      <c r="BY74" s="13">
        <v>0</v>
      </c>
      <c r="BZ74" s="13">
        <v>0</v>
      </c>
      <c r="CA74" s="13">
        <v>0</v>
      </c>
      <c r="CB74" s="34" t="s">
        <v>56</v>
      </c>
    </row>
    <row r="75" spans="1:81" s="53" customFormat="1" ht="18.75" x14ac:dyDescent="0.3">
      <c r="A75" s="1">
        <v>74</v>
      </c>
      <c r="B75" s="60">
        <v>84</v>
      </c>
      <c r="C75" s="13" t="s">
        <v>52</v>
      </c>
      <c r="D75" s="50" t="s">
        <v>47</v>
      </c>
      <c r="E75" s="13">
        <v>5</v>
      </c>
      <c r="F75" s="5">
        <f>'[2]Removed Saddle Values'!G75*2.54</f>
        <v>152.4</v>
      </c>
      <c r="G75" s="5">
        <v>85.5</v>
      </c>
      <c r="H75" s="5">
        <f t="shared" si="2"/>
        <v>36.812573625147245</v>
      </c>
      <c r="I75" s="13">
        <v>1</v>
      </c>
      <c r="J75" s="13">
        <v>3</v>
      </c>
      <c r="K75" s="13">
        <v>2</v>
      </c>
      <c r="L75" s="13">
        <v>1</v>
      </c>
      <c r="M75" s="13">
        <v>110</v>
      </c>
      <c r="N75" s="13">
        <v>0</v>
      </c>
      <c r="O75" s="13">
        <v>171</v>
      </c>
      <c r="P75" s="13">
        <v>0</v>
      </c>
      <c r="Q75" s="13">
        <v>21</v>
      </c>
      <c r="R75" s="13">
        <v>0</v>
      </c>
      <c r="S75" s="5">
        <v>97.6</v>
      </c>
      <c r="T75" s="13">
        <v>0</v>
      </c>
      <c r="U75" s="13">
        <v>95</v>
      </c>
      <c r="V75" s="13">
        <v>0</v>
      </c>
      <c r="W75" s="13">
        <v>0</v>
      </c>
      <c r="X75" s="13">
        <v>1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1</v>
      </c>
      <c r="AL75" s="13">
        <v>0</v>
      </c>
      <c r="AM75" s="13">
        <v>0</v>
      </c>
      <c r="AN75" s="13">
        <v>0</v>
      </c>
      <c r="AO75" s="13">
        <v>1</v>
      </c>
      <c r="AP75" s="13">
        <v>1</v>
      </c>
      <c r="AQ75" s="13">
        <v>1</v>
      </c>
      <c r="AR75" s="13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33.799999999999997</v>
      </c>
      <c r="AX75" s="51">
        <f>4.16/4.53</f>
        <v>0.91832229580573954</v>
      </c>
      <c r="AY75" s="31">
        <v>0</v>
      </c>
      <c r="AZ75" s="31">
        <v>1</v>
      </c>
      <c r="BA75" s="31">
        <v>0</v>
      </c>
      <c r="BB75" s="51">
        <f>2.97/3.32</f>
        <v>0.89457831325301218</v>
      </c>
      <c r="BC75" s="31">
        <v>2</v>
      </c>
      <c r="BD75" s="31">
        <v>0</v>
      </c>
      <c r="BE75" s="31"/>
      <c r="BF75" s="13">
        <v>1</v>
      </c>
      <c r="BG75" s="13" t="s">
        <v>152</v>
      </c>
      <c r="BH75" s="13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 t="s">
        <v>48</v>
      </c>
      <c r="BQ75" s="13" t="s">
        <v>48</v>
      </c>
      <c r="BR75" s="13">
        <v>0</v>
      </c>
      <c r="BS75" s="57" t="s">
        <v>48</v>
      </c>
      <c r="BT75" s="13">
        <v>0</v>
      </c>
      <c r="BU75" s="13">
        <v>1</v>
      </c>
      <c r="BV75" s="61" t="s">
        <v>50</v>
      </c>
      <c r="BW75" s="99">
        <v>0</v>
      </c>
      <c r="BX75" s="13">
        <v>0</v>
      </c>
      <c r="BY75" s="13">
        <v>0</v>
      </c>
      <c r="BZ75" s="13">
        <v>0</v>
      </c>
      <c r="CA75" s="13">
        <v>0</v>
      </c>
      <c r="CB75" s="18" t="s">
        <v>54</v>
      </c>
    </row>
    <row r="76" spans="1:81" s="53" customFormat="1" ht="18.75" x14ac:dyDescent="0.3">
      <c r="A76" s="1">
        <v>75</v>
      </c>
      <c r="B76" s="60">
        <v>43</v>
      </c>
      <c r="C76" s="13" t="s">
        <v>46</v>
      </c>
      <c r="D76" s="50" t="s">
        <v>47</v>
      </c>
      <c r="E76" s="13" t="s">
        <v>109</v>
      </c>
      <c r="F76" s="5">
        <f>'[2]Removed Saddle Values'!G76*2.54</f>
        <v>177.8</v>
      </c>
      <c r="G76" s="5">
        <v>108.9</v>
      </c>
      <c r="H76" s="5">
        <f t="shared" si="2"/>
        <v>34.448028079729632</v>
      </c>
      <c r="I76" s="13">
        <v>1</v>
      </c>
      <c r="J76" s="13">
        <v>4</v>
      </c>
      <c r="K76" s="94">
        <v>3</v>
      </c>
      <c r="L76" s="13">
        <v>1</v>
      </c>
      <c r="M76" s="13">
        <v>139</v>
      </c>
      <c r="N76" s="13">
        <v>1</v>
      </c>
      <c r="O76" s="13">
        <v>89</v>
      </c>
      <c r="P76" s="13">
        <v>0</v>
      </c>
      <c r="Q76" s="13">
        <v>24</v>
      </c>
      <c r="R76" s="13">
        <v>1</v>
      </c>
      <c r="S76" s="5">
        <v>96.4</v>
      </c>
      <c r="T76" s="13">
        <v>0</v>
      </c>
      <c r="U76" s="13" t="s">
        <v>48</v>
      </c>
      <c r="V76" s="13">
        <v>1</v>
      </c>
      <c r="W76" s="13">
        <v>0</v>
      </c>
      <c r="X76" s="13">
        <v>0</v>
      </c>
      <c r="Y76" s="13">
        <v>1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1</v>
      </c>
      <c r="AP76" s="13">
        <v>1</v>
      </c>
      <c r="AQ76" s="13" t="s">
        <v>48</v>
      </c>
      <c r="AR76" s="13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41</v>
      </c>
      <c r="AX76" s="51">
        <f>5.92/3.83</f>
        <v>1.5456919060052219</v>
      </c>
      <c r="AY76" s="31">
        <v>0</v>
      </c>
      <c r="AZ76" s="31">
        <v>0</v>
      </c>
      <c r="BA76" s="31">
        <v>1</v>
      </c>
      <c r="BB76" s="51">
        <f>3.21/3.84</f>
        <v>0.8359375</v>
      </c>
      <c r="BC76" s="31">
        <v>5</v>
      </c>
      <c r="BD76" s="31">
        <v>1</v>
      </c>
      <c r="BE76" s="31"/>
      <c r="BF76" s="13">
        <v>1</v>
      </c>
      <c r="BG76" s="13" t="s">
        <v>140</v>
      </c>
      <c r="BH76" s="13">
        <v>1</v>
      </c>
      <c r="BI76" s="13">
        <v>1</v>
      </c>
      <c r="BJ76" s="13">
        <v>1</v>
      </c>
      <c r="BK76" s="13">
        <v>1</v>
      </c>
      <c r="BL76" s="13">
        <v>0</v>
      </c>
      <c r="BM76" s="13">
        <v>1</v>
      </c>
      <c r="BN76" s="13">
        <v>1</v>
      </c>
      <c r="BO76" s="13">
        <v>0</v>
      </c>
      <c r="BP76" s="13">
        <v>1</v>
      </c>
      <c r="BQ76" s="13">
        <v>1</v>
      </c>
      <c r="BR76" s="13">
        <v>0</v>
      </c>
      <c r="BS76" s="13" t="s">
        <v>48</v>
      </c>
      <c r="BT76" s="13">
        <v>0</v>
      </c>
      <c r="BU76" s="13">
        <v>0</v>
      </c>
      <c r="BV76" s="61" t="s">
        <v>82</v>
      </c>
      <c r="BW76" s="99" t="s">
        <v>48</v>
      </c>
      <c r="BX76" s="13" t="s">
        <v>48</v>
      </c>
      <c r="BY76" s="13" t="s">
        <v>48</v>
      </c>
      <c r="BZ76" s="13">
        <v>0</v>
      </c>
      <c r="CA76" s="13">
        <v>0</v>
      </c>
      <c r="CB76" s="34" t="s">
        <v>54</v>
      </c>
      <c r="CC76" s="18"/>
    </row>
    <row r="77" spans="1:81" s="53" customFormat="1" ht="18.75" x14ac:dyDescent="0.3">
      <c r="A77" s="1">
        <v>76</v>
      </c>
      <c r="B77" s="60">
        <v>32</v>
      </c>
      <c r="C77" s="13" t="s">
        <v>52</v>
      </c>
      <c r="D77" s="50" t="s">
        <v>53</v>
      </c>
      <c r="E77" s="13">
        <v>6</v>
      </c>
      <c r="F77" s="5">
        <f>'[2]Removed Saddle Values'!G77*2.54</f>
        <v>170.18</v>
      </c>
      <c r="G77" s="5">
        <v>108.9</v>
      </c>
      <c r="H77" s="5">
        <f t="shared" si="2"/>
        <v>37.60199099814551</v>
      </c>
      <c r="I77" s="13">
        <v>1</v>
      </c>
      <c r="J77" s="13">
        <v>3</v>
      </c>
      <c r="K77" s="13">
        <v>2</v>
      </c>
      <c r="L77" s="13">
        <v>1</v>
      </c>
      <c r="M77" s="13">
        <v>132</v>
      </c>
      <c r="N77" s="13">
        <v>0</v>
      </c>
      <c r="O77" s="13">
        <v>136</v>
      </c>
      <c r="P77" s="13">
        <v>0</v>
      </c>
      <c r="Q77" s="13">
        <v>20</v>
      </c>
      <c r="R77" s="13">
        <v>0</v>
      </c>
      <c r="S77" s="5">
        <v>97.9</v>
      </c>
      <c r="T77" s="13">
        <v>1</v>
      </c>
      <c r="U77" s="13">
        <v>88</v>
      </c>
      <c r="V77" s="13">
        <v>1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1</v>
      </c>
      <c r="AH77" s="13">
        <v>1</v>
      </c>
      <c r="AI77" s="13">
        <v>1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1</v>
      </c>
      <c r="AP77" s="13">
        <v>1</v>
      </c>
      <c r="AQ77" s="13">
        <v>1</v>
      </c>
      <c r="AR77" s="13">
        <v>1</v>
      </c>
      <c r="AS77" s="13">
        <v>1</v>
      </c>
      <c r="AT77" s="13">
        <v>1</v>
      </c>
      <c r="AU77" s="13">
        <v>1</v>
      </c>
      <c r="AV77" s="13">
        <v>0</v>
      </c>
      <c r="AW77" s="13">
        <v>30.4</v>
      </c>
      <c r="AX77" s="51">
        <f>5.91/3.46</f>
        <v>1.7080924855491331</v>
      </c>
      <c r="AY77" s="31">
        <v>0</v>
      </c>
      <c r="AZ77" s="31">
        <v>0</v>
      </c>
      <c r="BA77" s="31">
        <v>1</v>
      </c>
      <c r="BB77" s="51">
        <f>3.19/3.13</f>
        <v>1.0191693290734825</v>
      </c>
      <c r="BC77" s="31">
        <v>4</v>
      </c>
      <c r="BD77" s="31">
        <v>1</v>
      </c>
      <c r="BE77" s="31"/>
      <c r="BF77" s="13">
        <v>0</v>
      </c>
      <c r="BG77" s="13" t="s">
        <v>48</v>
      </c>
      <c r="BH77" s="13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0</v>
      </c>
      <c r="BQ77" s="13">
        <v>1</v>
      </c>
      <c r="BR77" s="13">
        <v>0</v>
      </c>
      <c r="BS77" s="13" t="s">
        <v>48</v>
      </c>
      <c r="BT77" s="13">
        <v>0</v>
      </c>
      <c r="BU77" s="13">
        <v>1</v>
      </c>
      <c r="BV77" s="61" t="s">
        <v>50</v>
      </c>
      <c r="BW77" s="99">
        <v>0</v>
      </c>
      <c r="BX77" s="13">
        <v>0</v>
      </c>
      <c r="BY77" s="13">
        <v>1</v>
      </c>
      <c r="BZ77" s="13">
        <v>0</v>
      </c>
      <c r="CA77" s="13">
        <v>0</v>
      </c>
      <c r="CB77" s="34" t="s">
        <v>158</v>
      </c>
      <c r="CC77" s="18"/>
    </row>
    <row r="78" spans="1:81" s="53" customFormat="1" ht="18.75" x14ac:dyDescent="0.3">
      <c r="A78" s="1">
        <v>77</v>
      </c>
      <c r="B78" s="60">
        <v>71</v>
      </c>
      <c r="C78" s="13" t="s">
        <v>46</v>
      </c>
      <c r="D78" s="50" t="s">
        <v>47</v>
      </c>
      <c r="E78" s="13" t="s">
        <v>130</v>
      </c>
      <c r="F78" s="5">
        <f>'[2]Removed Saddle Values'!G78*2.54</f>
        <v>182.88</v>
      </c>
      <c r="G78" s="5">
        <v>113.4</v>
      </c>
      <c r="H78" s="5">
        <f t="shared" si="2"/>
        <v>33.906317812635628</v>
      </c>
      <c r="I78" s="13">
        <v>1</v>
      </c>
      <c r="J78" s="13">
        <v>5</v>
      </c>
      <c r="K78" s="13">
        <v>1</v>
      </c>
      <c r="L78" s="13">
        <v>1</v>
      </c>
      <c r="M78" s="13">
        <v>112</v>
      </c>
      <c r="N78" s="13">
        <v>0</v>
      </c>
      <c r="O78" s="13">
        <v>120</v>
      </c>
      <c r="P78" s="13">
        <v>0</v>
      </c>
      <c r="Q78" s="13">
        <v>22</v>
      </c>
      <c r="R78" s="13">
        <v>0</v>
      </c>
      <c r="S78" s="5">
        <v>98.1</v>
      </c>
      <c r="T78" s="13">
        <v>1</v>
      </c>
      <c r="U78" s="13" t="s">
        <v>48</v>
      </c>
      <c r="V78" s="13">
        <v>1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1</v>
      </c>
      <c r="AD78" s="13">
        <v>0</v>
      </c>
      <c r="AE78" s="13">
        <v>0</v>
      </c>
      <c r="AF78" s="13">
        <v>0</v>
      </c>
      <c r="AG78" s="13">
        <v>1</v>
      </c>
      <c r="AH78" s="13">
        <v>0</v>
      </c>
      <c r="AI78" s="13">
        <v>1</v>
      </c>
      <c r="AJ78" s="13">
        <v>1</v>
      </c>
      <c r="AK78" s="13">
        <v>0</v>
      </c>
      <c r="AL78" s="13">
        <v>0</v>
      </c>
      <c r="AM78" s="13">
        <v>0</v>
      </c>
      <c r="AN78" s="13">
        <v>0</v>
      </c>
      <c r="AO78" s="13">
        <v>1</v>
      </c>
      <c r="AP78" s="13">
        <v>1</v>
      </c>
      <c r="AQ78" s="13" t="s">
        <v>48</v>
      </c>
      <c r="AR78" s="13" t="s">
        <v>48</v>
      </c>
      <c r="AS78" s="13">
        <v>0</v>
      </c>
      <c r="AT78" s="13">
        <v>0</v>
      </c>
      <c r="AU78" s="13">
        <v>0</v>
      </c>
      <c r="AV78" s="13">
        <v>1</v>
      </c>
      <c r="AW78" s="13">
        <v>30</v>
      </c>
      <c r="AX78" s="51">
        <f>5.27/4.39</f>
        <v>1.2004555808656037</v>
      </c>
      <c r="AY78" s="31">
        <v>0</v>
      </c>
      <c r="AZ78" s="31">
        <v>0</v>
      </c>
      <c r="BA78" s="31">
        <v>1</v>
      </c>
      <c r="BB78" s="51">
        <f>3.52/3.51</f>
        <v>1.0028490028490029</v>
      </c>
      <c r="BC78" s="31">
        <v>4</v>
      </c>
      <c r="BD78" s="31">
        <v>1</v>
      </c>
      <c r="BE78" s="31"/>
      <c r="BF78" s="13">
        <v>0</v>
      </c>
      <c r="BG78" s="13" t="s">
        <v>48</v>
      </c>
      <c r="BH78" s="13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1</v>
      </c>
      <c r="BO78" s="13">
        <v>0</v>
      </c>
      <c r="BP78" s="13">
        <v>1</v>
      </c>
      <c r="BQ78" s="13">
        <v>1</v>
      </c>
      <c r="BR78" s="13">
        <v>0</v>
      </c>
      <c r="BS78" s="13" t="s">
        <v>48</v>
      </c>
      <c r="BT78" s="13">
        <v>0</v>
      </c>
      <c r="BU78" s="13">
        <v>1</v>
      </c>
      <c r="BV78" s="61" t="s">
        <v>50</v>
      </c>
      <c r="BW78" s="99">
        <v>0</v>
      </c>
      <c r="BX78" s="13">
        <v>1</v>
      </c>
      <c r="BY78" s="13">
        <v>1</v>
      </c>
      <c r="BZ78" s="13">
        <v>0</v>
      </c>
      <c r="CA78" s="13">
        <v>0</v>
      </c>
      <c r="CB78" s="34" t="s">
        <v>61</v>
      </c>
    </row>
    <row r="79" spans="1:81" s="53" customFormat="1" ht="18.75" x14ac:dyDescent="0.3">
      <c r="A79" s="1">
        <v>78</v>
      </c>
      <c r="B79" s="60">
        <v>70</v>
      </c>
      <c r="C79" s="13" t="s">
        <v>52</v>
      </c>
      <c r="D79" s="50" t="s">
        <v>47</v>
      </c>
      <c r="E79" s="13" t="s">
        <v>85</v>
      </c>
      <c r="F79" s="5">
        <f>'[2]Removed Saddle Values'!G79*2.54</f>
        <v>162.56</v>
      </c>
      <c r="G79" s="5">
        <v>113.5</v>
      </c>
      <c r="H79" s="5">
        <f t="shared" si="2"/>
        <v>42.95052535417571</v>
      </c>
      <c r="I79" s="13">
        <v>1</v>
      </c>
      <c r="J79" s="13">
        <v>4</v>
      </c>
      <c r="K79" s="13">
        <v>2</v>
      </c>
      <c r="L79" s="13">
        <v>0</v>
      </c>
      <c r="M79" s="13">
        <v>74</v>
      </c>
      <c r="N79" s="13">
        <v>0</v>
      </c>
      <c r="O79" s="13">
        <v>155</v>
      </c>
      <c r="P79" s="13">
        <v>1</v>
      </c>
      <c r="Q79" s="13">
        <v>32</v>
      </c>
      <c r="R79" s="13">
        <v>0</v>
      </c>
      <c r="S79" s="5">
        <v>97.8</v>
      </c>
      <c r="T79" s="13">
        <v>0</v>
      </c>
      <c r="U79" s="13">
        <v>93</v>
      </c>
      <c r="V79" s="13">
        <v>1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1</v>
      </c>
      <c r="AD79" s="13">
        <v>0</v>
      </c>
      <c r="AE79" s="13">
        <v>1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1</v>
      </c>
      <c r="AM79" s="13">
        <v>0</v>
      </c>
      <c r="AN79" s="13">
        <v>0</v>
      </c>
      <c r="AO79" s="13">
        <v>0</v>
      </c>
      <c r="AP79" s="13" t="s">
        <v>48</v>
      </c>
      <c r="AQ79" s="13" t="s">
        <v>48</v>
      </c>
      <c r="AR79" s="13">
        <v>0</v>
      </c>
      <c r="AS79" s="13">
        <v>0</v>
      </c>
      <c r="AT79" s="13">
        <v>1</v>
      </c>
      <c r="AU79" s="13">
        <v>0</v>
      </c>
      <c r="AV79" s="13">
        <v>0</v>
      </c>
      <c r="AW79" s="13" t="s">
        <v>192</v>
      </c>
      <c r="AX79" s="51">
        <f>4.93/4.33</f>
        <v>1.1385681293302539</v>
      </c>
      <c r="AY79" s="31">
        <v>0</v>
      </c>
      <c r="AZ79" s="31">
        <v>0</v>
      </c>
      <c r="BA79" s="31">
        <v>1</v>
      </c>
      <c r="BB79" s="51">
        <f>3.95/3.25</f>
        <v>1.2153846153846155</v>
      </c>
      <c r="BC79" s="31">
        <v>4</v>
      </c>
      <c r="BD79" s="31">
        <v>0</v>
      </c>
      <c r="BE79" s="31"/>
      <c r="BF79" s="13">
        <v>0</v>
      </c>
      <c r="BG79" s="13" t="s">
        <v>48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 t="s">
        <v>48</v>
      </c>
      <c r="BQ79" s="13" t="s">
        <v>48</v>
      </c>
      <c r="BR79" s="13">
        <v>0</v>
      </c>
      <c r="BS79" s="13" t="s">
        <v>48</v>
      </c>
      <c r="BT79" s="13">
        <v>0</v>
      </c>
      <c r="BU79" s="13">
        <v>0</v>
      </c>
      <c r="BV79" s="61" t="s">
        <v>50</v>
      </c>
      <c r="BW79" s="99">
        <v>0</v>
      </c>
      <c r="BX79" s="13">
        <v>1</v>
      </c>
      <c r="BY79" s="13">
        <v>0</v>
      </c>
      <c r="BZ79" s="13">
        <v>0</v>
      </c>
      <c r="CA79" s="13">
        <v>0</v>
      </c>
      <c r="CB79" s="34" t="s">
        <v>54</v>
      </c>
    </row>
    <row r="80" spans="1:81" s="53" customFormat="1" ht="18.75" x14ac:dyDescent="0.3">
      <c r="A80" s="1">
        <v>79</v>
      </c>
      <c r="B80" s="60">
        <v>41</v>
      </c>
      <c r="C80" s="13" t="s">
        <v>52</v>
      </c>
      <c r="D80" s="50" t="s">
        <v>53</v>
      </c>
      <c r="E80" s="13" t="s">
        <v>77</v>
      </c>
      <c r="F80" s="5">
        <f>'[2]Removed Saddle Values'!G80*2.54</f>
        <v>180.34</v>
      </c>
      <c r="G80" s="5">
        <v>106.6</v>
      </c>
      <c r="H80" s="5">
        <f t="shared" si="2"/>
        <v>32.77729229531063</v>
      </c>
      <c r="I80" s="13">
        <v>1</v>
      </c>
      <c r="J80" s="13">
        <v>1</v>
      </c>
      <c r="K80" s="13">
        <v>2</v>
      </c>
      <c r="L80" s="13">
        <v>1</v>
      </c>
      <c r="M80" s="13">
        <v>130</v>
      </c>
      <c r="N80" s="13">
        <v>0</v>
      </c>
      <c r="O80" s="13">
        <v>132</v>
      </c>
      <c r="P80" s="13">
        <v>0</v>
      </c>
      <c r="Q80" s="13">
        <v>20</v>
      </c>
      <c r="R80" s="13">
        <v>0</v>
      </c>
      <c r="S80" s="5">
        <v>100</v>
      </c>
      <c r="T80" s="13">
        <v>0</v>
      </c>
      <c r="U80" s="13">
        <v>96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1</v>
      </c>
      <c r="AP80" s="13">
        <v>1</v>
      </c>
      <c r="AQ80" s="13">
        <v>1</v>
      </c>
      <c r="AR80" s="13">
        <v>1</v>
      </c>
      <c r="AS80" s="13">
        <v>0</v>
      </c>
      <c r="AT80" s="13">
        <v>1</v>
      </c>
      <c r="AU80" s="13">
        <v>0</v>
      </c>
      <c r="AV80" s="13">
        <v>0</v>
      </c>
      <c r="AW80" s="13">
        <v>40</v>
      </c>
      <c r="AX80" s="51">
        <f>5.58/3.98</f>
        <v>1.4020100502512562</v>
      </c>
      <c r="AY80" s="31">
        <v>0</v>
      </c>
      <c r="AZ80" s="31">
        <v>0</v>
      </c>
      <c r="BA80" s="31">
        <v>1</v>
      </c>
      <c r="BB80" s="51">
        <f>3.03/3.07</f>
        <v>0.98697068403908794</v>
      </c>
      <c r="BC80" s="31">
        <v>4</v>
      </c>
      <c r="BD80" s="31">
        <v>1</v>
      </c>
      <c r="BE80" s="31"/>
      <c r="BF80" s="13">
        <v>0</v>
      </c>
      <c r="BG80" s="13" t="s">
        <v>48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 t="s">
        <v>48</v>
      </c>
      <c r="BQ80" s="13" t="s">
        <v>48</v>
      </c>
      <c r="BR80" s="13">
        <v>0</v>
      </c>
      <c r="BS80" s="13" t="s">
        <v>48</v>
      </c>
      <c r="BT80" s="13">
        <v>0</v>
      </c>
      <c r="BU80" s="13">
        <v>0</v>
      </c>
      <c r="BV80" s="61" t="s">
        <v>50</v>
      </c>
      <c r="BW80" s="99">
        <v>0</v>
      </c>
      <c r="BX80" s="13">
        <v>0</v>
      </c>
      <c r="BY80" s="13">
        <v>0</v>
      </c>
      <c r="BZ80" s="13">
        <v>0</v>
      </c>
      <c r="CA80" s="13">
        <v>0</v>
      </c>
      <c r="CB80" s="34" t="s">
        <v>142</v>
      </c>
      <c r="CC80" s="34"/>
    </row>
    <row r="81" spans="1:81" s="53" customFormat="1" ht="18.75" x14ac:dyDescent="0.3">
      <c r="A81" s="1">
        <v>80</v>
      </c>
      <c r="B81" s="60">
        <v>37</v>
      </c>
      <c r="C81" s="13" t="s">
        <v>46</v>
      </c>
      <c r="D81" s="50" t="s">
        <v>53</v>
      </c>
      <c r="E81" s="13" t="s">
        <v>85</v>
      </c>
      <c r="F81" s="5">
        <f>'[2]Removed Saddle Values'!G81*2.54</f>
        <v>170.18</v>
      </c>
      <c r="G81" s="5">
        <v>124.7</v>
      </c>
      <c r="H81" s="5">
        <f t="shared" si="2"/>
        <v>43.0575599400252</v>
      </c>
      <c r="I81" s="13">
        <v>1</v>
      </c>
      <c r="J81" s="13">
        <v>3</v>
      </c>
      <c r="K81" s="13">
        <v>2</v>
      </c>
      <c r="L81" s="13">
        <v>1</v>
      </c>
      <c r="M81" s="13">
        <v>114</v>
      </c>
      <c r="N81" s="13">
        <v>0</v>
      </c>
      <c r="O81" s="13">
        <v>133</v>
      </c>
      <c r="P81" s="13">
        <v>0</v>
      </c>
      <c r="Q81" s="13">
        <v>16</v>
      </c>
      <c r="R81" s="13">
        <v>0</v>
      </c>
      <c r="S81" s="5">
        <v>98.5</v>
      </c>
      <c r="T81" s="13">
        <v>0</v>
      </c>
      <c r="U81" s="13">
        <v>96</v>
      </c>
      <c r="V81" s="13">
        <v>1</v>
      </c>
      <c r="W81" s="13">
        <v>0</v>
      </c>
      <c r="X81" s="13">
        <v>1</v>
      </c>
      <c r="Y81" s="13">
        <v>0</v>
      </c>
      <c r="Z81" s="13">
        <v>0</v>
      </c>
      <c r="AA81" s="13">
        <v>0</v>
      </c>
      <c r="AB81" s="13">
        <v>1</v>
      </c>
      <c r="AC81" s="13">
        <v>0</v>
      </c>
      <c r="AD81" s="13">
        <v>0</v>
      </c>
      <c r="AE81" s="13">
        <v>1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1</v>
      </c>
      <c r="AP81" s="13">
        <v>1</v>
      </c>
      <c r="AQ81" s="13">
        <v>1</v>
      </c>
      <c r="AR81" s="13">
        <v>1</v>
      </c>
      <c r="AS81" s="13">
        <v>0</v>
      </c>
      <c r="AT81" s="13">
        <v>0</v>
      </c>
      <c r="AU81" s="13">
        <v>0</v>
      </c>
      <c r="AV81" s="13">
        <v>0</v>
      </c>
      <c r="AW81" s="13" t="s">
        <v>192</v>
      </c>
      <c r="AX81" s="51">
        <f>5.29/3.98</f>
        <v>1.329145728643216</v>
      </c>
      <c r="AY81" s="31">
        <v>0</v>
      </c>
      <c r="AZ81" s="31">
        <v>0</v>
      </c>
      <c r="BA81" s="31">
        <v>1</v>
      </c>
      <c r="BB81" s="51">
        <f>2.63/3.05</f>
        <v>0.86229508196721316</v>
      </c>
      <c r="BC81" s="31">
        <v>4</v>
      </c>
      <c r="BD81" s="31">
        <v>1</v>
      </c>
      <c r="BE81" s="31"/>
      <c r="BF81" s="13">
        <v>0</v>
      </c>
      <c r="BG81" s="13" t="s">
        <v>48</v>
      </c>
      <c r="BH81" s="13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3">
        <v>1</v>
      </c>
      <c r="BR81" s="13">
        <v>0</v>
      </c>
      <c r="BS81" s="13" t="s">
        <v>48</v>
      </c>
      <c r="BT81" s="13">
        <v>0</v>
      </c>
      <c r="BU81" s="13">
        <v>0</v>
      </c>
      <c r="BV81" s="61" t="s">
        <v>50</v>
      </c>
      <c r="BW81" s="99">
        <v>0</v>
      </c>
      <c r="BX81" s="13">
        <v>0</v>
      </c>
      <c r="BY81" s="13">
        <v>1</v>
      </c>
      <c r="BZ81" s="13">
        <v>0</v>
      </c>
      <c r="CA81" s="13">
        <v>0</v>
      </c>
      <c r="CB81" s="34" t="s">
        <v>54</v>
      </c>
    </row>
    <row r="82" spans="1:81" s="53" customFormat="1" ht="18.75" x14ac:dyDescent="0.3">
      <c r="A82" s="1">
        <v>81</v>
      </c>
      <c r="B82" s="60">
        <v>61</v>
      </c>
      <c r="C82" s="13" t="s">
        <v>52</v>
      </c>
      <c r="D82" s="50" t="s">
        <v>53</v>
      </c>
      <c r="E82" s="13" t="s">
        <v>98</v>
      </c>
      <c r="F82" s="5">
        <f>'[2]Removed Saddle Values'!G82*2.54</f>
        <v>172.72</v>
      </c>
      <c r="G82" s="5">
        <v>113.4</v>
      </c>
      <c r="H82" s="5">
        <f t="shared" si="2"/>
        <v>38.012619277833707</v>
      </c>
      <c r="I82" s="13">
        <v>1</v>
      </c>
      <c r="J82" s="13">
        <v>3</v>
      </c>
      <c r="K82" s="13">
        <v>2</v>
      </c>
      <c r="L82" s="13">
        <v>0</v>
      </c>
      <c r="M82" s="13">
        <v>80</v>
      </c>
      <c r="N82" s="13">
        <v>0</v>
      </c>
      <c r="O82" s="13">
        <v>120</v>
      </c>
      <c r="P82" s="13">
        <v>0</v>
      </c>
      <c r="Q82" s="13">
        <v>18</v>
      </c>
      <c r="R82" s="13">
        <v>1</v>
      </c>
      <c r="S82" s="5">
        <v>96.4</v>
      </c>
      <c r="T82" s="13">
        <v>0</v>
      </c>
      <c r="U82" s="13">
        <v>100</v>
      </c>
      <c r="V82" s="13">
        <v>1</v>
      </c>
      <c r="W82" s="13">
        <v>0</v>
      </c>
      <c r="X82" s="13">
        <v>1</v>
      </c>
      <c r="Y82" s="13">
        <v>0</v>
      </c>
      <c r="Z82" s="13">
        <v>0</v>
      </c>
      <c r="AA82" s="13">
        <v>0</v>
      </c>
      <c r="AB82" s="13">
        <v>0</v>
      </c>
      <c r="AC82" s="13">
        <v>1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 t="s">
        <v>48</v>
      </c>
      <c r="AQ82" s="13">
        <v>1</v>
      </c>
      <c r="AR82" s="13">
        <v>1</v>
      </c>
      <c r="AS82" s="13">
        <v>1</v>
      </c>
      <c r="AT82" s="13">
        <v>0</v>
      </c>
      <c r="AU82" s="13">
        <v>0</v>
      </c>
      <c r="AV82" s="13">
        <v>0</v>
      </c>
      <c r="AW82" s="13" t="s">
        <v>192</v>
      </c>
      <c r="AX82" s="51">
        <f>4.91/4.61</f>
        <v>1.0650759219088937</v>
      </c>
      <c r="AY82" s="31">
        <v>0</v>
      </c>
      <c r="AZ82" s="31">
        <v>0</v>
      </c>
      <c r="BA82" s="31">
        <v>1</v>
      </c>
      <c r="BB82" s="51">
        <f>3.34/3.42</f>
        <v>0.97660818713450293</v>
      </c>
      <c r="BC82" s="31">
        <v>1</v>
      </c>
      <c r="BD82" s="31">
        <v>1</v>
      </c>
      <c r="BE82" s="31"/>
      <c r="BF82" s="13">
        <v>0</v>
      </c>
      <c r="BG82" s="13" t="s">
        <v>48</v>
      </c>
      <c r="BH82" s="13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0</v>
      </c>
      <c r="BQ82" s="13">
        <v>1</v>
      </c>
      <c r="BR82" s="13">
        <v>0</v>
      </c>
      <c r="BS82" s="13" t="s">
        <v>48</v>
      </c>
      <c r="BT82" s="13">
        <v>0</v>
      </c>
      <c r="BU82" s="13">
        <v>0</v>
      </c>
      <c r="BV82" s="61" t="s">
        <v>50</v>
      </c>
      <c r="BW82" s="99">
        <v>0</v>
      </c>
      <c r="BX82" s="13">
        <v>0</v>
      </c>
      <c r="BY82" s="13">
        <v>1</v>
      </c>
      <c r="BZ82" s="13">
        <v>0</v>
      </c>
      <c r="CA82" s="13">
        <v>0</v>
      </c>
      <c r="CB82" s="34" t="s">
        <v>54</v>
      </c>
      <c r="CC82" s="34"/>
    </row>
    <row r="83" spans="1:81" s="53" customFormat="1" ht="18.75" x14ac:dyDescent="0.3">
      <c r="A83" s="1">
        <v>82</v>
      </c>
      <c r="B83" s="60">
        <v>58</v>
      </c>
      <c r="C83" s="13" t="s">
        <v>46</v>
      </c>
      <c r="D83" s="50" t="s">
        <v>47</v>
      </c>
      <c r="E83" s="13" t="s">
        <v>77</v>
      </c>
      <c r="F83" s="5">
        <f>'[2]Removed Saddle Values'!G83*2.54</f>
        <v>180.34</v>
      </c>
      <c r="G83" s="5">
        <v>90.4</v>
      </c>
      <c r="H83" s="5">
        <f t="shared" si="2"/>
        <v>27.796127800150856</v>
      </c>
      <c r="I83" s="13">
        <v>0</v>
      </c>
      <c r="J83" s="13">
        <v>2</v>
      </c>
      <c r="K83" s="13">
        <v>2</v>
      </c>
      <c r="L83" s="13">
        <v>0</v>
      </c>
      <c r="M83" s="13">
        <v>106</v>
      </c>
      <c r="N83" s="13">
        <v>0</v>
      </c>
      <c r="O83" s="13">
        <v>135</v>
      </c>
      <c r="P83" s="13">
        <v>0</v>
      </c>
      <c r="Q83" s="13">
        <v>18</v>
      </c>
      <c r="R83" s="13">
        <v>0</v>
      </c>
      <c r="S83" s="5">
        <v>98</v>
      </c>
      <c r="T83" s="13">
        <v>0</v>
      </c>
      <c r="U83" s="13">
        <v>95</v>
      </c>
      <c r="V83" s="13">
        <v>0</v>
      </c>
      <c r="W83" s="13">
        <v>0</v>
      </c>
      <c r="X83" s="13">
        <v>0</v>
      </c>
      <c r="Y83" s="13">
        <v>1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1</v>
      </c>
      <c r="AF83" s="13">
        <v>0</v>
      </c>
      <c r="AG83" s="13">
        <v>1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1</v>
      </c>
      <c r="AP83" s="13">
        <v>1</v>
      </c>
      <c r="AQ83" s="13" t="s">
        <v>48</v>
      </c>
      <c r="AR83" s="13">
        <v>1</v>
      </c>
      <c r="AS83" s="13" t="s">
        <v>48</v>
      </c>
      <c r="AT83" s="13" t="s">
        <v>48</v>
      </c>
      <c r="AU83" s="13" t="s">
        <v>48</v>
      </c>
      <c r="AV83" s="13" t="s">
        <v>48</v>
      </c>
      <c r="AW83" s="13" t="s">
        <v>48</v>
      </c>
      <c r="AX83" s="51">
        <f>5.17/4.24</f>
        <v>1.2193396226415094</v>
      </c>
      <c r="AY83" s="31">
        <v>0</v>
      </c>
      <c r="AZ83" s="31">
        <v>0</v>
      </c>
      <c r="BA83" s="31">
        <v>1</v>
      </c>
      <c r="BB83" s="51">
        <f>3.2/2.97</f>
        <v>1.0774410774410774</v>
      </c>
      <c r="BC83" s="31">
        <v>2</v>
      </c>
      <c r="BD83" s="31">
        <v>1</v>
      </c>
      <c r="BE83" s="31"/>
      <c r="BF83" s="13">
        <v>0</v>
      </c>
      <c r="BG83" s="13" t="s">
        <v>48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 t="s">
        <v>48</v>
      </c>
      <c r="BQ83" s="13" t="s">
        <v>48</v>
      </c>
      <c r="BR83" s="13">
        <v>0</v>
      </c>
      <c r="BS83" s="13" t="s">
        <v>48</v>
      </c>
      <c r="BT83" s="13">
        <v>0</v>
      </c>
      <c r="BU83" s="13">
        <v>0</v>
      </c>
      <c r="BV83" s="61" t="s">
        <v>50</v>
      </c>
      <c r="BW83" s="99">
        <v>0</v>
      </c>
      <c r="BX83" s="13">
        <v>0</v>
      </c>
      <c r="BY83" s="13">
        <v>1</v>
      </c>
      <c r="BZ83" s="13">
        <v>0</v>
      </c>
      <c r="CA83" s="13">
        <v>0</v>
      </c>
      <c r="CB83" s="34" t="s">
        <v>61</v>
      </c>
    </row>
    <row r="84" spans="1:81" s="53" customFormat="1" ht="18.75" x14ac:dyDescent="0.3">
      <c r="A84" s="1">
        <v>83</v>
      </c>
      <c r="B84" s="68">
        <v>58</v>
      </c>
      <c r="C84" s="13" t="s">
        <v>46</v>
      </c>
      <c r="D84" s="50" t="s">
        <v>159</v>
      </c>
      <c r="E84" s="13" t="s">
        <v>76</v>
      </c>
      <c r="F84" s="5">
        <f>'[2]Removed Saddle Values'!G84*2.54</f>
        <v>177.8</v>
      </c>
      <c r="G84" s="5">
        <v>90.7</v>
      </c>
      <c r="H84" s="5">
        <f t="shared" si="2"/>
        <v>28.690873708278026</v>
      </c>
      <c r="I84" s="13">
        <v>1</v>
      </c>
      <c r="J84" s="13">
        <v>4</v>
      </c>
      <c r="K84" s="13">
        <v>1</v>
      </c>
      <c r="L84" s="13">
        <v>1</v>
      </c>
      <c r="M84" s="13">
        <v>132</v>
      </c>
      <c r="N84" s="13">
        <v>0</v>
      </c>
      <c r="O84" s="13">
        <v>148</v>
      </c>
      <c r="P84" s="13">
        <v>0</v>
      </c>
      <c r="Q84" s="13">
        <v>17</v>
      </c>
      <c r="R84" s="13">
        <v>0</v>
      </c>
      <c r="S84" s="5">
        <v>98.7</v>
      </c>
      <c r="T84" s="13">
        <v>1</v>
      </c>
      <c r="U84" s="13">
        <v>82</v>
      </c>
      <c r="V84" s="13">
        <v>1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1</v>
      </c>
      <c r="AF84" s="13">
        <v>0</v>
      </c>
      <c r="AG84" s="13">
        <v>1</v>
      </c>
      <c r="AH84" s="13">
        <v>1</v>
      </c>
      <c r="AI84" s="13">
        <v>1</v>
      </c>
      <c r="AJ84" s="13">
        <v>1</v>
      </c>
      <c r="AK84" s="13">
        <v>0</v>
      </c>
      <c r="AL84" s="13">
        <v>0</v>
      </c>
      <c r="AM84" s="13">
        <v>0</v>
      </c>
      <c r="AN84" s="13">
        <v>0</v>
      </c>
      <c r="AO84" s="13" t="s">
        <v>48</v>
      </c>
      <c r="AP84" s="13" t="s">
        <v>48</v>
      </c>
      <c r="AQ84" s="13" t="s">
        <v>48</v>
      </c>
      <c r="AR84" s="13">
        <v>0</v>
      </c>
      <c r="AS84" s="13" t="s">
        <v>48</v>
      </c>
      <c r="AT84" s="13" t="s">
        <v>48</v>
      </c>
      <c r="AU84" s="13" t="s">
        <v>48</v>
      </c>
      <c r="AV84" s="13" t="s">
        <v>48</v>
      </c>
      <c r="AW84" s="13" t="s">
        <v>48</v>
      </c>
      <c r="AX84" s="51">
        <f>5/4.52</f>
        <v>1.1061946902654869</v>
      </c>
      <c r="AY84" s="31">
        <v>0</v>
      </c>
      <c r="AZ84" s="31">
        <v>0</v>
      </c>
      <c r="BA84" s="31">
        <v>1</v>
      </c>
      <c r="BB84" s="51">
        <f>3.43/3.06</f>
        <v>1.1209150326797386</v>
      </c>
      <c r="BC84" s="31">
        <v>2</v>
      </c>
      <c r="BD84" s="31">
        <v>1</v>
      </c>
      <c r="BE84" s="31"/>
      <c r="BF84" s="13">
        <v>0</v>
      </c>
      <c r="BG84" s="13" t="s">
        <v>48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 t="s">
        <v>48</v>
      </c>
      <c r="BQ84" s="13" t="s">
        <v>48</v>
      </c>
      <c r="BR84" s="13">
        <v>0</v>
      </c>
      <c r="BS84" s="13" t="s">
        <v>48</v>
      </c>
      <c r="BT84" s="13">
        <v>0</v>
      </c>
      <c r="BU84" s="13">
        <v>0</v>
      </c>
      <c r="BV84" s="61" t="s">
        <v>57</v>
      </c>
      <c r="BW84" s="99" t="s">
        <v>57</v>
      </c>
      <c r="BX84" s="13">
        <v>0</v>
      </c>
      <c r="BY84" s="13">
        <v>1</v>
      </c>
      <c r="BZ84" s="13">
        <v>0</v>
      </c>
      <c r="CA84" s="13">
        <v>0</v>
      </c>
      <c r="CB84" s="34" t="s">
        <v>61</v>
      </c>
    </row>
    <row r="85" spans="1:81" s="53" customFormat="1" ht="18.75" x14ac:dyDescent="0.3">
      <c r="A85" s="1">
        <v>84</v>
      </c>
      <c r="B85" s="60">
        <v>63</v>
      </c>
      <c r="C85" s="13" t="s">
        <v>52</v>
      </c>
      <c r="D85" s="50" t="s">
        <v>159</v>
      </c>
      <c r="E85" s="13">
        <v>3</v>
      </c>
      <c r="F85" s="5">
        <f>'[2]Removed Saddle Values'!G85*2.54</f>
        <v>165.1</v>
      </c>
      <c r="G85" s="5">
        <v>114</v>
      </c>
      <c r="H85" s="5">
        <f t="shared" si="2"/>
        <v>41.822568852238291</v>
      </c>
      <c r="I85" s="13">
        <v>1</v>
      </c>
      <c r="J85" s="13">
        <v>3</v>
      </c>
      <c r="K85" s="13">
        <v>2</v>
      </c>
      <c r="L85" s="13">
        <v>0</v>
      </c>
      <c r="M85" s="13">
        <v>95</v>
      </c>
      <c r="N85" s="13">
        <v>0</v>
      </c>
      <c r="O85" s="13">
        <v>119</v>
      </c>
      <c r="P85" s="13">
        <v>0</v>
      </c>
      <c r="Q85" s="13">
        <v>18</v>
      </c>
      <c r="R85" s="13">
        <v>0</v>
      </c>
      <c r="S85" s="5">
        <v>97.3</v>
      </c>
      <c r="T85" s="13">
        <v>1</v>
      </c>
      <c r="U85" s="13">
        <v>87</v>
      </c>
      <c r="V85" s="13">
        <v>1</v>
      </c>
      <c r="W85" s="13">
        <v>0</v>
      </c>
      <c r="X85" s="13">
        <v>1</v>
      </c>
      <c r="Y85" s="13">
        <v>0</v>
      </c>
      <c r="Z85" s="13">
        <v>0</v>
      </c>
      <c r="AA85" s="13">
        <v>0</v>
      </c>
      <c r="AB85" s="13">
        <v>0</v>
      </c>
      <c r="AC85" s="13">
        <v>1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1</v>
      </c>
      <c r="AL85" s="13">
        <v>0</v>
      </c>
      <c r="AM85" s="13">
        <v>0</v>
      </c>
      <c r="AN85" s="13">
        <v>0</v>
      </c>
      <c r="AO85" s="13">
        <v>1</v>
      </c>
      <c r="AP85" s="13">
        <v>1</v>
      </c>
      <c r="AQ85" s="13">
        <v>1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 t="s">
        <v>192</v>
      </c>
      <c r="AX85" s="51">
        <f>4.05/4.29</f>
        <v>0.94405594405594395</v>
      </c>
      <c r="AY85" s="31">
        <v>0</v>
      </c>
      <c r="AZ85" s="31">
        <v>1</v>
      </c>
      <c r="BA85" s="31">
        <v>0</v>
      </c>
      <c r="BB85" s="51">
        <f>3.48/3.29</f>
        <v>1.0577507598784195</v>
      </c>
      <c r="BC85" s="31">
        <v>2</v>
      </c>
      <c r="BD85" s="31">
        <v>0</v>
      </c>
      <c r="BE85" s="31"/>
      <c r="BF85" s="13">
        <v>0</v>
      </c>
      <c r="BG85" s="13" t="s">
        <v>48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 t="s">
        <v>48</v>
      </c>
      <c r="BQ85" s="13" t="s">
        <v>48</v>
      </c>
      <c r="BR85" s="13">
        <v>0</v>
      </c>
      <c r="BS85" s="13" t="s">
        <v>48</v>
      </c>
      <c r="BT85" s="13">
        <v>0</v>
      </c>
      <c r="BU85" s="13">
        <v>0</v>
      </c>
      <c r="BV85" s="61" t="s">
        <v>57</v>
      </c>
      <c r="BW85" s="99" t="s">
        <v>57</v>
      </c>
      <c r="BX85" s="13">
        <v>0</v>
      </c>
      <c r="BY85" s="13">
        <v>1</v>
      </c>
      <c r="BZ85" s="13">
        <v>0</v>
      </c>
      <c r="CA85" s="13">
        <v>0</v>
      </c>
      <c r="CB85" s="34" t="s">
        <v>84</v>
      </c>
    </row>
    <row r="86" spans="1:81" s="53" customFormat="1" ht="18.75" x14ac:dyDescent="0.3">
      <c r="A86" s="1">
        <v>85</v>
      </c>
      <c r="B86" s="60">
        <v>82</v>
      </c>
      <c r="C86" s="13" t="s">
        <v>46</v>
      </c>
      <c r="D86" s="50" t="s">
        <v>47</v>
      </c>
      <c r="E86" s="13" t="s">
        <v>130</v>
      </c>
      <c r="F86" s="5">
        <f>'[2]Removed Saddle Values'!G86*2.54</f>
        <v>180.34</v>
      </c>
      <c r="G86" s="5">
        <v>60.3</v>
      </c>
      <c r="H86" s="5">
        <f t="shared" si="2"/>
        <v>18.541001176428058</v>
      </c>
      <c r="I86" s="13">
        <v>1</v>
      </c>
      <c r="J86" s="13">
        <v>4</v>
      </c>
      <c r="K86" s="13">
        <v>2</v>
      </c>
      <c r="L86" s="13">
        <v>0</v>
      </c>
      <c r="M86" s="13">
        <v>79</v>
      </c>
      <c r="N86" s="13">
        <v>0</v>
      </c>
      <c r="O86" s="13">
        <v>159</v>
      </c>
      <c r="P86" s="13">
        <v>0</v>
      </c>
      <c r="Q86" s="13">
        <v>18</v>
      </c>
      <c r="R86" s="13">
        <v>0</v>
      </c>
      <c r="S86" s="5">
        <v>97.2</v>
      </c>
      <c r="T86" s="13">
        <v>0</v>
      </c>
      <c r="U86" s="13">
        <v>99</v>
      </c>
      <c r="V86" s="13">
        <v>1</v>
      </c>
      <c r="W86" s="13">
        <v>0</v>
      </c>
      <c r="X86" s="13">
        <v>0</v>
      </c>
      <c r="Y86" s="13">
        <v>0</v>
      </c>
      <c r="Z86" s="13">
        <v>1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1</v>
      </c>
      <c r="AP86" s="13">
        <v>1</v>
      </c>
      <c r="AQ86" s="13">
        <v>1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36.6</v>
      </c>
      <c r="AX86" s="51">
        <f>3.7/2.7</f>
        <v>1.3703703703703702</v>
      </c>
      <c r="AY86" s="31">
        <v>0</v>
      </c>
      <c r="AZ86" s="31">
        <v>0</v>
      </c>
      <c r="BA86" s="31">
        <v>1</v>
      </c>
      <c r="BB86" s="51">
        <f>2.6/3.98</f>
        <v>0.65326633165829151</v>
      </c>
      <c r="BC86" s="31">
        <v>1</v>
      </c>
      <c r="BD86" s="31">
        <v>1</v>
      </c>
      <c r="BE86" s="31"/>
      <c r="BF86" s="13">
        <v>0</v>
      </c>
      <c r="BG86" s="13" t="s">
        <v>48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 t="s">
        <v>48</v>
      </c>
      <c r="BQ86" s="13" t="s">
        <v>48</v>
      </c>
      <c r="BR86" s="13">
        <v>0</v>
      </c>
      <c r="BS86" s="13" t="s">
        <v>48</v>
      </c>
      <c r="BT86" s="13">
        <v>0</v>
      </c>
      <c r="BU86" s="13">
        <v>0</v>
      </c>
      <c r="BV86" s="61" t="s">
        <v>57</v>
      </c>
      <c r="BW86" s="99" t="s">
        <v>57</v>
      </c>
      <c r="BX86" s="13">
        <v>0</v>
      </c>
      <c r="BY86" s="13">
        <v>1</v>
      </c>
      <c r="BZ86" s="13">
        <v>0</v>
      </c>
      <c r="CA86" s="13">
        <v>0</v>
      </c>
      <c r="CB86" s="34" t="s">
        <v>60</v>
      </c>
    </row>
    <row r="87" spans="1:81" s="53" customFormat="1" ht="18.75" x14ac:dyDescent="0.3">
      <c r="A87" s="1">
        <v>86</v>
      </c>
      <c r="B87" s="60">
        <v>66</v>
      </c>
      <c r="C87" s="13" t="s">
        <v>46</v>
      </c>
      <c r="D87" s="50" t="s">
        <v>47</v>
      </c>
      <c r="E87" s="13" t="s">
        <v>160</v>
      </c>
      <c r="F87" s="5">
        <f>'[2]Removed Saddle Values'!G87*2.54</f>
        <v>177.8</v>
      </c>
      <c r="G87" s="5">
        <v>106.6</v>
      </c>
      <c r="H87" s="5">
        <f t="shared" si="2"/>
        <v>33.72047560421651</v>
      </c>
      <c r="I87" s="13">
        <v>1</v>
      </c>
      <c r="J87" s="13">
        <v>5</v>
      </c>
      <c r="K87" s="94">
        <v>3</v>
      </c>
      <c r="L87" s="13">
        <v>1</v>
      </c>
      <c r="M87" s="13">
        <v>120</v>
      </c>
      <c r="N87" s="13">
        <v>1</v>
      </c>
      <c r="O87" s="13">
        <v>80</v>
      </c>
      <c r="P87" s="13">
        <v>0</v>
      </c>
      <c r="Q87" s="13">
        <v>20</v>
      </c>
      <c r="R87" s="13">
        <v>0</v>
      </c>
      <c r="S87" s="5">
        <v>98.1</v>
      </c>
      <c r="T87" s="13">
        <v>1</v>
      </c>
      <c r="U87" s="13">
        <v>86</v>
      </c>
      <c r="V87" s="13">
        <v>1</v>
      </c>
      <c r="W87" s="13">
        <v>0</v>
      </c>
      <c r="X87" s="13">
        <v>1</v>
      </c>
      <c r="Y87" s="13">
        <v>0</v>
      </c>
      <c r="Z87" s="13">
        <v>1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1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1</v>
      </c>
      <c r="AP87" s="13">
        <v>1</v>
      </c>
      <c r="AQ87" s="13">
        <v>1</v>
      </c>
      <c r="AR87" s="13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26.6</v>
      </c>
      <c r="AX87" s="51">
        <f>6.19/3.66</f>
        <v>1.6912568306010929</v>
      </c>
      <c r="AY87" s="31">
        <v>0</v>
      </c>
      <c r="AZ87" s="31">
        <v>0</v>
      </c>
      <c r="BA87" s="31">
        <v>1</v>
      </c>
      <c r="BB87" s="51">
        <f>3.06/3.33</f>
        <v>0.91891891891891897</v>
      </c>
      <c r="BC87" s="31">
        <v>1</v>
      </c>
      <c r="BD87" s="31">
        <v>1</v>
      </c>
      <c r="BE87" s="31"/>
      <c r="BF87" s="13">
        <v>0</v>
      </c>
      <c r="BG87" s="13" t="s">
        <v>48</v>
      </c>
      <c r="BH87" s="13">
        <v>1</v>
      </c>
      <c r="BI87" s="13">
        <v>1</v>
      </c>
      <c r="BJ87" s="13">
        <v>1</v>
      </c>
      <c r="BK87" s="13">
        <v>1</v>
      </c>
      <c r="BL87" s="13">
        <v>0</v>
      </c>
      <c r="BM87" s="13">
        <v>1</v>
      </c>
      <c r="BN87" s="13">
        <v>1</v>
      </c>
      <c r="BO87" s="13">
        <v>0</v>
      </c>
      <c r="BP87" s="13">
        <v>1</v>
      </c>
      <c r="BQ87" s="13">
        <v>1</v>
      </c>
      <c r="BR87" s="13">
        <v>0</v>
      </c>
      <c r="BS87" s="13" t="s">
        <v>48</v>
      </c>
      <c r="BT87" s="13">
        <v>0</v>
      </c>
      <c r="BU87" s="13">
        <v>0</v>
      </c>
      <c r="BV87" s="61" t="s">
        <v>50</v>
      </c>
      <c r="BW87" s="99">
        <v>0</v>
      </c>
      <c r="BX87" s="13">
        <v>1</v>
      </c>
      <c r="BY87" s="13">
        <v>1</v>
      </c>
      <c r="BZ87" s="13">
        <v>0</v>
      </c>
      <c r="CA87" s="13">
        <v>0</v>
      </c>
      <c r="CB87" s="34" t="s">
        <v>60</v>
      </c>
      <c r="CC87" s="34"/>
    </row>
    <row r="88" spans="1:81" s="53" customFormat="1" ht="18.75" x14ac:dyDescent="0.3">
      <c r="A88" s="1">
        <v>87</v>
      </c>
      <c r="B88" s="60">
        <v>75</v>
      </c>
      <c r="C88" s="13" t="s">
        <v>46</v>
      </c>
      <c r="D88" s="50" t="s">
        <v>47</v>
      </c>
      <c r="E88" s="13" t="s">
        <v>109</v>
      </c>
      <c r="F88" s="5">
        <f>'[2]Removed Saddle Values'!G88*2.54</f>
        <v>180.34</v>
      </c>
      <c r="G88" s="5">
        <v>83</v>
      </c>
      <c r="H88" s="5">
        <f t="shared" si="2"/>
        <v>25.520781055448243</v>
      </c>
      <c r="I88" s="13">
        <v>2</v>
      </c>
      <c r="J88" s="13">
        <v>4</v>
      </c>
      <c r="K88" s="94">
        <v>2</v>
      </c>
      <c r="L88" s="13">
        <v>1</v>
      </c>
      <c r="M88" s="13">
        <v>130</v>
      </c>
      <c r="N88" s="13">
        <v>1</v>
      </c>
      <c r="O88" s="13">
        <v>118</v>
      </c>
      <c r="P88" s="13">
        <v>0</v>
      </c>
      <c r="Q88" s="13">
        <v>18</v>
      </c>
      <c r="R88" s="13">
        <v>0</v>
      </c>
      <c r="S88" s="5">
        <v>98.6</v>
      </c>
      <c r="T88" s="13">
        <v>1</v>
      </c>
      <c r="U88" s="13">
        <v>80</v>
      </c>
      <c r="V88" s="13">
        <v>1</v>
      </c>
      <c r="W88" s="13">
        <v>1</v>
      </c>
      <c r="X88" s="13">
        <v>1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1</v>
      </c>
      <c r="AH88" s="13">
        <v>0</v>
      </c>
      <c r="AI88" s="13">
        <v>1</v>
      </c>
      <c r="AJ88" s="13">
        <v>1</v>
      </c>
      <c r="AK88" s="13">
        <v>0</v>
      </c>
      <c r="AL88" s="13">
        <v>0</v>
      </c>
      <c r="AM88" s="13">
        <v>0</v>
      </c>
      <c r="AN88" s="13">
        <v>0</v>
      </c>
      <c r="AO88" s="13">
        <v>3</v>
      </c>
      <c r="AP88" s="13" t="s">
        <v>48</v>
      </c>
      <c r="AQ88" s="13">
        <v>0</v>
      </c>
      <c r="AR88" s="13">
        <v>1</v>
      </c>
      <c r="AS88" s="13">
        <v>1</v>
      </c>
      <c r="AT88" s="13">
        <v>1</v>
      </c>
      <c r="AU88" s="13">
        <v>1</v>
      </c>
      <c r="AV88" s="13">
        <v>0</v>
      </c>
      <c r="AW88" s="13">
        <v>43</v>
      </c>
      <c r="AX88" s="51">
        <f>5.5/3.41</f>
        <v>1.6129032258064515</v>
      </c>
      <c r="AY88" s="31">
        <v>0</v>
      </c>
      <c r="AZ88" s="31">
        <v>0</v>
      </c>
      <c r="BA88" s="31">
        <v>1</v>
      </c>
      <c r="BB88" s="51">
        <f>2.9/3.28</f>
        <v>0.88414634146341464</v>
      </c>
      <c r="BC88" s="31">
        <v>3</v>
      </c>
      <c r="BD88" s="31">
        <v>1</v>
      </c>
      <c r="BE88" s="31"/>
      <c r="BF88" s="13">
        <v>0</v>
      </c>
      <c r="BG88" s="13" t="s">
        <v>48</v>
      </c>
      <c r="BH88" s="13">
        <v>1</v>
      </c>
      <c r="BI88" s="13">
        <v>1</v>
      </c>
      <c r="BJ88" s="13">
        <v>0</v>
      </c>
      <c r="BK88" s="13">
        <v>0</v>
      </c>
      <c r="BL88" s="13">
        <v>0</v>
      </c>
      <c r="BM88" s="13">
        <v>0</v>
      </c>
      <c r="BN88" s="13">
        <v>1</v>
      </c>
      <c r="BO88" s="13">
        <v>0</v>
      </c>
      <c r="BP88" s="13">
        <v>1</v>
      </c>
      <c r="BQ88" s="13">
        <v>1</v>
      </c>
      <c r="BR88" s="13">
        <v>0</v>
      </c>
      <c r="BS88" s="13" t="s">
        <v>48</v>
      </c>
      <c r="BT88" s="13">
        <v>0</v>
      </c>
      <c r="BU88" s="13">
        <v>0</v>
      </c>
      <c r="BV88" s="61" t="s">
        <v>50</v>
      </c>
      <c r="BW88" s="99">
        <v>0</v>
      </c>
      <c r="BX88" s="13">
        <v>0</v>
      </c>
      <c r="BY88" s="13">
        <v>0</v>
      </c>
      <c r="BZ88" s="13">
        <v>0</v>
      </c>
      <c r="CA88" s="13">
        <v>0</v>
      </c>
      <c r="CB88" s="34" t="s">
        <v>56</v>
      </c>
    </row>
    <row r="89" spans="1:81" s="53" customFormat="1" ht="18.75" x14ac:dyDescent="0.3">
      <c r="A89" s="1">
        <v>88</v>
      </c>
      <c r="B89" s="60">
        <v>81</v>
      </c>
      <c r="C89" s="13" t="s">
        <v>52</v>
      </c>
      <c r="D89" s="50" t="s">
        <v>53</v>
      </c>
      <c r="E89" s="13">
        <v>8</v>
      </c>
      <c r="F89" s="5">
        <f>'[2]Removed Saddle Values'!G89*2.54</f>
        <v>162.56</v>
      </c>
      <c r="G89" s="5">
        <v>73.5</v>
      </c>
      <c r="H89" s="5">
        <f t="shared" si="2"/>
        <v>27.813776330677662</v>
      </c>
      <c r="I89" s="13">
        <v>1</v>
      </c>
      <c r="J89" s="13">
        <v>4</v>
      </c>
      <c r="K89" s="13">
        <v>2</v>
      </c>
      <c r="L89" s="13">
        <v>1</v>
      </c>
      <c r="M89" s="13">
        <v>113</v>
      </c>
      <c r="N89" s="13">
        <v>0</v>
      </c>
      <c r="O89" s="13">
        <v>123</v>
      </c>
      <c r="P89" s="13">
        <v>0</v>
      </c>
      <c r="Q89" s="13">
        <v>20</v>
      </c>
      <c r="R89" s="13">
        <v>0</v>
      </c>
      <c r="S89" s="5">
        <v>97.4</v>
      </c>
      <c r="T89" s="13">
        <v>1</v>
      </c>
      <c r="U89" s="13" t="s">
        <v>48</v>
      </c>
      <c r="V89" s="13">
        <v>1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1</v>
      </c>
      <c r="AD89" s="13">
        <v>0</v>
      </c>
      <c r="AE89" s="13">
        <v>1</v>
      </c>
      <c r="AF89" s="13">
        <v>0</v>
      </c>
      <c r="AG89" s="13">
        <v>1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 t="s">
        <v>48</v>
      </c>
      <c r="AQ89" s="13">
        <v>1</v>
      </c>
      <c r="AR89" s="13">
        <v>1</v>
      </c>
      <c r="AS89" s="13">
        <v>0</v>
      </c>
      <c r="AT89" s="13">
        <v>1</v>
      </c>
      <c r="AU89" s="13">
        <v>0</v>
      </c>
      <c r="AV89" s="13">
        <v>0</v>
      </c>
      <c r="AW89" s="13">
        <v>35</v>
      </c>
      <c r="AX89" s="51">
        <f>4.96/3.57</f>
        <v>1.3893557422969187</v>
      </c>
      <c r="AY89" s="31">
        <v>0</v>
      </c>
      <c r="AZ89" s="31">
        <v>0</v>
      </c>
      <c r="BA89" s="31">
        <v>1</v>
      </c>
      <c r="BB89" s="51">
        <f>3.08/2.46</f>
        <v>1.2520325203252034</v>
      </c>
      <c r="BC89" s="31">
        <v>5</v>
      </c>
      <c r="BD89" s="31">
        <v>1</v>
      </c>
      <c r="BE89" s="31"/>
      <c r="BF89" s="13">
        <v>0</v>
      </c>
      <c r="BG89" s="13" t="s">
        <v>48</v>
      </c>
      <c r="BH89" s="13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0</v>
      </c>
      <c r="BQ89" s="13">
        <v>1</v>
      </c>
      <c r="BR89" s="13">
        <v>1</v>
      </c>
      <c r="BS89" s="13" t="s">
        <v>154</v>
      </c>
      <c r="BT89" s="13">
        <v>0</v>
      </c>
      <c r="BU89" s="13">
        <v>0</v>
      </c>
      <c r="BV89" s="61" t="s">
        <v>50</v>
      </c>
      <c r="BW89" s="99">
        <v>0</v>
      </c>
      <c r="BX89" s="13">
        <v>0</v>
      </c>
      <c r="BY89" s="13">
        <v>0</v>
      </c>
      <c r="BZ89" s="13">
        <v>0</v>
      </c>
      <c r="CA89" s="13">
        <v>0</v>
      </c>
      <c r="CB89" s="34" t="s">
        <v>139</v>
      </c>
    </row>
    <row r="90" spans="1:81" s="53" customFormat="1" ht="18.75" x14ac:dyDescent="0.3">
      <c r="A90" s="1">
        <v>89</v>
      </c>
      <c r="B90" s="60">
        <v>52</v>
      </c>
      <c r="C90" s="13" t="s">
        <v>52</v>
      </c>
      <c r="D90" s="50" t="s">
        <v>53</v>
      </c>
      <c r="E90" s="13" t="s">
        <v>160</v>
      </c>
      <c r="F90" s="5">
        <f>'[2]Removed Saddle Values'!G90*2.54</f>
        <v>157.47999999999999</v>
      </c>
      <c r="G90" s="5">
        <v>98.7</v>
      </c>
      <c r="H90" s="5">
        <f t="shared" si="2"/>
        <v>39.798466693707581</v>
      </c>
      <c r="I90" s="13">
        <v>1</v>
      </c>
      <c r="J90" s="13">
        <v>2</v>
      </c>
      <c r="K90" s="13">
        <v>3</v>
      </c>
      <c r="L90" s="13">
        <v>1</v>
      </c>
      <c r="M90" s="13">
        <v>120</v>
      </c>
      <c r="N90" s="13">
        <v>0</v>
      </c>
      <c r="O90" s="13">
        <v>144</v>
      </c>
      <c r="P90" s="13">
        <v>0</v>
      </c>
      <c r="Q90" s="13">
        <v>22</v>
      </c>
      <c r="R90" s="13">
        <v>0</v>
      </c>
      <c r="S90" s="5">
        <v>97</v>
      </c>
      <c r="T90" s="13">
        <v>0</v>
      </c>
      <c r="U90" s="13">
        <v>99</v>
      </c>
      <c r="V90" s="13">
        <v>1</v>
      </c>
      <c r="W90" s="13">
        <v>0</v>
      </c>
      <c r="X90" s="13">
        <v>1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1</v>
      </c>
      <c r="AH90" s="13">
        <v>0</v>
      </c>
      <c r="AI90" s="13">
        <v>0</v>
      </c>
      <c r="AJ90" s="13">
        <v>0</v>
      </c>
      <c r="AK90" s="13">
        <v>1</v>
      </c>
      <c r="AL90" s="13">
        <v>0</v>
      </c>
      <c r="AM90" s="13">
        <v>0</v>
      </c>
      <c r="AN90" s="13">
        <v>0</v>
      </c>
      <c r="AO90" s="13">
        <v>3</v>
      </c>
      <c r="AP90" s="13" t="s">
        <v>48</v>
      </c>
      <c r="AQ90" s="13" t="s">
        <v>48</v>
      </c>
      <c r="AR90" s="13">
        <v>0</v>
      </c>
      <c r="AS90" s="13">
        <v>1</v>
      </c>
      <c r="AT90" s="13">
        <v>1</v>
      </c>
      <c r="AU90" s="13">
        <v>1</v>
      </c>
      <c r="AV90" s="13">
        <v>0</v>
      </c>
      <c r="AW90" s="13">
        <v>66</v>
      </c>
      <c r="AX90" s="51">
        <f>4.96/4.45</f>
        <v>1.1146067415730336</v>
      </c>
      <c r="AY90" s="31">
        <v>0</v>
      </c>
      <c r="AZ90" s="31">
        <v>0</v>
      </c>
      <c r="BA90" s="31">
        <v>1</v>
      </c>
      <c r="BB90" s="51">
        <f>3.11/2.97</f>
        <v>1.0471380471380469</v>
      </c>
      <c r="BC90" s="31">
        <v>3</v>
      </c>
      <c r="BD90" s="31">
        <v>1</v>
      </c>
      <c r="BE90" s="31"/>
      <c r="BF90" s="13">
        <v>0</v>
      </c>
      <c r="BG90" s="13" t="s">
        <v>48</v>
      </c>
      <c r="BH90" s="13">
        <v>1</v>
      </c>
      <c r="BI90" s="13">
        <v>0</v>
      </c>
      <c r="BJ90" s="13">
        <v>0</v>
      </c>
      <c r="BK90" s="13">
        <v>1</v>
      </c>
      <c r="BL90" s="13">
        <v>0</v>
      </c>
      <c r="BM90" s="13">
        <v>0</v>
      </c>
      <c r="BN90" s="13">
        <v>0</v>
      </c>
      <c r="BO90" s="13">
        <v>0</v>
      </c>
      <c r="BP90" s="13" t="s">
        <v>48</v>
      </c>
      <c r="BQ90" s="13" t="s">
        <v>48</v>
      </c>
      <c r="BR90" s="13">
        <v>0</v>
      </c>
      <c r="BS90" s="13" t="s">
        <v>48</v>
      </c>
      <c r="BT90" s="13">
        <v>0</v>
      </c>
      <c r="BU90" s="13">
        <v>0</v>
      </c>
      <c r="BV90" s="61" t="s">
        <v>50</v>
      </c>
      <c r="BW90" s="99">
        <v>0</v>
      </c>
      <c r="BX90" s="13">
        <v>1</v>
      </c>
      <c r="BY90" s="13">
        <v>1</v>
      </c>
      <c r="BZ90" s="13">
        <v>0</v>
      </c>
      <c r="CA90" s="13">
        <v>0</v>
      </c>
      <c r="CB90" s="34" t="s">
        <v>61</v>
      </c>
    </row>
    <row r="91" spans="1:81" s="53" customFormat="1" ht="18.75" x14ac:dyDescent="0.3">
      <c r="A91" s="1">
        <v>90</v>
      </c>
      <c r="B91" s="60">
        <v>31</v>
      </c>
      <c r="C91" s="13" t="s">
        <v>52</v>
      </c>
      <c r="D91" s="50" t="s">
        <v>53</v>
      </c>
      <c r="E91" s="13" t="s">
        <v>130</v>
      </c>
      <c r="F91" s="5">
        <f>'[2]Removed Saddle Values'!G91*2.54</f>
        <v>152.4</v>
      </c>
      <c r="G91" s="5">
        <v>76.2</v>
      </c>
      <c r="H91" s="5">
        <f t="shared" si="2"/>
        <v>32.808398950131235</v>
      </c>
      <c r="I91" s="13">
        <v>1</v>
      </c>
      <c r="J91" s="13">
        <v>3</v>
      </c>
      <c r="K91" s="13">
        <v>2</v>
      </c>
      <c r="L91" s="13">
        <v>1</v>
      </c>
      <c r="M91" s="13">
        <v>125</v>
      </c>
      <c r="N91" s="13">
        <v>1</v>
      </c>
      <c r="O91" s="13">
        <v>90</v>
      </c>
      <c r="P91" s="13">
        <v>0</v>
      </c>
      <c r="Q91" s="13">
        <v>16</v>
      </c>
      <c r="R91" s="13">
        <v>0</v>
      </c>
      <c r="S91" s="5">
        <v>98.1</v>
      </c>
      <c r="T91" s="13">
        <v>0</v>
      </c>
      <c r="U91" s="13">
        <v>87</v>
      </c>
      <c r="V91" s="13">
        <v>1</v>
      </c>
      <c r="W91" s="13">
        <v>0</v>
      </c>
      <c r="X91" s="13">
        <v>1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1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1</v>
      </c>
      <c r="AP91" s="13">
        <v>1</v>
      </c>
      <c r="AQ91" s="13">
        <v>1</v>
      </c>
      <c r="AR91" s="13">
        <v>1</v>
      </c>
      <c r="AS91" s="13">
        <v>1</v>
      </c>
      <c r="AT91" s="13">
        <v>0</v>
      </c>
      <c r="AU91" s="13">
        <v>0</v>
      </c>
      <c r="AV91" s="13">
        <v>0</v>
      </c>
      <c r="AW91" s="13">
        <v>55</v>
      </c>
      <c r="AX91" s="51">
        <f>4.93/3.27</f>
        <v>1.5076452599388379</v>
      </c>
      <c r="AY91" s="31">
        <v>0</v>
      </c>
      <c r="AZ91" s="31">
        <v>0</v>
      </c>
      <c r="BA91" s="31">
        <v>1</v>
      </c>
      <c r="BB91" s="51">
        <f>3.53/2.9</f>
        <v>1.2172413793103447</v>
      </c>
      <c r="BC91" s="31">
        <v>5</v>
      </c>
      <c r="BD91" s="31">
        <v>1</v>
      </c>
      <c r="BE91" s="31"/>
      <c r="BF91" s="13">
        <v>0</v>
      </c>
      <c r="BG91" s="13" t="s">
        <v>48</v>
      </c>
      <c r="BH91" s="13">
        <v>1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1</v>
      </c>
      <c r="BP91" s="13">
        <v>1</v>
      </c>
      <c r="BQ91" s="13">
        <v>1</v>
      </c>
      <c r="BR91" s="13">
        <v>0</v>
      </c>
      <c r="BS91" s="13" t="s">
        <v>48</v>
      </c>
      <c r="BT91" s="13">
        <v>0</v>
      </c>
      <c r="BU91" s="13">
        <v>0</v>
      </c>
      <c r="BV91" s="61" t="s">
        <v>149</v>
      </c>
      <c r="BW91" s="99">
        <v>0</v>
      </c>
      <c r="BX91" s="13">
        <v>0</v>
      </c>
      <c r="BY91" s="13">
        <v>0</v>
      </c>
      <c r="BZ91" s="13">
        <v>0</v>
      </c>
      <c r="CA91" s="13">
        <v>0</v>
      </c>
      <c r="CB91" s="34" t="s">
        <v>54</v>
      </c>
    </row>
    <row r="92" spans="1:81" s="53" customFormat="1" ht="18.75" x14ac:dyDescent="0.3">
      <c r="A92" s="1">
        <v>91</v>
      </c>
      <c r="B92" s="60">
        <v>86</v>
      </c>
      <c r="C92" s="13" t="s">
        <v>52</v>
      </c>
      <c r="D92" s="50" t="s">
        <v>47</v>
      </c>
      <c r="E92" s="13" t="s">
        <v>74</v>
      </c>
      <c r="F92" s="5">
        <f>'[2]Removed Saddle Values'!G92*2.54</f>
        <v>162.56</v>
      </c>
      <c r="G92" s="5">
        <v>90.7</v>
      </c>
      <c r="H92" s="5">
        <f t="shared" si="2"/>
        <v>34.322578410781823</v>
      </c>
      <c r="I92" s="13">
        <v>1</v>
      </c>
      <c r="J92" s="13">
        <v>3</v>
      </c>
      <c r="K92" s="13">
        <v>2</v>
      </c>
      <c r="L92" s="13">
        <v>0</v>
      </c>
      <c r="M92" s="13">
        <v>109</v>
      </c>
      <c r="N92" s="13">
        <v>0</v>
      </c>
      <c r="O92" s="13">
        <v>155</v>
      </c>
      <c r="P92" s="13">
        <v>0</v>
      </c>
      <c r="Q92" s="13">
        <v>22</v>
      </c>
      <c r="R92" s="13">
        <v>0</v>
      </c>
      <c r="S92" s="5">
        <v>97.8</v>
      </c>
      <c r="T92" s="13">
        <v>0</v>
      </c>
      <c r="U92" s="13" t="s">
        <v>48</v>
      </c>
      <c r="V92" s="13">
        <v>1</v>
      </c>
      <c r="W92" s="13">
        <v>0</v>
      </c>
      <c r="X92" s="13">
        <v>0</v>
      </c>
      <c r="Y92" s="13">
        <v>0</v>
      </c>
      <c r="Z92" s="13">
        <v>0</v>
      </c>
      <c r="AA92" s="13">
        <v>1</v>
      </c>
      <c r="AB92" s="13">
        <v>0</v>
      </c>
      <c r="AC92" s="13">
        <v>0</v>
      </c>
      <c r="AD92" s="13">
        <v>0</v>
      </c>
      <c r="AE92" s="13">
        <v>1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1</v>
      </c>
      <c r="AL92" s="13">
        <v>0</v>
      </c>
      <c r="AM92" s="13">
        <v>0</v>
      </c>
      <c r="AN92" s="13">
        <v>0</v>
      </c>
      <c r="AO92" s="13">
        <v>1</v>
      </c>
      <c r="AP92" s="13">
        <v>1</v>
      </c>
      <c r="AQ92" s="13">
        <v>1</v>
      </c>
      <c r="AR92" s="13">
        <v>1</v>
      </c>
      <c r="AS92" s="13">
        <v>1</v>
      </c>
      <c r="AT92" s="13">
        <v>1</v>
      </c>
      <c r="AU92" s="13">
        <v>1</v>
      </c>
      <c r="AV92" s="13">
        <v>0</v>
      </c>
      <c r="AW92" s="13">
        <v>72</v>
      </c>
      <c r="AX92" s="51">
        <f>5.06/4.57</f>
        <v>1.1072210065645514</v>
      </c>
      <c r="AY92" s="31">
        <v>0</v>
      </c>
      <c r="AZ92" s="31">
        <v>0</v>
      </c>
      <c r="BA92" s="31">
        <v>1</v>
      </c>
      <c r="BB92" s="51">
        <f>3.47/3.2</f>
        <v>1.0843750000000001</v>
      </c>
      <c r="BC92" s="31">
        <v>3</v>
      </c>
      <c r="BD92" s="31">
        <v>1</v>
      </c>
      <c r="BE92" s="31"/>
      <c r="BF92" s="13">
        <v>0</v>
      </c>
      <c r="BG92" s="13" t="s">
        <v>48</v>
      </c>
      <c r="BH92" s="13">
        <v>1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 t="s">
        <v>48</v>
      </c>
      <c r="BQ92" s="13" t="s">
        <v>48</v>
      </c>
      <c r="BR92" s="13">
        <v>0</v>
      </c>
      <c r="BS92" s="13" t="s">
        <v>48</v>
      </c>
      <c r="BT92" s="13">
        <v>0</v>
      </c>
      <c r="BU92" s="13">
        <v>1</v>
      </c>
      <c r="BV92" s="61" t="s">
        <v>50</v>
      </c>
      <c r="BW92" s="99">
        <v>0</v>
      </c>
      <c r="BX92" s="13">
        <v>1</v>
      </c>
      <c r="BY92" s="13">
        <v>0</v>
      </c>
      <c r="BZ92" s="13">
        <v>0</v>
      </c>
      <c r="CA92" s="13">
        <v>0</v>
      </c>
      <c r="CB92" s="34" t="s">
        <v>62</v>
      </c>
      <c r="CC92" s="34"/>
    </row>
    <row r="93" spans="1:81" s="53" customFormat="1" ht="18.75" x14ac:dyDescent="0.3">
      <c r="A93" s="1">
        <v>92</v>
      </c>
      <c r="B93" s="60">
        <v>24</v>
      </c>
      <c r="C93" s="13" t="s">
        <v>46</v>
      </c>
      <c r="D93" s="50" t="s">
        <v>47</v>
      </c>
      <c r="E93" s="13" t="s">
        <v>130</v>
      </c>
      <c r="F93" s="5">
        <f>'[2]Removed Saddle Values'!G93*2.54</f>
        <v>187.96</v>
      </c>
      <c r="G93" s="5">
        <v>117.9</v>
      </c>
      <c r="H93" s="5">
        <f t="shared" si="2"/>
        <v>33.372053595823772</v>
      </c>
      <c r="I93" s="13">
        <v>0</v>
      </c>
      <c r="J93" s="13">
        <v>1</v>
      </c>
      <c r="K93" s="13">
        <v>2</v>
      </c>
      <c r="L93" s="13">
        <v>0</v>
      </c>
      <c r="M93" s="13">
        <v>107</v>
      </c>
      <c r="N93" s="13">
        <v>0</v>
      </c>
      <c r="O93" s="13">
        <v>115</v>
      </c>
      <c r="P93" s="13">
        <v>1</v>
      </c>
      <c r="Q93" s="13">
        <v>60</v>
      </c>
      <c r="R93" s="13">
        <v>0</v>
      </c>
      <c r="S93" s="5">
        <v>99.2</v>
      </c>
      <c r="T93" s="13">
        <v>0</v>
      </c>
      <c r="U93" s="13">
        <v>100</v>
      </c>
      <c r="V93" s="13">
        <v>1</v>
      </c>
      <c r="W93" s="13">
        <v>1</v>
      </c>
      <c r="X93" s="13">
        <v>0</v>
      </c>
      <c r="Y93" s="13">
        <v>0</v>
      </c>
      <c r="Z93" s="13">
        <v>0</v>
      </c>
      <c r="AA93" s="13">
        <v>1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1</v>
      </c>
      <c r="AH93" s="13">
        <v>0</v>
      </c>
      <c r="AI93" s="13">
        <v>0</v>
      </c>
      <c r="AJ93" s="13">
        <v>0</v>
      </c>
      <c r="AK93" s="13">
        <v>1</v>
      </c>
      <c r="AL93" s="13">
        <v>0</v>
      </c>
      <c r="AM93" s="13">
        <v>0</v>
      </c>
      <c r="AN93" s="13">
        <v>0</v>
      </c>
      <c r="AO93" s="13">
        <v>1</v>
      </c>
      <c r="AP93" s="13">
        <v>1</v>
      </c>
      <c r="AQ93" s="13">
        <v>1</v>
      </c>
      <c r="AR93" s="13">
        <v>0</v>
      </c>
      <c r="AS93" s="13">
        <v>1</v>
      </c>
      <c r="AT93" s="13">
        <v>1</v>
      </c>
      <c r="AU93" s="13">
        <v>1</v>
      </c>
      <c r="AV93" s="13">
        <v>0</v>
      </c>
      <c r="AW93" s="13">
        <v>40</v>
      </c>
      <c r="AX93" s="51">
        <f>5.93/4.28</f>
        <v>1.3855140186915886</v>
      </c>
      <c r="AY93" s="31">
        <v>0</v>
      </c>
      <c r="AZ93" s="31">
        <v>0</v>
      </c>
      <c r="BA93" s="31">
        <v>1</v>
      </c>
      <c r="BB93" s="51">
        <f>3.49/2.74</f>
        <v>1.2737226277372262</v>
      </c>
      <c r="BC93" s="31">
        <v>2</v>
      </c>
      <c r="BD93" s="31">
        <v>1</v>
      </c>
      <c r="BE93" s="31"/>
      <c r="BF93" s="13">
        <v>0</v>
      </c>
      <c r="BG93" s="13" t="s">
        <v>48</v>
      </c>
      <c r="BH93" s="13">
        <v>1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1</v>
      </c>
      <c r="BP93" s="13">
        <v>1</v>
      </c>
      <c r="BQ93" s="13">
        <v>1</v>
      </c>
      <c r="BR93" s="13">
        <v>0</v>
      </c>
      <c r="BS93" s="13" t="s">
        <v>48</v>
      </c>
      <c r="BT93" s="13">
        <v>0</v>
      </c>
      <c r="BU93" s="13">
        <v>0</v>
      </c>
      <c r="BV93" s="61" t="s">
        <v>50</v>
      </c>
      <c r="BW93" s="99">
        <v>0</v>
      </c>
      <c r="BX93" s="13">
        <v>0</v>
      </c>
      <c r="BY93" s="13">
        <v>1</v>
      </c>
      <c r="BZ93" s="13">
        <v>0</v>
      </c>
      <c r="CA93" s="13">
        <v>0</v>
      </c>
      <c r="CB93" s="34" t="s">
        <v>61</v>
      </c>
    </row>
    <row r="94" spans="1:81" s="53" customFormat="1" ht="18.75" x14ac:dyDescent="0.3">
      <c r="A94" s="1">
        <v>93</v>
      </c>
      <c r="B94" s="60">
        <v>39</v>
      </c>
      <c r="C94" s="13" t="s">
        <v>52</v>
      </c>
      <c r="D94" s="50" t="s">
        <v>47</v>
      </c>
      <c r="E94" s="13" t="s">
        <v>79</v>
      </c>
      <c r="F94" s="5">
        <f>'[2]Removed Saddle Values'!G94*2.54</f>
        <v>172.72</v>
      </c>
      <c r="G94" s="5">
        <v>104</v>
      </c>
      <c r="H94" s="5">
        <f t="shared" si="2"/>
        <v>34.861661418824568</v>
      </c>
      <c r="I94" s="13">
        <v>1</v>
      </c>
      <c r="J94" s="13">
        <v>1</v>
      </c>
      <c r="K94" s="13">
        <v>1</v>
      </c>
      <c r="L94" s="13">
        <v>1</v>
      </c>
      <c r="M94" s="13">
        <v>138</v>
      </c>
      <c r="N94" s="13">
        <v>0</v>
      </c>
      <c r="O94" s="13">
        <v>142</v>
      </c>
      <c r="P94" s="13">
        <v>0</v>
      </c>
      <c r="Q94" s="13">
        <v>18</v>
      </c>
      <c r="R94" s="13">
        <v>0</v>
      </c>
      <c r="S94" s="5">
        <v>98.4</v>
      </c>
      <c r="T94" s="13">
        <v>0</v>
      </c>
      <c r="U94" s="13">
        <v>95</v>
      </c>
      <c r="V94" s="13">
        <v>1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1</v>
      </c>
      <c r="AH94" s="13">
        <v>1</v>
      </c>
      <c r="AI94" s="13">
        <v>1</v>
      </c>
      <c r="AJ94" s="13">
        <v>1</v>
      </c>
      <c r="AK94" s="13">
        <v>0</v>
      </c>
      <c r="AL94" s="13">
        <v>0</v>
      </c>
      <c r="AM94" s="13">
        <v>0</v>
      </c>
      <c r="AN94" s="13">
        <v>0</v>
      </c>
      <c r="AO94" s="13">
        <v>1</v>
      </c>
      <c r="AP94" s="13">
        <v>1</v>
      </c>
      <c r="AQ94" s="13" t="s">
        <v>48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 t="s">
        <v>192</v>
      </c>
      <c r="AX94" s="51">
        <f>5.3/5.4</f>
        <v>0.9814814814814814</v>
      </c>
      <c r="AY94" s="31">
        <v>0</v>
      </c>
      <c r="AZ94" s="31">
        <v>0</v>
      </c>
      <c r="BA94" s="31">
        <v>1</v>
      </c>
      <c r="BB94" s="51">
        <f>3.46/3.15</f>
        <v>1.0984126984126985</v>
      </c>
      <c r="BC94" s="31">
        <v>4</v>
      </c>
      <c r="BD94" s="31">
        <v>1</v>
      </c>
      <c r="BE94" s="31"/>
      <c r="BF94" s="13">
        <v>0</v>
      </c>
      <c r="BG94" s="13" t="s">
        <v>48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 t="s">
        <v>48</v>
      </c>
      <c r="BQ94" s="13" t="s">
        <v>48</v>
      </c>
      <c r="BR94" s="13">
        <v>0</v>
      </c>
      <c r="BS94" s="13" t="s">
        <v>48</v>
      </c>
      <c r="BT94" s="13">
        <v>0</v>
      </c>
      <c r="BU94" s="13">
        <v>1</v>
      </c>
      <c r="BV94" s="61" t="s">
        <v>50</v>
      </c>
      <c r="BW94" s="99">
        <v>0</v>
      </c>
      <c r="BX94" s="13">
        <v>0</v>
      </c>
      <c r="BY94" s="13">
        <v>1</v>
      </c>
      <c r="BZ94" s="13">
        <v>0</v>
      </c>
      <c r="CA94" s="13">
        <v>0</v>
      </c>
      <c r="CB94" s="34" t="s">
        <v>56</v>
      </c>
    </row>
    <row r="95" spans="1:81" s="53" customFormat="1" ht="18.75" x14ac:dyDescent="0.3">
      <c r="A95" s="1">
        <v>94</v>
      </c>
      <c r="B95" s="60">
        <v>80</v>
      </c>
      <c r="C95" s="13" t="s">
        <v>52</v>
      </c>
      <c r="D95" s="50" t="s">
        <v>53</v>
      </c>
      <c r="E95" s="13" t="s">
        <v>109</v>
      </c>
      <c r="F95" s="5">
        <f>'[2]Removed Saddle Values'!G95*2.54</f>
        <v>152.4</v>
      </c>
      <c r="G95" s="5">
        <v>65.8</v>
      </c>
      <c r="H95" s="5">
        <f t="shared" ref="H95:H125" si="3">G95/((F95/100)^2)</f>
        <v>28.330612216779986</v>
      </c>
      <c r="I95" s="13">
        <v>1</v>
      </c>
      <c r="J95" s="13">
        <v>2</v>
      </c>
      <c r="K95" s="13">
        <v>1</v>
      </c>
      <c r="L95" s="13">
        <v>0</v>
      </c>
      <c r="M95" s="13">
        <v>84</v>
      </c>
      <c r="N95" s="13">
        <v>0</v>
      </c>
      <c r="O95" s="13">
        <v>215</v>
      </c>
      <c r="P95" s="13">
        <v>0</v>
      </c>
      <c r="Q95" s="13">
        <v>18</v>
      </c>
      <c r="R95" s="13">
        <v>0</v>
      </c>
      <c r="S95" s="5">
        <v>97</v>
      </c>
      <c r="T95" s="13">
        <v>0</v>
      </c>
      <c r="U95" s="13">
        <v>97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1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 t="s">
        <v>48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33.700000000000003</v>
      </c>
      <c r="AX95" s="51">
        <f>3.75/5.24</f>
        <v>0.71564885496183206</v>
      </c>
      <c r="AY95" s="31">
        <v>0</v>
      </c>
      <c r="AZ95" s="31">
        <v>0</v>
      </c>
      <c r="BA95" s="31">
        <v>0</v>
      </c>
      <c r="BB95" s="51">
        <f>2.84/2.83</f>
        <v>1.0035335689045937</v>
      </c>
      <c r="BC95" s="31">
        <v>2</v>
      </c>
      <c r="BD95" s="31">
        <v>0</v>
      </c>
      <c r="BE95" s="31"/>
      <c r="BF95" s="13">
        <v>0</v>
      </c>
      <c r="BG95" s="13" t="s">
        <v>48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 t="s">
        <v>48</v>
      </c>
      <c r="BQ95" s="13" t="s">
        <v>48</v>
      </c>
      <c r="BR95" s="13">
        <v>0</v>
      </c>
      <c r="BS95" s="13" t="s">
        <v>48</v>
      </c>
      <c r="BT95" s="13">
        <v>0</v>
      </c>
      <c r="BU95" s="13">
        <v>0</v>
      </c>
      <c r="BV95" s="61" t="s">
        <v>50</v>
      </c>
      <c r="BW95" s="99">
        <v>0</v>
      </c>
      <c r="BX95" s="13">
        <v>0</v>
      </c>
      <c r="BY95" s="13">
        <v>0</v>
      </c>
      <c r="BZ95" s="13">
        <v>0</v>
      </c>
      <c r="CA95" s="13">
        <v>0</v>
      </c>
      <c r="CB95" s="34" t="s">
        <v>54</v>
      </c>
    </row>
    <row r="96" spans="1:81" s="53" customFormat="1" ht="18.75" x14ac:dyDescent="0.3">
      <c r="A96" s="1">
        <v>95</v>
      </c>
      <c r="B96" s="60">
        <v>42</v>
      </c>
      <c r="C96" s="13" t="s">
        <v>52</v>
      </c>
      <c r="D96" s="50" t="s">
        <v>159</v>
      </c>
      <c r="E96" s="13" t="s">
        <v>85</v>
      </c>
      <c r="F96" s="5">
        <f>'[2]Removed Saddle Values'!G96*2.54</f>
        <v>157.47999999999999</v>
      </c>
      <c r="G96" s="5">
        <v>121.1</v>
      </c>
      <c r="H96" s="5">
        <f t="shared" si="3"/>
        <v>48.830742822775967</v>
      </c>
      <c r="I96" s="13">
        <v>1</v>
      </c>
      <c r="J96" s="13">
        <v>1</v>
      </c>
      <c r="K96" s="13">
        <v>2</v>
      </c>
      <c r="L96" s="13">
        <v>1</v>
      </c>
      <c r="M96" s="13">
        <v>116</v>
      </c>
      <c r="N96" s="13">
        <v>0</v>
      </c>
      <c r="O96" s="13">
        <v>140</v>
      </c>
      <c r="P96" s="13">
        <v>0</v>
      </c>
      <c r="Q96" s="13">
        <v>20</v>
      </c>
      <c r="R96" s="13">
        <v>0</v>
      </c>
      <c r="S96" s="5">
        <v>98.5</v>
      </c>
      <c r="T96" s="13">
        <v>0</v>
      </c>
      <c r="U96" s="13">
        <v>96</v>
      </c>
      <c r="V96" s="13">
        <v>0</v>
      </c>
      <c r="W96" s="13">
        <v>0</v>
      </c>
      <c r="X96" s="13">
        <v>1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1</v>
      </c>
      <c r="AP96" s="13">
        <v>1</v>
      </c>
      <c r="AQ96" s="13">
        <v>1</v>
      </c>
      <c r="AR96" s="13">
        <v>1</v>
      </c>
      <c r="AS96" s="13">
        <v>0</v>
      </c>
      <c r="AT96" s="13">
        <v>0</v>
      </c>
      <c r="AU96" s="13">
        <v>0</v>
      </c>
      <c r="AV96" s="13">
        <v>0</v>
      </c>
      <c r="AW96" s="13" t="s">
        <v>192</v>
      </c>
      <c r="AX96" s="51">
        <f>4.25/3.85</f>
        <v>1.1038961038961039</v>
      </c>
      <c r="AY96" s="31">
        <v>0</v>
      </c>
      <c r="AZ96" s="31">
        <v>0</v>
      </c>
      <c r="BA96" s="31">
        <v>1</v>
      </c>
      <c r="BB96" s="51">
        <f>3.2/3.52</f>
        <v>0.90909090909090917</v>
      </c>
      <c r="BC96" s="31">
        <v>2</v>
      </c>
      <c r="BD96" s="31">
        <v>1</v>
      </c>
      <c r="BE96" s="31"/>
      <c r="BF96" s="13">
        <v>0</v>
      </c>
      <c r="BG96" s="13" t="s">
        <v>48</v>
      </c>
      <c r="BH96" s="13">
        <v>1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1</v>
      </c>
      <c r="BO96" s="13">
        <v>0</v>
      </c>
      <c r="BP96" s="13">
        <v>1</v>
      </c>
      <c r="BQ96" s="13">
        <v>1</v>
      </c>
      <c r="BR96" s="13">
        <v>0</v>
      </c>
      <c r="BS96" s="13" t="s">
        <v>48</v>
      </c>
      <c r="BT96" s="13">
        <v>0</v>
      </c>
      <c r="BU96" s="13">
        <v>0</v>
      </c>
      <c r="BV96" s="61" t="s">
        <v>50</v>
      </c>
      <c r="BW96" s="99">
        <v>0</v>
      </c>
      <c r="BX96" s="13">
        <v>0</v>
      </c>
      <c r="BY96" s="13">
        <v>1</v>
      </c>
      <c r="BZ96" s="13">
        <v>0</v>
      </c>
      <c r="CA96" s="13">
        <v>0</v>
      </c>
      <c r="CB96" s="34" t="s">
        <v>153</v>
      </c>
    </row>
    <row r="97" spans="1:80" s="53" customFormat="1" ht="18.75" x14ac:dyDescent="0.3">
      <c r="A97" s="1">
        <v>96</v>
      </c>
      <c r="B97" s="60">
        <v>77</v>
      </c>
      <c r="C97" s="13" t="s">
        <v>52</v>
      </c>
      <c r="D97" s="50" t="s">
        <v>47</v>
      </c>
      <c r="E97" s="13" t="s">
        <v>98</v>
      </c>
      <c r="F97" s="5">
        <f>'[2]Removed Saddle Values'!G97*2.54</f>
        <v>162.56</v>
      </c>
      <c r="G97" s="5">
        <v>59.9</v>
      </c>
      <c r="H97" s="5">
        <f t="shared" si="3"/>
        <v>22.667281662688325</v>
      </c>
      <c r="I97" s="13">
        <v>0</v>
      </c>
      <c r="J97" s="13">
        <v>2</v>
      </c>
      <c r="K97" s="13">
        <v>2</v>
      </c>
      <c r="L97" s="13">
        <v>0</v>
      </c>
      <c r="M97" s="13">
        <v>97</v>
      </c>
      <c r="N97" s="13">
        <v>0</v>
      </c>
      <c r="O97" s="13">
        <v>139</v>
      </c>
      <c r="P97" s="13">
        <v>0</v>
      </c>
      <c r="Q97" s="13">
        <v>27</v>
      </c>
      <c r="R97" s="13">
        <v>0</v>
      </c>
      <c r="S97" s="5">
        <v>101.3</v>
      </c>
      <c r="T97" s="13">
        <v>1</v>
      </c>
      <c r="U97" s="13">
        <v>89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1</v>
      </c>
      <c r="AH97" s="13">
        <v>1</v>
      </c>
      <c r="AI97" s="13">
        <v>1</v>
      </c>
      <c r="AJ97" s="13">
        <v>1</v>
      </c>
      <c r="AK97" s="13">
        <v>0</v>
      </c>
      <c r="AL97" s="13">
        <v>0</v>
      </c>
      <c r="AM97" s="13">
        <v>0</v>
      </c>
      <c r="AN97" s="13">
        <v>0</v>
      </c>
      <c r="AO97" s="13">
        <v>1</v>
      </c>
      <c r="AP97" s="13">
        <v>1</v>
      </c>
      <c r="AQ97" s="13" t="s">
        <v>48</v>
      </c>
      <c r="AR97" s="13" t="s">
        <v>48</v>
      </c>
      <c r="AS97" s="13">
        <v>1</v>
      </c>
      <c r="AT97" s="13">
        <v>1</v>
      </c>
      <c r="AU97" s="13">
        <v>1</v>
      </c>
      <c r="AV97" s="13">
        <v>0</v>
      </c>
      <c r="AW97" s="13">
        <v>39</v>
      </c>
      <c r="AX97" s="51">
        <f>4.2/4.6</f>
        <v>0.91304347826086962</v>
      </c>
      <c r="AY97" s="31">
        <v>0</v>
      </c>
      <c r="AZ97" s="31">
        <v>1</v>
      </c>
      <c r="BA97" s="31">
        <v>0</v>
      </c>
      <c r="BB97" s="51">
        <f>2.96/3.12</f>
        <v>0.94871794871794868</v>
      </c>
      <c r="BC97" s="31">
        <v>2</v>
      </c>
      <c r="BD97" s="31">
        <v>0</v>
      </c>
      <c r="BE97" s="31"/>
      <c r="BF97" s="13">
        <v>0</v>
      </c>
      <c r="BG97" s="13" t="s">
        <v>48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 t="s">
        <v>48</v>
      </c>
      <c r="BQ97" s="13" t="s">
        <v>48</v>
      </c>
      <c r="BR97" s="13">
        <v>0</v>
      </c>
      <c r="BS97" s="13" t="s">
        <v>48</v>
      </c>
      <c r="BT97" s="13">
        <v>0</v>
      </c>
      <c r="BU97" s="13">
        <v>1</v>
      </c>
      <c r="BV97" s="61" t="s">
        <v>50</v>
      </c>
      <c r="BW97" s="99">
        <v>0</v>
      </c>
      <c r="BX97" s="13">
        <v>0</v>
      </c>
      <c r="BY97" s="13">
        <v>1</v>
      </c>
      <c r="BZ97" s="13">
        <v>0</v>
      </c>
      <c r="CA97" s="13">
        <v>0</v>
      </c>
      <c r="CB97" s="34" t="s">
        <v>56</v>
      </c>
    </row>
    <row r="98" spans="1:80" s="53" customFormat="1" ht="18.75" x14ac:dyDescent="0.3">
      <c r="A98" s="1">
        <v>97</v>
      </c>
      <c r="B98" s="60">
        <v>68</v>
      </c>
      <c r="C98" s="13" t="s">
        <v>46</v>
      </c>
      <c r="D98" s="50" t="s">
        <v>53</v>
      </c>
      <c r="E98" s="13" t="s">
        <v>85</v>
      </c>
      <c r="F98" s="5">
        <f>'[2]Removed Saddle Values'!G98*2.54</f>
        <v>172.72</v>
      </c>
      <c r="G98" s="5">
        <v>142.4</v>
      </c>
      <c r="H98" s="5">
        <f t="shared" si="3"/>
        <v>47.733659481159791</v>
      </c>
      <c r="I98" s="13">
        <v>1</v>
      </c>
      <c r="J98" s="13">
        <v>3</v>
      </c>
      <c r="K98" s="13">
        <v>2</v>
      </c>
      <c r="L98" s="13">
        <v>0</v>
      </c>
      <c r="M98" s="13">
        <v>93</v>
      </c>
      <c r="N98" s="13">
        <v>0</v>
      </c>
      <c r="O98" s="13">
        <v>123</v>
      </c>
      <c r="P98" s="13">
        <v>0</v>
      </c>
      <c r="Q98" s="13">
        <v>24</v>
      </c>
      <c r="R98" s="13">
        <v>0</v>
      </c>
      <c r="S98" s="5">
        <v>97.9</v>
      </c>
      <c r="T98" s="13">
        <v>1</v>
      </c>
      <c r="U98" s="13" t="s">
        <v>48</v>
      </c>
      <c r="V98" s="13">
        <v>1</v>
      </c>
      <c r="W98" s="13">
        <v>0</v>
      </c>
      <c r="X98" s="13">
        <v>0</v>
      </c>
      <c r="Y98" s="13">
        <v>1</v>
      </c>
      <c r="Z98" s="13">
        <v>0</v>
      </c>
      <c r="AA98" s="13">
        <v>0</v>
      </c>
      <c r="AB98" s="13">
        <v>0</v>
      </c>
      <c r="AC98" s="13">
        <v>1</v>
      </c>
      <c r="AD98" s="13">
        <v>1</v>
      </c>
      <c r="AE98" s="13">
        <v>1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1</v>
      </c>
      <c r="AL98" s="13">
        <v>0</v>
      </c>
      <c r="AM98" s="13">
        <v>0</v>
      </c>
      <c r="AN98" s="13">
        <v>0</v>
      </c>
      <c r="AO98" s="13">
        <v>1</v>
      </c>
      <c r="AP98" s="13">
        <v>1</v>
      </c>
      <c r="AQ98" s="13">
        <v>0</v>
      </c>
      <c r="AR98" s="13">
        <v>1</v>
      </c>
      <c r="AS98" s="13">
        <v>1</v>
      </c>
      <c r="AT98" s="13">
        <v>0</v>
      </c>
      <c r="AU98" s="13">
        <v>0</v>
      </c>
      <c r="AV98" s="13">
        <v>0</v>
      </c>
      <c r="AW98" s="13">
        <v>54</v>
      </c>
      <c r="AX98" s="51">
        <f>5.36/4.61</f>
        <v>1.1626898047722343</v>
      </c>
      <c r="AY98" s="31">
        <v>0</v>
      </c>
      <c r="AZ98" s="31">
        <v>0</v>
      </c>
      <c r="BA98" s="31">
        <v>1</v>
      </c>
      <c r="BB98" s="51">
        <f>3.54/4.07</f>
        <v>0.86977886977886976</v>
      </c>
      <c r="BC98" s="31">
        <v>3</v>
      </c>
      <c r="BD98" s="31">
        <v>1</v>
      </c>
      <c r="BE98" s="31"/>
      <c r="BF98" s="13">
        <v>0</v>
      </c>
      <c r="BG98" s="13" t="s">
        <v>48</v>
      </c>
      <c r="BH98" s="13">
        <v>1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 t="s">
        <v>48</v>
      </c>
      <c r="BQ98" s="13" t="s">
        <v>48</v>
      </c>
      <c r="BR98" s="13">
        <v>0</v>
      </c>
      <c r="BS98" s="13" t="s">
        <v>48</v>
      </c>
      <c r="BT98" s="13">
        <v>0</v>
      </c>
      <c r="BU98" s="13">
        <v>0</v>
      </c>
      <c r="BV98" s="61" t="s">
        <v>50</v>
      </c>
      <c r="BW98" s="99">
        <v>0</v>
      </c>
      <c r="BX98" s="13">
        <v>1</v>
      </c>
      <c r="BY98" s="13">
        <v>0</v>
      </c>
      <c r="BZ98" s="13">
        <v>0</v>
      </c>
      <c r="CA98" s="13">
        <v>0</v>
      </c>
      <c r="CB98" s="34" t="s">
        <v>55</v>
      </c>
    </row>
    <row r="99" spans="1:80" s="53" customFormat="1" ht="18.75" x14ac:dyDescent="0.3">
      <c r="A99" s="1">
        <v>98</v>
      </c>
      <c r="B99" s="60">
        <v>73</v>
      </c>
      <c r="C99" s="13" t="s">
        <v>46</v>
      </c>
      <c r="D99" s="50" t="s">
        <v>53</v>
      </c>
      <c r="E99" s="13" t="s">
        <v>77</v>
      </c>
      <c r="F99" s="5">
        <f>'[2]Removed Saddle Values'!G99*2.54</f>
        <v>182.88</v>
      </c>
      <c r="G99" s="5">
        <v>97.5</v>
      </c>
      <c r="H99" s="5">
        <f t="shared" si="3"/>
        <v>29.152257378588832</v>
      </c>
      <c r="I99" s="13">
        <v>0</v>
      </c>
      <c r="J99" s="13">
        <v>2</v>
      </c>
      <c r="K99" s="13">
        <v>2</v>
      </c>
      <c r="L99" s="13">
        <v>0</v>
      </c>
      <c r="M99" s="13">
        <v>89</v>
      </c>
      <c r="N99" s="13">
        <v>0</v>
      </c>
      <c r="O99" s="13">
        <v>130</v>
      </c>
      <c r="P99" s="13">
        <v>0</v>
      </c>
      <c r="Q99" s="13">
        <v>22</v>
      </c>
      <c r="R99" s="13">
        <v>0</v>
      </c>
      <c r="S99" s="5">
        <v>97.7</v>
      </c>
      <c r="T99" s="13">
        <v>0</v>
      </c>
      <c r="U99" s="13">
        <v>100</v>
      </c>
      <c r="V99" s="13">
        <v>0</v>
      </c>
      <c r="W99" s="13">
        <v>0</v>
      </c>
      <c r="X99" s="13">
        <v>1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1</v>
      </c>
      <c r="AL99" s="13">
        <v>0</v>
      </c>
      <c r="AM99" s="13">
        <v>0</v>
      </c>
      <c r="AN99" s="13">
        <v>0</v>
      </c>
      <c r="AO99" s="13">
        <v>1</v>
      </c>
      <c r="AP99" s="13">
        <v>1</v>
      </c>
      <c r="AQ99" s="13">
        <v>1</v>
      </c>
      <c r="AR99" s="13">
        <v>0</v>
      </c>
      <c r="AS99" s="13" t="s">
        <v>48</v>
      </c>
      <c r="AT99" s="13" t="s">
        <v>48</v>
      </c>
      <c r="AU99" s="13" t="s">
        <v>48</v>
      </c>
      <c r="AV99" s="13" t="s">
        <v>48</v>
      </c>
      <c r="AW99" s="13" t="s">
        <v>48</v>
      </c>
      <c r="AX99" s="51">
        <f>4.86/4.69</f>
        <v>1.0362473347547974</v>
      </c>
      <c r="AY99" s="31">
        <v>0</v>
      </c>
      <c r="AZ99" s="31">
        <v>0</v>
      </c>
      <c r="BA99" s="31">
        <v>1</v>
      </c>
      <c r="BB99" s="51">
        <f>2.55/3.02</f>
        <v>0.8443708609271523</v>
      </c>
      <c r="BC99" s="31">
        <v>2</v>
      </c>
      <c r="BD99" s="31">
        <v>1</v>
      </c>
      <c r="BE99" s="31"/>
      <c r="BF99" s="13">
        <v>0</v>
      </c>
      <c r="BG99" s="13" t="s">
        <v>48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1</v>
      </c>
      <c r="BP99" s="13">
        <v>0</v>
      </c>
      <c r="BQ99" s="13">
        <v>1</v>
      </c>
      <c r="BR99" s="13">
        <v>0</v>
      </c>
      <c r="BS99" s="13" t="s">
        <v>48</v>
      </c>
      <c r="BT99" s="13">
        <v>0</v>
      </c>
      <c r="BU99" s="13">
        <v>0</v>
      </c>
      <c r="BV99" s="61" t="s">
        <v>50</v>
      </c>
      <c r="BW99" s="99">
        <v>0</v>
      </c>
      <c r="BX99" s="13">
        <v>0</v>
      </c>
      <c r="BY99" s="13">
        <v>0</v>
      </c>
      <c r="BZ99" s="13">
        <v>0</v>
      </c>
      <c r="CA99" s="13">
        <v>0</v>
      </c>
      <c r="CB99" s="34" t="s">
        <v>55</v>
      </c>
    </row>
    <row r="100" spans="1:80" s="53" customFormat="1" ht="18.75" x14ac:dyDescent="0.3">
      <c r="A100" s="1">
        <v>99</v>
      </c>
      <c r="B100" s="60">
        <v>57</v>
      </c>
      <c r="C100" s="13" t="s">
        <v>46</v>
      </c>
      <c r="D100" s="50" t="s">
        <v>53</v>
      </c>
      <c r="E100" s="13" t="s">
        <v>161</v>
      </c>
      <c r="F100" s="5">
        <f>'[2]Removed Saddle Values'!G100*2.54</f>
        <v>187.96</v>
      </c>
      <c r="G100" s="5">
        <v>97.2</v>
      </c>
      <c r="H100" s="5">
        <f t="shared" si="3"/>
        <v>27.512838078999749</v>
      </c>
      <c r="I100" s="13">
        <v>1</v>
      </c>
      <c r="J100" s="13">
        <v>5</v>
      </c>
      <c r="K100" s="13">
        <v>3</v>
      </c>
      <c r="L100" s="13">
        <v>1</v>
      </c>
      <c r="M100" s="13">
        <v>157</v>
      </c>
      <c r="N100" s="13">
        <v>0</v>
      </c>
      <c r="O100" s="13">
        <v>164</v>
      </c>
      <c r="P100" s="13">
        <v>0</v>
      </c>
      <c r="Q100" s="13">
        <v>17</v>
      </c>
      <c r="R100" s="13">
        <v>1</v>
      </c>
      <c r="S100" s="5">
        <v>92.3</v>
      </c>
      <c r="T100" s="13">
        <v>1</v>
      </c>
      <c r="U100" s="13" t="s">
        <v>48</v>
      </c>
      <c r="V100" s="13">
        <v>1</v>
      </c>
      <c r="W100" s="13">
        <v>0</v>
      </c>
      <c r="X100" s="13">
        <v>0</v>
      </c>
      <c r="Y100" s="13">
        <v>1</v>
      </c>
      <c r="Z100" s="13">
        <v>1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1</v>
      </c>
      <c r="AG100" s="13">
        <v>1</v>
      </c>
      <c r="AH100" s="13">
        <v>0</v>
      </c>
      <c r="AI100" s="13">
        <v>1</v>
      </c>
      <c r="AJ100" s="13">
        <v>1</v>
      </c>
      <c r="AK100" s="13">
        <v>1</v>
      </c>
      <c r="AL100" s="13">
        <v>0</v>
      </c>
      <c r="AM100" s="13">
        <v>0</v>
      </c>
      <c r="AN100" s="13">
        <v>0</v>
      </c>
      <c r="AO100" s="13" t="s">
        <v>48</v>
      </c>
      <c r="AP100" s="13" t="s">
        <v>48</v>
      </c>
      <c r="AQ100" s="13">
        <v>0</v>
      </c>
      <c r="AR100" s="13">
        <v>1</v>
      </c>
      <c r="AS100" s="13">
        <v>1</v>
      </c>
      <c r="AT100" s="13">
        <v>1</v>
      </c>
      <c r="AU100" s="13">
        <v>1</v>
      </c>
      <c r="AV100" s="13">
        <v>0</v>
      </c>
      <c r="AW100" s="13">
        <v>25</v>
      </c>
      <c r="AX100" s="51">
        <f>5.6/3.6</f>
        <v>1.5555555555555554</v>
      </c>
      <c r="AY100" s="31">
        <v>0</v>
      </c>
      <c r="AZ100" s="31">
        <v>0</v>
      </c>
      <c r="BA100" s="31">
        <v>1</v>
      </c>
      <c r="BB100" s="51">
        <f>2.87/2.97</f>
        <v>0.96632996632996626</v>
      </c>
      <c r="BC100" s="31">
        <v>6</v>
      </c>
      <c r="BD100" s="31">
        <v>1</v>
      </c>
      <c r="BE100" s="31"/>
      <c r="BF100" s="13">
        <v>1</v>
      </c>
      <c r="BG100" s="13" t="s">
        <v>140</v>
      </c>
      <c r="BH100" s="13">
        <v>1</v>
      </c>
      <c r="BI100" s="13">
        <v>0</v>
      </c>
      <c r="BJ100" s="13">
        <v>1</v>
      </c>
      <c r="BK100" s="13">
        <v>1</v>
      </c>
      <c r="BL100" s="13">
        <v>0</v>
      </c>
      <c r="BM100" s="13">
        <v>1</v>
      </c>
      <c r="BN100" s="13">
        <v>1</v>
      </c>
      <c r="BO100" s="13">
        <v>0</v>
      </c>
      <c r="BP100" s="13">
        <v>1</v>
      </c>
      <c r="BQ100" s="13">
        <v>1</v>
      </c>
      <c r="BR100" s="13">
        <v>0</v>
      </c>
      <c r="BS100" s="13" t="s">
        <v>48</v>
      </c>
      <c r="BT100" s="13">
        <v>0</v>
      </c>
      <c r="BU100" s="13">
        <v>0</v>
      </c>
      <c r="BV100" s="61" t="s">
        <v>50</v>
      </c>
      <c r="BW100" s="99">
        <v>1</v>
      </c>
      <c r="BX100" s="13">
        <v>1</v>
      </c>
      <c r="BY100" s="13">
        <v>0</v>
      </c>
      <c r="BZ100" s="13">
        <v>0</v>
      </c>
      <c r="CA100" s="13">
        <v>0</v>
      </c>
      <c r="CB100" s="34" t="s">
        <v>60</v>
      </c>
    </row>
    <row r="101" spans="1:80" s="53" customFormat="1" ht="18.75" x14ac:dyDescent="0.3">
      <c r="A101" s="1">
        <v>100</v>
      </c>
      <c r="B101" s="60">
        <v>52</v>
      </c>
      <c r="C101" s="13" t="s">
        <v>46</v>
      </c>
      <c r="D101" s="50" t="s">
        <v>47</v>
      </c>
      <c r="E101" s="13" t="s">
        <v>130</v>
      </c>
      <c r="F101" s="5">
        <f>'[2]Removed Saddle Values'!G101*2.54</f>
        <v>157.47999999999999</v>
      </c>
      <c r="G101" s="5">
        <v>65.7</v>
      </c>
      <c r="H101" s="5">
        <f t="shared" si="3"/>
        <v>26.491988467847904</v>
      </c>
      <c r="I101" s="13">
        <v>1</v>
      </c>
      <c r="J101" s="13">
        <v>2</v>
      </c>
      <c r="K101" s="13">
        <v>2</v>
      </c>
      <c r="L101" s="13">
        <v>1</v>
      </c>
      <c r="M101" s="13">
        <v>112</v>
      </c>
      <c r="N101" s="13">
        <v>0</v>
      </c>
      <c r="O101" s="13">
        <v>132</v>
      </c>
      <c r="P101" s="13">
        <v>0</v>
      </c>
      <c r="Q101" s="13">
        <v>20</v>
      </c>
      <c r="R101" s="13">
        <v>0</v>
      </c>
      <c r="S101" s="5">
        <v>99.8</v>
      </c>
      <c r="T101" s="13">
        <v>0</v>
      </c>
      <c r="U101" s="13">
        <v>99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1</v>
      </c>
      <c r="AJ101" s="13">
        <v>1</v>
      </c>
      <c r="AK101" s="13">
        <v>0</v>
      </c>
      <c r="AL101" s="13">
        <v>0</v>
      </c>
      <c r="AM101" s="13">
        <v>0</v>
      </c>
      <c r="AN101" s="13">
        <v>0</v>
      </c>
      <c r="AO101" s="13">
        <v>1</v>
      </c>
      <c r="AP101" s="13">
        <v>1</v>
      </c>
      <c r="AQ101" s="13" t="s">
        <v>48</v>
      </c>
      <c r="AR101" s="13" t="s">
        <v>48</v>
      </c>
      <c r="AS101" s="13">
        <v>1</v>
      </c>
      <c r="AT101" s="13">
        <v>0</v>
      </c>
      <c r="AU101" s="13">
        <v>0</v>
      </c>
      <c r="AV101" s="13">
        <v>0</v>
      </c>
      <c r="AW101" s="13">
        <v>36</v>
      </c>
      <c r="AX101" s="51">
        <f>4.67/4.37</f>
        <v>1.068649885583524</v>
      </c>
      <c r="AY101" s="31">
        <v>0</v>
      </c>
      <c r="AZ101" s="31">
        <v>0</v>
      </c>
      <c r="BA101" s="31">
        <v>1</v>
      </c>
      <c r="BB101" s="51">
        <f>3.28/2.95</f>
        <v>1.1118644067796608</v>
      </c>
      <c r="BC101" s="31">
        <v>1</v>
      </c>
      <c r="BD101" s="31">
        <v>1</v>
      </c>
      <c r="BE101" s="31"/>
      <c r="BF101" s="13">
        <v>0</v>
      </c>
      <c r="BG101" s="13" t="s">
        <v>48</v>
      </c>
      <c r="BH101" s="13">
        <v>1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 t="s">
        <v>48</v>
      </c>
      <c r="BQ101" s="13" t="s">
        <v>48</v>
      </c>
      <c r="BR101" s="13">
        <v>0</v>
      </c>
      <c r="BS101" s="13" t="s">
        <v>48</v>
      </c>
      <c r="BT101" s="13">
        <v>0</v>
      </c>
      <c r="BU101" s="13">
        <v>1</v>
      </c>
      <c r="BV101" s="61" t="s">
        <v>50</v>
      </c>
      <c r="BW101" s="99">
        <v>0</v>
      </c>
      <c r="BX101" s="13">
        <v>0</v>
      </c>
      <c r="BY101" s="13">
        <v>0</v>
      </c>
      <c r="BZ101" s="13">
        <v>0</v>
      </c>
      <c r="CA101" s="13">
        <v>0</v>
      </c>
      <c r="CB101" s="34" t="s">
        <v>60</v>
      </c>
    </row>
    <row r="102" spans="1:80" s="53" customFormat="1" ht="18.75" x14ac:dyDescent="0.3">
      <c r="A102" s="1">
        <v>101</v>
      </c>
      <c r="B102" s="60">
        <v>73</v>
      </c>
      <c r="C102" s="13" t="s">
        <v>46</v>
      </c>
      <c r="D102" s="50" t="s">
        <v>47</v>
      </c>
      <c r="E102" s="13" t="s">
        <v>83</v>
      </c>
      <c r="F102" s="5">
        <f>'[2]Removed Saddle Values'!G102*2.54</f>
        <v>177.8</v>
      </c>
      <c r="G102" s="5">
        <v>106</v>
      </c>
      <c r="H102" s="5">
        <f t="shared" si="3"/>
        <v>33.530679306256566</v>
      </c>
      <c r="I102" s="13">
        <v>0</v>
      </c>
      <c r="J102" s="13">
        <v>2</v>
      </c>
      <c r="K102" s="13">
        <v>2</v>
      </c>
      <c r="L102" s="13">
        <v>0</v>
      </c>
      <c r="M102" s="13">
        <v>80</v>
      </c>
      <c r="N102" s="13">
        <v>0</v>
      </c>
      <c r="O102" s="13">
        <v>141</v>
      </c>
      <c r="P102" s="13">
        <v>0</v>
      </c>
      <c r="Q102" s="13">
        <v>18</v>
      </c>
      <c r="R102" s="13">
        <v>0</v>
      </c>
      <c r="S102" s="5">
        <v>97.8</v>
      </c>
      <c r="T102" s="13">
        <v>0</v>
      </c>
      <c r="U102" s="13">
        <v>96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1</v>
      </c>
      <c r="AP102" s="13">
        <v>1</v>
      </c>
      <c r="AQ102" s="13">
        <v>0</v>
      </c>
      <c r="AR102" s="13">
        <v>0</v>
      </c>
      <c r="AS102" s="13">
        <v>1</v>
      </c>
      <c r="AT102" s="13">
        <v>0</v>
      </c>
      <c r="AU102" s="13">
        <v>0</v>
      </c>
      <c r="AV102" s="13">
        <v>0</v>
      </c>
      <c r="AW102" s="13">
        <v>40</v>
      </c>
      <c r="AX102" s="51">
        <f>4.3/4.48</f>
        <v>0.95982142857142849</v>
      </c>
      <c r="AY102" s="31">
        <v>0</v>
      </c>
      <c r="AZ102" s="31">
        <v>0</v>
      </c>
      <c r="BA102" s="31">
        <v>1</v>
      </c>
      <c r="BB102" s="51">
        <f>2.48/2.97</f>
        <v>0.83501683501683499</v>
      </c>
      <c r="BC102" s="31">
        <v>1</v>
      </c>
      <c r="BD102" s="31">
        <v>1</v>
      </c>
      <c r="BE102" s="31"/>
      <c r="BF102" s="13">
        <v>0</v>
      </c>
      <c r="BG102" s="13" t="s">
        <v>48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 t="s">
        <v>48</v>
      </c>
      <c r="BQ102" s="13" t="s">
        <v>48</v>
      </c>
      <c r="BR102" s="13">
        <v>0</v>
      </c>
      <c r="BS102" s="13" t="s">
        <v>48</v>
      </c>
      <c r="BT102" s="13">
        <v>0</v>
      </c>
      <c r="BU102" s="13">
        <v>1</v>
      </c>
      <c r="BV102" s="61" t="s">
        <v>50</v>
      </c>
      <c r="BW102" s="99">
        <v>0</v>
      </c>
      <c r="BX102" s="13">
        <v>0</v>
      </c>
      <c r="BY102" s="13">
        <v>0</v>
      </c>
      <c r="BZ102" s="13">
        <v>0</v>
      </c>
      <c r="CA102" s="13">
        <v>0</v>
      </c>
      <c r="CB102" s="34" t="s">
        <v>139</v>
      </c>
    </row>
    <row r="103" spans="1:80" s="53" customFormat="1" ht="18.75" x14ac:dyDescent="0.3">
      <c r="A103" s="1">
        <v>102</v>
      </c>
      <c r="B103" s="60">
        <v>66</v>
      </c>
      <c r="C103" s="13" t="s">
        <v>52</v>
      </c>
      <c r="D103" s="50" t="s">
        <v>47</v>
      </c>
      <c r="E103" s="13" t="s">
        <v>77</v>
      </c>
      <c r="F103" s="5">
        <f>'[2]Removed Saddle Values'!G103*2.54</f>
        <v>160.02000000000001</v>
      </c>
      <c r="G103" s="5">
        <v>68</v>
      </c>
      <c r="H103" s="5">
        <f t="shared" si="3"/>
        <v>26.555860619909701</v>
      </c>
      <c r="I103" s="13">
        <v>1</v>
      </c>
      <c r="J103" s="13">
        <v>4</v>
      </c>
      <c r="K103" s="13">
        <v>2</v>
      </c>
      <c r="L103" s="13">
        <v>0</v>
      </c>
      <c r="M103" s="13">
        <v>109</v>
      </c>
      <c r="N103" s="13">
        <v>0</v>
      </c>
      <c r="O103" s="13">
        <v>140</v>
      </c>
      <c r="P103" s="13">
        <v>0</v>
      </c>
      <c r="Q103" s="13">
        <v>22</v>
      </c>
      <c r="R103" s="13">
        <v>0</v>
      </c>
      <c r="S103" s="5">
        <v>98</v>
      </c>
      <c r="T103" s="13">
        <v>1</v>
      </c>
      <c r="U103" s="13" t="s">
        <v>48</v>
      </c>
      <c r="V103" s="13">
        <v>1</v>
      </c>
      <c r="W103" s="13">
        <v>0</v>
      </c>
      <c r="X103" s="13">
        <v>0</v>
      </c>
      <c r="Y103" s="13">
        <v>0</v>
      </c>
      <c r="Z103" s="13">
        <v>1</v>
      </c>
      <c r="AA103" s="13">
        <v>1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1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 t="s">
        <v>48</v>
      </c>
      <c r="AP103" s="13" t="s">
        <v>48</v>
      </c>
      <c r="AQ103" s="13" t="s">
        <v>48</v>
      </c>
      <c r="AR103" s="13">
        <v>1</v>
      </c>
      <c r="AS103" s="13" t="s">
        <v>48</v>
      </c>
      <c r="AT103" s="13" t="s">
        <v>48</v>
      </c>
      <c r="AU103" s="13" t="s">
        <v>48</v>
      </c>
      <c r="AV103" s="13" t="s">
        <v>48</v>
      </c>
      <c r="AW103" s="13" t="s">
        <v>48</v>
      </c>
      <c r="AX103" s="51">
        <f>5/3.41</f>
        <v>1.466275659824047</v>
      </c>
      <c r="AY103" s="31">
        <v>0</v>
      </c>
      <c r="AZ103" s="31">
        <v>0</v>
      </c>
      <c r="BA103" s="31">
        <v>1</v>
      </c>
      <c r="BB103" s="51">
        <f>3.09/3.79</f>
        <v>0.81530343007915562</v>
      </c>
      <c r="BC103" s="31">
        <v>5</v>
      </c>
      <c r="BD103" s="31">
        <v>1</v>
      </c>
      <c r="BE103" s="31"/>
      <c r="BF103" s="13">
        <v>0</v>
      </c>
      <c r="BG103" s="13" t="s">
        <v>48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 t="s">
        <v>48</v>
      </c>
      <c r="BQ103" s="13" t="s">
        <v>48</v>
      </c>
      <c r="BR103" s="13">
        <v>0</v>
      </c>
      <c r="BS103" s="13" t="s">
        <v>48</v>
      </c>
      <c r="BT103" s="13">
        <v>0</v>
      </c>
      <c r="BU103" s="13">
        <v>0</v>
      </c>
      <c r="BV103" s="61" t="s">
        <v>57</v>
      </c>
      <c r="BW103" s="99" t="s">
        <v>57</v>
      </c>
      <c r="BX103" s="13">
        <v>1</v>
      </c>
      <c r="BY103" s="13">
        <v>1</v>
      </c>
      <c r="BZ103" s="13">
        <v>0</v>
      </c>
      <c r="CA103" s="13">
        <v>0</v>
      </c>
      <c r="CB103" s="34" t="s">
        <v>60</v>
      </c>
    </row>
    <row r="104" spans="1:80" s="53" customFormat="1" ht="18.75" x14ac:dyDescent="0.3">
      <c r="A104" s="1">
        <v>103</v>
      </c>
      <c r="B104" s="60">
        <v>33</v>
      </c>
      <c r="C104" s="13" t="s">
        <v>52</v>
      </c>
      <c r="D104" s="50" t="s">
        <v>162</v>
      </c>
      <c r="E104" s="13" t="s">
        <v>100</v>
      </c>
      <c r="F104" s="5">
        <f>'[2]Removed Saddle Values'!G104*2.54</f>
        <v>165.1</v>
      </c>
      <c r="G104" s="5">
        <v>94.4</v>
      </c>
      <c r="H104" s="5">
        <f t="shared" si="3"/>
        <v>34.632021926765745</v>
      </c>
      <c r="I104" s="13">
        <v>1</v>
      </c>
      <c r="J104" s="13">
        <v>1</v>
      </c>
      <c r="K104" s="13">
        <v>2</v>
      </c>
      <c r="L104" s="13">
        <v>1</v>
      </c>
      <c r="M104" s="13">
        <v>128</v>
      </c>
      <c r="N104" s="13">
        <v>0</v>
      </c>
      <c r="O104" s="13">
        <v>131</v>
      </c>
      <c r="P104" s="13">
        <v>0</v>
      </c>
      <c r="Q104" s="13">
        <v>22</v>
      </c>
      <c r="R104" s="13">
        <v>0</v>
      </c>
      <c r="S104" s="5">
        <v>97.6</v>
      </c>
      <c r="T104" s="13">
        <v>0</v>
      </c>
      <c r="U104" s="13">
        <v>98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 t="s">
        <v>48</v>
      </c>
      <c r="AP104" s="13" t="s">
        <v>48</v>
      </c>
      <c r="AQ104" s="13">
        <v>0</v>
      </c>
      <c r="AR104" s="13">
        <v>1</v>
      </c>
      <c r="AS104" s="13">
        <v>1</v>
      </c>
      <c r="AT104" s="13">
        <v>1</v>
      </c>
      <c r="AU104" s="13">
        <v>1</v>
      </c>
      <c r="AV104" s="13">
        <v>0</v>
      </c>
      <c r="AW104" s="13" t="s">
        <v>192</v>
      </c>
      <c r="AX104" s="51">
        <f>4.8/4.32</f>
        <v>1.1111111111111109</v>
      </c>
      <c r="AY104" s="31">
        <v>0</v>
      </c>
      <c r="AZ104" s="31">
        <v>0</v>
      </c>
      <c r="BA104" s="31">
        <v>1</v>
      </c>
      <c r="BB104" s="51">
        <f>3.07/3.51</f>
        <v>0.87464387464387461</v>
      </c>
      <c r="BC104" s="31">
        <v>6</v>
      </c>
      <c r="BD104" s="31">
        <v>1</v>
      </c>
      <c r="BE104" s="31"/>
      <c r="BF104" s="13">
        <v>1</v>
      </c>
      <c r="BG104" s="13" t="s">
        <v>75</v>
      </c>
      <c r="BH104" s="13">
        <v>1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1</v>
      </c>
      <c r="BP104" s="13">
        <v>0</v>
      </c>
      <c r="BQ104" s="13">
        <v>1</v>
      </c>
      <c r="BR104" s="13">
        <v>0</v>
      </c>
      <c r="BS104" s="13" t="s">
        <v>48</v>
      </c>
      <c r="BT104" s="13">
        <v>0</v>
      </c>
      <c r="BU104" s="13">
        <v>1</v>
      </c>
      <c r="BV104" s="61" t="s">
        <v>50</v>
      </c>
      <c r="BW104" s="99">
        <v>0</v>
      </c>
      <c r="BX104" s="13">
        <v>0</v>
      </c>
      <c r="BY104" s="13">
        <v>0</v>
      </c>
      <c r="BZ104" s="13">
        <v>0</v>
      </c>
      <c r="CA104" s="13">
        <v>0</v>
      </c>
      <c r="CB104" s="34" t="s">
        <v>142</v>
      </c>
    </row>
    <row r="105" spans="1:80" s="53" customFormat="1" ht="18.75" x14ac:dyDescent="0.3">
      <c r="A105" s="1">
        <v>104</v>
      </c>
      <c r="B105" s="60">
        <v>57</v>
      </c>
      <c r="C105" s="13" t="s">
        <v>46</v>
      </c>
      <c r="D105" s="50" t="s">
        <v>47</v>
      </c>
      <c r="E105" s="13" t="s">
        <v>74</v>
      </c>
      <c r="F105" s="5">
        <f>'[2]Removed Saddle Values'!G105*2.54</f>
        <v>193.04</v>
      </c>
      <c r="G105" s="5">
        <v>113.4</v>
      </c>
      <c r="H105" s="5">
        <f t="shared" si="3"/>
        <v>30.431155045135579</v>
      </c>
      <c r="I105" s="13">
        <v>1</v>
      </c>
      <c r="J105" s="13">
        <v>3</v>
      </c>
      <c r="K105" s="13">
        <v>3</v>
      </c>
      <c r="L105" s="13">
        <v>1</v>
      </c>
      <c r="M105" s="13">
        <v>121</v>
      </c>
      <c r="N105" s="13">
        <v>0</v>
      </c>
      <c r="O105" s="13">
        <v>179</v>
      </c>
      <c r="P105" s="13">
        <v>0</v>
      </c>
      <c r="Q105" s="13">
        <v>24</v>
      </c>
      <c r="R105" s="13">
        <v>0</v>
      </c>
      <c r="S105" s="5">
        <v>97.8</v>
      </c>
      <c r="T105" s="13">
        <v>1</v>
      </c>
      <c r="U105" s="13">
        <v>77</v>
      </c>
      <c r="V105" s="13">
        <v>1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1</v>
      </c>
      <c r="AP105" s="13">
        <v>1</v>
      </c>
      <c r="AQ105" s="13" t="s">
        <v>48</v>
      </c>
      <c r="AR105" s="13">
        <v>1</v>
      </c>
      <c r="AS105" s="13">
        <v>1</v>
      </c>
      <c r="AT105" s="13">
        <v>0</v>
      </c>
      <c r="AU105" s="13">
        <v>0</v>
      </c>
      <c r="AV105" s="13">
        <v>0</v>
      </c>
      <c r="AW105" s="13" t="s">
        <v>192</v>
      </c>
      <c r="AX105" s="51">
        <f>5.73/4.06</f>
        <v>1.4113300492610841</v>
      </c>
      <c r="AY105" s="31">
        <v>0</v>
      </c>
      <c r="AZ105" s="31">
        <v>0</v>
      </c>
      <c r="BA105" s="31">
        <v>1</v>
      </c>
      <c r="BB105" s="51">
        <f>3.24/4.29</f>
        <v>0.75524475524475532</v>
      </c>
      <c r="BC105" s="31">
        <v>4</v>
      </c>
      <c r="BD105" s="31">
        <v>1</v>
      </c>
      <c r="BE105" s="31"/>
      <c r="BF105" s="13">
        <v>0</v>
      </c>
      <c r="BG105" s="13" t="s">
        <v>48</v>
      </c>
      <c r="BH105" s="13">
        <v>1</v>
      </c>
      <c r="BI105" s="13">
        <v>0</v>
      </c>
      <c r="BJ105" s="13">
        <v>0</v>
      </c>
      <c r="BK105" s="13">
        <v>0</v>
      </c>
      <c r="BL105" s="13">
        <v>0</v>
      </c>
      <c r="BM105" s="13">
        <v>1</v>
      </c>
      <c r="BN105" s="13">
        <v>0</v>
      </c>
      <c r="BO105" s="13">
        <v>1</v>
      </c>
      <c r="BP105" s="13">
        <v>1</v>
      </c>
      <c r="BQ105" s="13">
        <v>1</v>
      </c>
      <c r="BR105" s="13">
        <v>1</v>
      </c>
      <c r="BS105" s="13" t="s">
        <v>163</v>
      </c>
      <c r="BT105" s="13" t="s">
        <v>57</v>
      </c>
      <c r="BU105" s="13">
        <v>0</v>
      </c>
      <c r="BV105" s="61" t="s">
        <v>57</v>
      </c>
      <c r="BW105" s="99" t="s">
        <v>57</v>
      </c>
      <c r="BX105" s="13" t="s">
        <v>48</v>
      </c>
      <c r="BY105" s="13" t="s">
        <v>48</v>
      </c>
      <c r="BZ105" s="13">
        <v>0</v>
      </c>
      <c r="CA105" s="13">
        <v>0</v>
      </c>
      <c r="CB105" s="34" t="s">
        <v>54</v>
      </c>
    </row>
    <row r="106" spans="1:80" s="53" customFormat="1" ht="18.75" x14ac:dyDescent="0.3">
      <c r="A106" s="1">
        <v>105</v>
      </c>
      <c r="B106" s="60">
        <v>44</v>
      </c>
      <c r="C106" s="13" t="s">
        <v>46</v>
      </c>
      <c r="D106" s="50" t="s">
        <v>47</v>
      </c>
      <c r="E106" s="13" t="s">
        <v>164</v>
      </c>
      <c r="F106" s="5">
        <f>'[2]Removed Saddle Values'!G106*2.54</f>
        <v>190.5</v>
      </c>
      <c r="G106" s="5">
        <v>158</v>
      </c>
      <c r="H106" s="5">
        <f t="shared" si="3"/>
        <v>43.537864853507486</v>
      </c>
      <c r="I106" s="13">
        <v>1</v>
      </c>
      <c r="J106" s="13">
        <v>2</v>
      </c>
      <c r="K106" s="13">
        <v>3</v>
      </c>
      <c r="L106" s="13">
        <v>1</v>
      </c>
      <c r="M106" s="13">
        <v>116</v>
      </c>
      <c r="N106" s="13">
        <v>0</v>
      </c>
      <c r="O106" s="13">
        <v>155</v>
      </c>
      <c r="P106" s="13">
        <v>0</v>
      </c>
      <c r="Q106" s="13">
        <v>19</v>
      </c>
      <c r="R106" s="13">
        <v>0</v>
      </c>
      <c r="S106" s="5">
        <v>97.9</v>
      </c>
      <c r="T106" s="13">
        <v>0</v>
      </c>
      <c r="U106" s="13">
        <v>98</v>
      </c>
      <c r="V106" s="13">
        <v>0</v>
      </c>
      <c r="W106" s="13">
        <v>0</v>
      </c>
      <c r="X106" s="13">
        <v>0</v>
      </c>
      <c r="Y106" s="13">
        <v>1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1</v>
      </c>
      <c r="AL106" s="13">
        <v>0</v>
      </c>
      <c r="AM106" s="13">
        <v>0</v>
      </c>
      <c r="AN106" s="13">
        <v>0</v>
      </c>
      <c r="AO106" s="13">
        <v>1</v>
      </c>
      <c r="AP106" s="13">
        <v>1</v>
      </c>
      <c r="AQ106" s="13">
        <v>0</v>
      </c>
      <c r="AR106" s="13">
        <v>0</v>
      </c>
      <c r="AS106" s="13">
        <v>1</v>
      </c>
      <c r="AT106" s="13">
        <v>1</v>
      </c>
      <c r="AU106" s="13">
        <v>1</v>
      </c>
      <c r="AV106" s="13">
        <v>0</v>
      </c>
      <c r="AW106" s="13">
        <v>50</v>
      </c>
      <c r="AX106" s="51">
        <f>5.34/5.59</f>
        <v>0.95527728085867625</v>
      </c>
      <c r="AY106" s="31">
        <v>0</v>
      </c>
      <c r="AZ106" s="31">
        <v>0</v>
      </c>
      <c r="BA106" s="31">
        <v>1</v>
      </c>
      <c r="BB106" s="51">
        <f>3.37/3.52</f>
        <v>0.95738636363636365</v>
      </c>
      <c r="BC106" s="31">
        <v>1</v>
      </c>
      <c r="BD106" s="31">
        <v>0</v>
      </c>
      <c r="BE106" s="31"/>
      <c r="BF106" s="13">
        <v>0</v>
      </c>
      <c r="BG106" s="13" t="s">
        <v>48</v>
      </c>
      <c r="BH106" s="13">
        <v>1</v>
      </c>
      <c r="BI106" s="13">
        <v>0</v>
      </c>
      <c r="BJ106" s="13">
        <v>0</v>
      </c>
      <c r="BK106" s="13">
        <v>0</v>
      </c>
      <c r="BL106" s="13">
        <v>0</v>
      </c>
      <c r="BM106" s="13">
        <v>1</v>
      </c>
      <c r="BN106" s="13">
        <v>0</v>
      </c>
      <c r="BO106" s="13">
        <v>1</v>
      </c>
      <c r="BP106" s="13">
        <v>1</v>
      </c>
      <c r="BQ106" s="13">
        <v>1</v>
      </c>
      <c r="BR106" s="13">
        <v>0</v>
      </c>
      <c r="BS106" s="13" t="s">
        <v>48</v>
      </c>
      <c r="BT106" s="13">
        <v>0</v>
      </c>
      <c r="BU106" s="13">
        <v>1</v>
      </c>
      <c r="BV106" s="61" t="s">
        <v>50</v>
      </c>
      <c r="BW106" s="99">
        <v>0</v>
      </c>
      <c r="BX106" s="13">
        <v>0</v>
      </c>
      <c r="BY106" s="13">
        <v>1</v>
      </c>
      <c r="BZ106" s="13">
        <v>0</v>
      </c>
      <c r="CA106" s="13">
        <v>1</v>
      </c>
      <c r="CB106" s="34" t="s">
        <v>55</v>
      </c>
    </row>
    <row r="107" spans="1:80" s="53" customFormat="1" ht="18.75" x14ac:dyDescent="0.3">
      <c r="A107" s="1">
        <v>106</v>
      </c>
      <c r="B107" s="60">
        <v>76</v>
      </c>
      <c r="C107" s="13" t="s">
        <v>46</v>
      </c>
      <c r="D107" s="50" t="s">
        <v>53</v>
      </c>
      <c r="E107" s="13" t="s">
        <v>85</v>
      </c>
      <c r="F107" s="5">
        <f>'[2]Removed Saddle Values'!G107*2.54</f>
        <v>180.34</v>
      </c>
      <c r="G107" s="5">
        <v>83</v>
      </c>
      <c r="H107" s="5">
        <f t="shared" si="3"/>
        <v>25.520781055448243</v>
      </c>
      <c r="I107" s="13">
        <v>0</v>
      </c>
      <c r="J107" s="13">
        <v>3</v>
      </c>
      <c r="K107" s="13">
        <v>2</v>
      </c>
      <c r="L107" s="13">
        <v>0</v>
      </c>
      <c r="M107" s="13">
        <v>84</v>
      </c>
      <c r="N107" s="13">
        <v>0</v>
      </c>
      <c r="O107" s="13">
        <v>119</v>
      </c>
      <c r="P107" s="13">
        <v>0</v>
      </c>
      <c r="Q107" s="13">
        <v>18</v>
      </c>
      <c r="R107" s="13">
        <v>0</v>
      </c>
      <c r="S107" s="5">
        <v>97</v>
      </c>
      <c r="T107" s="13">
        <v>0</v>
      </c>
      <c r="U107" s="13">
        <v>96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1</v>
      </c>
      <c r="AJ107" s="13">
        <v>1</v>
      </c>
      <c r="AK107" s="13">
        <v>0</v>
      </c>
      <c r="AL107" s="13">
        <v>0</v>
      </c>
      <c r="AM107" s="13">
        <v>0</v>
      </c>
      <c r="AN107" s="13">
        <v>0</v>
      </c>
      <c r="AO107" s="13">
        <v>1</v>
      </c>
      <c r="AP107" s="13">
        <v>1</v>
      </c>
      <c r="AQ107" s="13">
        <v>1</v>
      </c>
      <c r="AR107" s="13">
        <v>0</v>
      </c>
      <c r="AS107" s="13">
        <v>1</v>
      </c>
      <c r="AT107" s="13">
        <v>1</v>
      </c>
      <c r="AU107" s="13">
        <v>1</v>
      </c>
      <c r="AV107" s="13">
        <v>0</v>
      </c>
      <c r="AW107" s="13">
        <v>27</v>
      </c>
      <c r="AX107" s="51">
        <f>5.26/4.25</f>
        <v>1.2376470588235293</v>
      </c>
      <c r="AY107" s="31">
        <v>0</v>
      </c>
      <c r="AZ107" s="31">
        <v>0</v>
      </c>
      <c r="BA107" s="31">
        <v>1</v>
      </c>
      <c r="BB107" s="51">
        <f>2.91/3.26</f>
        <v>0.89263803680981602</v>
      </c>
      <c r="BC107" s="31">
        <v>4</v>
      </c>
      <c r="BD107" s="31">
        <v>1</v>
      </c>
      <c r="BE107" s="31"/>
      <c r="BF107" s="13">
        <v>0</v>
      </c>
      <c r="BG107" s="13" t="s">
        <v>48</v>
      </c>
      <c r="BH107" s="13">
        <v>1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1</v>
      </c>
      <c r="BP107" s="13">
        <v>0</v>
      </c>
      <c r="BQ107" s="13">
        <v>1</v>
      </c>
      <c r="BR107" s="13">
        <v>0</v>
      </c>
      <c r="BS107" s="13" t="s">
        <v>48</v>
      </c>
      <c r="BT107" s="13">
        <v>0</v>
      </c>
      <c r="BU107" s="13">
        <v>0</v>
      </c>
      <c r="BV107" s="61" t="s">
        <v>50</v>
      </c>
      <c r="BW107" s="99">
        <v>0</v>
      </c>
      <c r="BX107" s="13">
        <v>0</v>
      </c>
      <c r="BY107" s="13">
        <v>1</v>
      </c>
      <c r="BZ107" s="13">
        <v>0</v>
      </c>
      <c r="CA107" s="13">
        <v>0</v>
      </c>
      <c r="CB107" s="34" t="s">
        <v>56</v>
      </c>
    </row>
    <row r="108" spans="1:80" s="53" customFormat="1" ht="18.75" x14ac:dyDescent="0.3">
      <c r="A108" s="1">
        <v>107</v>
      </c>
      <c r="B108" s="60">
        <v>61</v>
      </c>
      <c r="C108" s="13" t="s">
        <v>46</v>
      </c>
      <c r="D108" s="50" t="s">
        <v>47</v>
      </c>
      <c r="E108" s="13" t="s">
        <v>74</v>
      </c>
      <c r="F108" s="5">
        <f>'[2]Removed Saddle Values'!G108*2.54</f>
        <v>187.96</v>
      </c>
      <c r="G108" s="5">
        <v>137.69999999999999</v>
      </c>
      <c r="H108" s="5">
        <f t="shared" si="3"/>
        <v>38.976520611916307</v>
      </c>
      <c r="I108" s="13">
        <v>0</v>
      </c>
      <c r="J108" s="13">
        <v>2</v>
      </c>
      <c r="K108" s="13">
        <v>2</v>
      </c>
      <c r="L108" s="13">
        <v>0</v>
      </c>
      <c r="M108" s="13">
        <v>103</v>
      </c>
      <c r="N108" s="13">
        <v>0</v>
      </c>
      <c r="O108" s="13">
        <v>132</v>
      </c>
      <c r="P108" s="13">
        <v>0</v>
      </c>
      <c r="Q108" s="13">
        <v>20</v>
      </c>
      <c r="R108" s="13">
        <v>0</v>
      </c>
      <c r="S108" s="5">
        <v>97.1</v>
      </c>
      <c r="T108" s="13">
        <v>0</v>
      </c>
      <c r="U108" s="13">
        <v>93</v>
      </c>
      <c r="V108" s="13">
        <v>1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1</v>
      </c>
      <c r="AD108" s="13">
        <v>0</v>
      </c>
      <c r="AE108" s="13">
        <v>0</v>
      </c>
      <c r="AF108" s="13">
        <v>0</v>
      </c>
      <c r="AG108" s="13">
        <v>1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1</v>
      </c>
      <c r="AP108" s="13">
        <v>1</v>
      </c>
      <c r="AQ108" s="13">
        <v>0</v>
      </c>
      <c r="AR108" s="13">
        <v>1</v>
      </c>
      <c r="AS108" s="13">
        <v>1</v>
      </c>
      <c r="AT108" s="13">
        <v>1</v>
      </c>
      <c r="AU108" s="13">
        <v>1</v>
      </c>
      <c r="AV108" s="13">
        <v>0</v>
      </c>
      <c r="AW108" s="13" t="s">
        <v>192</v>
      </c>
      <c r="AX108" s="51">
        <f>4.55/5.93</f>
        <v>0.76728499156829677</v>
      </c>
      <c r="AY108" s="31">
        <v>0</v>
      </c>
      <c r="AZ108" s="31">
        <v>0</v>
      </c>
      <c r="BA108" s="31">
        <v>0</v>
      </c>
      <c r="BB108" s="51">
        <f>3.39/3.84</f>
        <v>0.88281250000000011</v>
      </c>
      <c r="BC108" s="31">
        <v>1</v>
      </c>
      <c r="BD108" s="31">
        <v>0</v>
      </c>
      <c r="BE108" s="31"/>
      <c r="BF108" s="13">
        <v>0</v>
      </c>
      <c r="BG108" s="13" t="s">
        <v>48</v>
      </c>
      <c r="BH108" s="13">
        <v>1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1</v>
      </c>
      <c r="BP108" s="13">
        <v>0</v>
      </c>
      <c r="BQ108" s="13">
        <v>1</v>
      </c>
      <c r="BR108" s="13">
        <v>0</v>
      </c>
      <c r="BS108" s="13" t="s">
        <v>48</v>
      </c>
      <c r="BT108" s="13">
        <v>0</v>
      </c>
      <c r="BU108" s="13">
        <v>1</v>
      </c>
      <c r="BV108" s="61" t="s">
        <v>50</v>
      </c>
      <c r="BW108" s="99">
        <v>0</v>
      </c>
      <c r="BX108" s="13">
        <v>0</v>
      </c>
      <c r="BY108" s="13">
        <v>1</v>
      </c>
      <c r="BZ108" s="13">
        <v>0</v>
      </c>
      <c r="CA108" s="13">
        <v>0</v>
      </c>
      <c r="CB108" s="34" t="s">
        <v>61</v>
      </c>
    </row>
    <row r="109" spans="1:80" s="53" customFormat="1" ht="18.75" x14ac:dyDescent="0.3">
      <c r="A109" s="1">
        <v>108</v>
      </c>
      <c r="B109" s="60">
        <v>54</v>
      </c>
      <c r="C109" s="13" t="s">
        <v>52</v>
      </c>
      <c r="D109" s="50" t="s">
        <v>53</v>
      </c>
      <c r="E109" s="13" t="s">
        <v>130</v>
      </c>
      <c r="F109" s="5">
        <f>'[2]Removed Saddle Values'!G109*2.54</f>
        <v>157.47999999999999</v>
      </c>
      <c r="G109" s="5">
        <v>58.1</v>
      </c>
      <c r="H109" s="5">
        <f t="shared" si="3"/>
        <v>23.427466209771129</v>
      </c>
      <c r="I109" s="13">
        <v>1</v>
      </c>
      <c r="J109" s="13">
        <v>3</v>
      </c>
      <c r="K109" s="13">
        <v>1</v>
      </c>
      <c r="L109" s="13">
        <v>0</v>
      </c>
      <c r="M109" s="13">
        <v>107</v>
      </c>
      <c r="N109" s="13">
        <v>0</v>
      </c>
      <c r="O109" s="13">
        <v>112</v>
      </c>
      <c r="P109" s="13">
        <v>0</v>
      </c>
      <c r="Q109" s="13">
        <v>18</v>
      </c>
      <c r="R109" s="13">
        <v>0</v>
      </c>
      <c r="S109" s="5">
        <v>98.7</v>
      </c>
      <c r="T109" s="13">
        <v>0</v>
      </c>
      <c r="U109" s="13">
        <v>99</v>
      </c>
      <c r="V109" s="13">
        <v>0</v>
      </c>
      <c r="W109" s="13">
        <v>0</v>
      </c>
      <c r="X109" s="13">
        <v>0</v>
      </c>
      <c r="Y109" s="13">
        <v>0</v>
      </c>
      <c r="Z109" s="13">
        <v>1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1</v>
      </c>
      <c r="AP109" s="13">
        <v>0</v>
      </c>
      <c r="AQ109" s="13" t="s">
        <v>48</v>
      </c>
      <c r="AR109" s="13">
        <v>0</v>
      </c>
      <c r="AS109" s="13" t="s">
        <v>48</v>
      </c>
      <c r="AT109" s="13" t="s">
        <v>48</v>
      </c>
      <c r="AU109" s="13" t="s">
        <v>48</v>
      </c>
      <c r="AV109" s="13" t="s">
        <v>48</v>
      </c>
      <c r="AW109" s="13" t="s">
        <v>48</v>
      </c>
      <c r="AX109" s="51">
        <f>3.45/3.35</f>
        <v>1.0298507462686568</v>
      </c>
      <c r="AY109" s="31">
        <v>0</v>
      </c>
      <c r="AZ109" s="31">
        <v>0</v>
      </c>
      <c r="BA109" s="31">
        <v>1</v>
      </c>
      <c r="BB109" s="51">
        <f>2.66/3.12</f>
        <v>0.85256410256410253</v>
      </c>
      <c r="BC109" s="31">
        <v>1</v>
      </c>
      <c r="BD109" s="31">
        <v>0</v>
      </c>
      <c r="BE109" s="31"/>
      <c r="BF109" s="13">
        <v>0</v>
      </c>
      <c r="BG109" s="13" t="s">
        <v>48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 t="s">
        <v>48</v>
      </c>
      <c r="BQ109" s="13" t="s">
        <v>48</v>
      </c>
      <c r="BR109" s="13">
        <v>0</v>
      </c>
      <c r="BS109" s="13" t="s">
        <v>48</v>
      </c>
      <c r="BT109" s="13">
        <v>0</v>
      </c>
      <c r="BU109" s="13">
        <v>0</v>
      </c>
      <c r="BV109" s="61" t="s">
        <v>50</v>
      </c>
      <c r="BW109" s="99">
        <v>1</v>
      </c>
      <c r="BX109" s="13">
        <v>0</v>
      </c>
      <c r="BY109" s="13">
        <v>1</v>
      </c>
      <c r="BZ109" s="13">
        <v>0</v>
      </c>
      <c r="CA109" s="13">
        <v>0</v>
      </c>
      <c r="CB109" s="34" t="s">
        <v>60</v>
      </c>
    </row>
    <row r="110" spans="1:80" s="53" customFormat="1" ht="18.75" x14ac:dyDescent="0.3">
      <c r="A110" s="1">
        <v>109</v>
      </c>
      <c r="B110" s="60">
        <v>65</v>
      </c>
      <c r="C110" s="13" t="s">
        <v>46</v>
      </c>
      <c r="D110" s="50" t="s">
        <v>53</v>
      </c>
      <c r="E110" s="13" t="s">
        <v>83</v>
      </c>
      <c r="F110" s="5">
        <f>'[2]Removed Saddle Values'!G110*2.54</f>
        <v>185.42000000000002</v>
      </c>
      <c r="G110" s="5">
        <v>136.1</v>
      </c>
      <c r="H110" s="5">
        <f t="shared" si="3"/>
        <v>39.586305481486917</v>
      </c>
      <c r="I110" s="13">
        <v>0</v>
      </c>
      <c r="J110" s="13">
        <v>2</v>
      </c>
      <c r="K110" s="13">
        <v>1</v>
      </c>
      <c r="L110" s="13">
        <v>0</v>
      </c>
      <c r="M110" s="13">
        <v>99</v>
      </c>
      <c r="N110" s="13">
        <v>0</v>
      </c>
      <c r="O110" s="13">
        <v>140</v>
      </c>
      <c r="P110" s="13">
        <v>0</v>
      </c>
      <c r="Q110" s="13">
        <v>20</v>
      </c>
      <c r="R110" s="13">
        <v>0</v>
      </c>
      <c r="S110" s="5">
        <v>99.7</v>
      </c>
      <c r="T110" s="13">
        <v>0</v>
      </c>
      <c r="U110" s="13">
        <v>97</v>
      </c>
      <c r="V110" s="13">
        <v>1</v>
      </c>
      <c r="W110" s="13">
        <v>0</v>
      </c>
      <c r="X110" s="13">
        <v>0</v>
      </c>
      <c r="Y110" s="13">
        <v>1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1</v>
      </c>
      <c r="AL110" s="13">
        <v>0</v>
      </c>
      <c r="AM110" s="13">
        <v>0</v>
      </c>
      <c r="AN110" s="13">
        <v>0</v>
      </c>
      <c r="AO110" s="13">
        <v>3</v>
      </c>
      <c r="AP110" s="13" t="s">
        <v>48</v>
      </c>
      <c r="AQ110" s="13" t="s">
        <v>48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24</v>
      </c>
      <c r="AX110" s="51">
        <f>4.22/5.26</f>
        <v>0.80228136882129275</v>
      </c>
      <c r="AY110" s="31">
        <v>0</v>
      </c>
      <c r="AZ110" s="31">
        <v>0</v>
      </c>
      <c r="BA110" s="31">
        <v>0</v>
      </c>
      <c r="BB110" s="51">
        <f>3.01/3.66</f>
        <v>0.82240437158469937</v>
      </c>
      <c r="BC110" s="31">
        <v>1</v>
      </c>
      <c r="BD110" s="31">
        <v>0</v>
      </c>
      <c r="BE110" s="31"/>
      <c r="BF110" s="13">
        <v>0</v>
      </c>
      <c r="BG110" s="13" t="s">
        <v>48</v>
      </c>
      <c r="BH110" s="13">
        <v>1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 t="s">
        <v>48</v>
      </c>
      <c r="BQ110" s="13" t="s">
        <v>48</v>
      </c>
      <c r="BR110" s="13">
        <v>0</v>
      </c>
      <c r="BS110" s="13" t="s">
        <v>48</v>
      </c>
      <c r="BT110" s="13">
        <v>0</v>
      </c>
      <c r="BU110" s="13">
        <v>0</v>
      </c>
      <c r="BV110" s="61" t="s">
        <v>50</v>
      </c>
      <c r="BW110" s="99">
        <v>0</v>
      </c>
      <c r="BX110" s="13">
        <v>0</v>
      </c>
      <c r="BY110" s="13">
        <v>0</v>
      </c>
      <c r="BZ110" s="13">
        <v>0</v>
      </c>
      <c r="CA110" s="13">
        <v>0</v>
      </c>
      <c r="CB110" s="34" t="s">
        <v>55</v>
      </c>
    </row>
    <row r="111" spans="1:80" s="53" customFormat="1" ht="18.75" x14ac:dyDescent="0.3">
      <c r="A111" s="1">
        <v>110</v>
      </c>
      <c r="B111" s="60">
        <v>59</v>
      </c>
      <c r="C111" s="13" t="s">
        <v>52</v>
      </c>
      <c r="D111" s="50" t="s">
        <v>47</v>
      </c>
      <c r="E111" s="13" t="s">
        <v>83</v>
      </c>
      <c r="F111" s="5">
        <f>'[2]Removed Saddle Values'!G111*2.54</f>
        <v>162.56</v>
      </c>
      <c r="G111" s="5">
        <v>68</v>
      </c>
      <c r="H111" s="5">
        <f t="shared" si="3"/>
        <v>25.732473339946679</v>
      </c>
      <c r="I111" s="13">
        <v>1</v>
      </c>
      <c r="J111" s="13">
        <v>2</v>
      </c>
      <c r="K111" s="13">
        <v>2</v>
      </c>
      <c r="L111" s="13">
        <v>1</v>
      </c>
      <c r="M111" s="13">
        <v>113</v>
      </c>
      <c r="N111" s="13">
        <v>0</v>
      </c>
      <c r="O111" s="13">
        <v>183</v>
      </c>
      <c r="P111" s="13">
        <v>0</v>
      </c>
      <c r="Q111" s="13">
        <v>22</v>
      </c>
      <c r="R111" s="13">
        <v>0</v>
      </c>
      <c r="S111" s="5">
        <v>97.3</v>
      </c>
      <c r="T111" s="13">
        <v>0</v>
      </c>
      <c r="U111" s="13">
        <v>96</v>
      </c>
      <c r="V111" s="13">
        <v>1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1</v>
      </c>
      <c r="AD111" s="13">
        <v>0</v>
      </c>
      <c r="AE111" s="13">
        <v>0</v>
      </c>
      <c r="AF111" s="13">
        <v>0</v>
      </c>
      <c r="AG111" s="13">
        <v>1</v>
      </c>
      <c r="AH111" s="13">
        <v>0</v>
      </c>
      <c r="AI111" s="13">
        <v>1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3</v>
      </c>
      <c r="AP111" s="13" t="s">
        <v>48</v>
      </c>
      <c r="AQ111" s="13">
        <v>1</v>
      </c>
      <c r="AR111" s="13">
        <v>1</v>
      </c>
      <c r="AS111" s="13">
        <v>1</v>
      </c>
      <c r="AT111" s="13">
        <v>1</v>
      </c>
      <c r="AU111" s="13">
        <v>1</v>
      </c>
      <c r="AV111" s="13">
        <v>0</v>
      </c>
      <c r="AW111" s="13" t="s">
        <v>192</v>
      </c>
      <c r="AX111" s="51">
        <f>3.99/3.23</f>
        <v>1.2352941176470589</v>
      </c>
      <c r="AY111" s="31">
        <v>0</v>
      </c>
      <c r="AZ111" s="31">
        <v>0</v>
      </c>
      <c r="BA111" s="31">
        <v>1</v>
      </c>
      <c r="BB111" s="51">
        <f>2.24/2.76</f>
        <v>0.81159420289855089</v>
      </c>
      <c r="BC111" s="31">
        <v>6</v>
      </c>
      <c r="BD111" s="31">
        <v>1</v>
      </c>
      <c r="BE111" s="31"/>
      <c r="BF111" s="13">
        <v>0</v>
      </c>
      <c r="BG111" s="13" t="s">
        <v>48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 t="s">
        <v>48</v>
      </c>
      <c r="BQ111" s="13" t="s">
        <v>48</v>
      </c>
      <c r="BR111" s="13">
        <v>0</v>
      </c>
      <c r="BS111" s="13" t="s">
        <v>48</v>
      </c>
      <c r="BT111" s="13">
        <v>0</v>
      </c>
      <c r="BU111" s="13">
        <v>0</v>
      </c>
      <c r="BV111" s="61" t="s">
        <v>50</v>
      </c>
      <c r="BW111" s="99">
        <v>0</v>
      </c>
      <c r="BX111" s="13">
        <v>1</v>
      </c>
      <c r="BY111" s="13">
        <v>1</v>
      </c>
      <c r="BZ111" s="13">
        <v>0</v>
      </c>
      <c r="CA111" s="13">
        <v>0</v>
      </c>
      <c r="CB111" s="34" t="s">
        <v>56</v>
      </c>
    </row>
    <row r="112" spans="1:80" s="53" customFormat="1" ht="18.75" x14ac:dyDescent="0.3">
      <c r="A112" s="1">
        <v>111</v>
      </c>
      <c r="B112" s="60">
        <v>49</v>
      </c>
      <c r="C112" s="13" t="s">
        <v>52</v>
      </c>
      <c r="D112" s="50" t="s">
        <v>47</v>
      </c>
      <c r="E112" s="13" t="s">
        <v>132</v>
      </c>
      <c r="F112" s="5">
        <f>'[2]Removed Saddle Values'!G112*2.54</f>
        <v>165.1</v>
      </c>
      <c r="G112" s="5">
        <v>63.5</v>
      </c>
      <c r="H112" s="5">
        <f t="shared" si="3"/>
        <v>23.295904579974838</v>
      </c>
      <c r="I112" s="13">
        <v>1</v>
      </c>
      <c r="J112" s="13">
        <v>2</v>
      </c>
      <c r="K112" s="13">
        <v>3</v>
      </c>
      <c r="L112" s="13">
        <v>1</v>
      </c>
      <c r="M112" s="13">
        <v>110</v>
      </c>
      <c r="N112" s="13">
        <v>0</v>
      </c>
      <c r="O112" s="13">
        <v>139</v>
      </c>
      <c r="P112" s="13">
        <v>0</v>
      </c>
      <c r="Q112" s="13">
        <v>20</v>
      </c>
      <c r="R112" s="13">
        <v>0</v>
      </c>
      <c r="S112" s="5">
        <v>98</v>
      </c>
      <c r="T112" s="13">
        <v>0</v>
      </c>
      <c r="U112" s="13">
        <v>97</v>
      </c>
      <c r="V112" s="13">
        <v>1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1</v>
      </c>
      <c r="AO112" s="13">
        <v>0</v>
      </c>
      <c r="AP112" s="13" t="s">
        <v>48</v>
      </c>
      <c r="AQ112" s="13" t="s">
        <v>48</v>
      </c>
      <c r="AR112" s="13">
        <v>0</v>
      </c>
      <c r="AS112" s="13" t="s">
        <v>48</v>
      </c>
      <c r="AT112" s="13" t="s">
        <v>48</v>
      </c>
      <c r="AU112" s="13" t="s">
        <v>48</v>
      </c>
      <c r="AV112" s="13" t="s">
        <v>48</v>
      </c>
      <c r="AW112" s="13" t="s">
        <v>48</v>
      </c>
      <c r="AX112" s="51">
        <f>4.47/3.35</f>
        <v>1.3343283582089551</v>
      </c>
      <c r="AY112" s="31">
        <v>0</v>
      </c>
      <c r="AZ112" s="31">
        <v>0</v>
      </c>
      <c r="BA112" s="31">
        <v>1</v>
      </c>
      <c r="BB112" s="51">
        <f>2.71/2.9</f>
        <v>0.93448275862068964</v>
      </c>
      <c r="BC112" s="31">
        <v>4</v>
      </c>
      <c r="BD112" s="31">
        <v>1</v>
      </c>
      <c r="BE112" s="31"/>
      <c r="BF112" s="13">
        <v>0</v>
      </c>
      <c r="BG112" s="13" t="s">
        <v>48</v>
      </c>
      <c r="BH112" s="13">
        <v>1</v>
      </c>
      <c r="BI112" s="13">
        <v>0</v>
      </c>
      <c r="BJ112" s="13">
        <v>0</v>
      </c>
      <c r="BK112" s="13">
        <v>1</v>
      </c>
      <c r="BL112" s="13">
        <v>0</v>
      </c>
      <c r="BM112" s="13">
        <v>0</v>
      </c>
      <c r="BN112" s="13">
        <v>0</v>
      </c>
      <c r="BO112" s="13">
        <v>0</v>
      </c>
      <c r="BP112" s="13" t="s">
        <v>48</v>
      </c>
      <c r="BQ112" s="13" t="s">
        <v>48</v>
      </c>
      <c r="BR112" s="13">
        <v>0</v>
      </c>
      <c r="BS112" s="13" t="s">
        <v>48</v>
      </c>
      <c r="BT112" s="13">
        <v>0</v>
      </c>
      <c r="BU112" s="13">
        <v>0</v>
      </c>
      <c r="BV112" s="61" t="s">
        <v>50</v>
      </c>
      <c r="BW112" s="99">
        <v>0</v>
      </c>
      <c r="BX112" s="13">
        <v>0</v>
      </c>
      <c r="BY112" s="13">
        <v>1</v>
      </c>
      <c r="BZ112" s="13">
        <v>0</v>
      </c>
      <c r="CA112" s="13">
        <v>0</v>
      </c>
      <c r="CB112" s="34" t="s">
        <v>54</v>
      </c>
    </row>
    <row r="113" spans="1:81" s="53" customFormat="1" ht="18.75" x14ac:dyDescent="0.3">
      <c r="A113" s="1">
        <v>112</v>
      </c>
      <c r="B113" s="60">
        <v>45</v>
      </c>
      <c r="C113" s="13" t="s">
        <v>52</v>
      </c>
      <c r="D113" s="50" t="s">
        <v>53</v>
      </c>
      <c r="E113" s="13" t="s">
        <v>74</v>
      </c>
      <c r="F113" s="5">
        <f>'[2]Removed Saddle Values'!G113*2.54</f>
        <v>170.18</v>
      </c>
      <c r="G113" s="5">
        <v>158.80000000000001</v>
      </c>
      <c r="H113" s="5">
        <f t="shared" si="3"/>
        <v>54.831920757626328</v>
      </c>
      <c r="I113" s="13">
        <v>1</v>
      </c>
      <c r="J113" s="13">
        <v>2</v>
      </c>
      <c r="K113" s="13">
        <v>1</v>
      </c>
      <c r="L113" s="13">
        <v>1</v>
      </c>
      <c r="M113" s="13">
        <v>110</v>
      </c>
      <c r="N113" s="13">
        <v>0</v>
      </c>
      <c r="O113" s="13">
        <v>120</v>
      </c>
      <c r="P113" s="13">
        <v>0</v>
      </c>
      <c r="Q113" s="13">
        <v>20</v>
      </c>
      <c r="R113" s="13">
        <v>0</v>
      </c>
      <c r="S113" s="5">
        <v>98.4</v>
      </c>
      <c r="T113" s="13">
        <v>0</v>
      </c>
      <c r="U113" s="13">
        <v>98</v>
      </c>
      <c r="V113" s="13">
        <v>1</v>
      </c>
      <c r="W113" s="13">
        <v>0</v>
      </c>
      <c r="X113" s="13">
        <v>1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1</v>
      </c>
      <c r="AP113" s="13">
        <v>1</v>
      </c>
      <c r="AQ113" s="13" t="s">
        <v>48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23.5</v>
      </c>
      <c r="AX113" s="51">
        <f>4.84/3.6</f>
        <v>1.3444444444444443</v>
      </c>
      <c r="AY113" s="31">
        <v>0</v>
      </c>
      <c r="AZ113" s="31">
        <v>0</v>
      </c>
      <c r="BA113" s="31">
        <v>1</v>
      </c>
      <c r="BB113" s="51">
        <f>2.96/3.78</f>
        <v>0.78306878306878314</v>
      </c>
      <c r="BC113" s="31">
        <v>2</v>
      </c>
      <c r="BD113" s="31">
        <v>1</v>
      </c>
      <c r="BE113" s="31"/>
      <c r="BF113" s="13">
        <v>0</v>
      </c>
      <c r="BG113" s="13" t="s">
        <v>48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 t="s">
        <v>48</v>
      </c>
      <c r="BQ113" s="13" t="s">
        <v>48</v>
      </c>
      <c r="BR113" s="13">
        <v>0</v>
      </c>
      <c r="BS113" s="13" t="s">
        <v>48</v>
      </c>
      <c r="BT113" s="13">
        <v>0</v>
      </c>
      <c r="BU113" s="13">
        <v>0</v>
      </c>
      <c r="BV113" s="61" t="s">
        <v>57</v>
      </c>
      <c r="BW113" s="99" t="s">
        <v>57</v>
      </c>
      <c r="BX113" s="13">
        <v>0</v>
      </c>
      <c r="BY113" s="13">
        <v>1</v>
      </c>
      <c r="BZ113" s="13">
        <v>0</v>
      </c>
      <c r="CA113" s="13">
        <v>0</v>
      </c>
      <c r="CB113" s="34" t="s">
        <v>54</v>
      </c>
    </row>
    <row r="114" spans="1:81" s="53" customFormat="1" ht="18.75" x14ac:dyDescent="0.3">
      <c r="A114" s="13">
        <v>113</v>
      </c>
      <c r="B114" s="60">
        <v>63</v>
      </c>
      <c r="C114" s="13" t="s">
        <v>46</v>
      </c>
      <c r="D114" s="50" t="s">
        <v>47</v>
      </c>
      <c r="E114" s="13" t="s">
        <v>98</v>
      </c>
      <c r="F114" s="5">
        <f>'[2]Removed Saddle Values'!G114*2.54</f>
        <v>180.34</v>
      </c>
      <c r="G114" s="5">
        <v>102.1</v>
      </c>
      <c r="H114" s="5">
        <f t="shared" si="3"/>
        <v>31.393635491099584</v>
      </c>
      <c r="I114" s="13">
        <v>1</v>
      </c>
      <c r="J114" s="13">
        <v>4</v>
      </c>
      <c r="K114" s="94">
        <v>2</v>
      </c>
      <c r="L114" s="13">
        <v>1</v>
      </c>
      <c r="M114" s="13">
        <v>127</v>
      </c>
      <c r="N114" s="13">
        <v>1</v>
      </c>
      <c r="O114" s="13">
        <v>76</v>
      </c>
      <c r="P114" s="13">
        <v>0</v>
      </c>
      <c r="Q114" s="13">
        <v>28</v>
      </c>
      <c r="R114" s="13">
        <v>0</v>
      </c>
      <c r="S114" s="5">
        <v>96.8</v>
      </c>
      <c r="T114" s="13">
        <v>1</v>
      </c>
      <c r="U114" s="13" t="s">
        <v>48</v>
      </c>
      <c r="V114" s="13">
        <v>1</v>
      </c>
      <c r="W114" s="13">
        <v>1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1</v>
      </c>
      <c r="AH114" s="13">
        <v>0</v>
      </c>
      <c r="AI114" s="13">
        <v>0</v>
      </c>
      <c r="AJ114" s="13">
        <v>0</v>
      </c>
      <c r="AK114" s="13">
        <v>0</v>
      </c>
      <c r="AL114" s="13">
        <v>1</v>
      </c>
      <c r="AM114" s="13">
        <v>0</v>
      </c>
      <c r="AN114" s="13">
        <v>0</v>
      </c>
      <c r="AO114" s="13">
        <v>1</v>
      </c>
      <c r="AP114" s="13">
        <v>0</v>
      </c>
      <c r="AQ114" s="13" t="s">
        <v>48</v>
      </c>
      <c r="AR114" s="13">
        <v>1</v>
      </c>
      <c r="AS114" s="13">
        <v>1</v>
      </c>
      <c r="AT114" s="13">
        <v>0</v>
      </c>
      <c r="AU114" s="13">
        <v>0</v>
      </c>
      <c r="AV114" s="13">
        <v>0</v>
      </c>
      <c r="AW114" s="13">
        <v>49</v>
      </c>
      <c r="AX114" s="51">
        <f>4.33/3.11</f>
        <v>1.392282958199357</v>
      </c>
      <c r="AY114" s="31">
        <v>0</v>
      </c>
      <c r="AZ114" s="31">
        <v>0</v>
      </c>
      <c r="BA114" s="31">
        <v>1</v>
      </c>
      <c r="BB114" s="51">
        <f>2.79/3.07</f>
        <v>0.90879478827361571</v>
      </c>
      <c r="BC114" s="31">
        <v>5</v>
      </c>
      <c r="BD114" s="31">
        <v>1</v>
      </c>
      <c r="BE114" s="31"/>
      <c r="BF114" s="13">
        <v>1</v>
      </c>
      <c r="BG114" s="13" t="s">
        <v>152</v>
      </c>
      <c r="BH114" s="13">
        <v>1</v>
      </c>
      <c r="BI114" s="13">
        <v>1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 t="s">
        <v>48</v>
      </c>
      <c r="BQ114" s="13" t="s">
        <v>48</v>
      </c>
      <c r="BR114" s="13">
        <v>0</v>
      </c>
      <c r="BS114" s="13" t="s">
        <v>48</v>
      </c>
      <c r="BT114" s="13">
        <v>0</v>
      </c>
      <c r="BU114" s="13">
        <v>0</v>
      </c>
      <c r="BV114" s="61" t="s">
        <v>57</v>
      </c>
      <c r="BW114" s="99" t="s">
        <v>57</v>
      </c>
      <c r="BX114" s="13">
        <v>0</v>
      </c>
      <c r="BY114" s="13">
        <v>1</v>
      </c>
      <c r="BZ114" s="13">
        <v>0</v>
      </c>
      <c r="CA114" s="13">
        <v>0</v>
      </c>
      <c r="CB114" s="34" t="s">
        <v>165</v>
      </c>
    </row>
    <row r="115" spans="1:81" s="53" customFormat="1" ht="18.75" x14ac:dyDescent="0.3">
      <c r="A115" s="1">
        <v>114</v>
      </c>
      <c r="B115" s="60">
        <v>77</v>
      </c>
      <c r="C115" s="13" t="s">
        <v>52</v>
      </c>
      <c r="D115" s="50" t="s">
        <v>53</v>
      </c>
      <c r="E115" s="13" t="s">
        <v>100</v>
      </c>
      <c r="F115" s="5">
        <f>'[2]Removed Saddle Values'!G115*2.54</f>
        <v>172.72</v>
      </c>
      <c r="G115" s="5">
        <v>83.9</v>
      </c>
      <c r="H115" s="5">
        <f t="shared" si="3"/>
        <v>28.123974933070972</v>
      </c>
      <c r="I115" s="13">
        <v>1</v>
      </c>
      <c r="J115" s="13">
        <v>5</v>
      </c>
      <c r="K115" s="13">
        <v>3</v>
      </c>
      <c r="L115" s="13">
        <v>1</v>
      </c>
      <c r="M115" s="13">
        <v>134</v>
      </c>
      <c r="N115" s="13">
        <v>0</v>
      </c>
      <c r="O115" s="13">
        <v>94</v>
      </c>
      <c r="P115" s="13">
        <v>0</v>
      </c>
      <c r="Q115" s="13">
        <v>14</v>
      </c>
      <c r="R115" s="13">
        <v>0</v>
      </c>
      <c r="S115" s="5">
        <v>97.9</v>
      </c>
      <c r="T115" s="13">
        <v>0</v>
      </c>
      <c r="U115" s="13">
        <v>98</v>
      </c>
      <c r="V115" s="13">
        <v>1</v>
      </c>
      <c r="W115" s="13">
        <v>0</v>
      </c>
      <c r="X115" s="13">
        <v>1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1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 t="s">
        <v>48</v>
      </c>
      <c r="AQ115" s="13" t="s">
        <v>48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 t="s">
        <v>192</v>
      </c>
      <c r="AX115" s="51">
        <f>4.58/3.55</f>
        <v>1.2901408450704226</v>
      </c>
      <c r="AY115" s="31">
        <v>0</v>
      </c>
      <c r="AZ115" s="31">
        <v>0</v>
      </c>
      <c r="BA115" s="31">
        <v>1</v>
      </c>
      <c r="BB115" s="51">
        <f>3.18/3.58</f>
        <v>0.88826815642458101</v>
      </c>
      <c r="BC115" s="31">
        <v>6</v>
      </c>
      <c r="BD115" s="31">
        <v>1</v>
      </c>
      <c r="BE115" s="31"/>
      <c r="BF115" s="13">
        <v>1</v>
      </c>
      <c r="BG115" s="13" t="s">
        <v>166</v>
      </c>
      <c r="BH115" s="13">
        <v>1</v>
      </c>
      <c r="BI115" s="13">
        <v>0</v>
      </c>
      <c r="BJ115" s="13">
        <v>0</v>
      </c>
      <c r="BK115" s="13">
        <v>0</v>
      </c>
      <c r="BL115" s="13">
        <v>1</v>
      </c>
      <c r="BM115" s="13">
        <v>0</v>
      </c>
      <c r="BN115" s="13">
        <v>0</v>
      </c>
      <c r="BO115" s="13">
        <v>0</v>
      </c>
      <c r="BP115" s="13" t="s">
        <v>48</v>
      </c>
      <c r="BQ115" s="13" t="s">
        <v>48</v>
      </c>
      <c r="BR115" s="13">
        <v>0</v>
      </c>
      <c r="BS115" s="13" t="s">
        <v>48</v>
      </c>
      <c r="BT115" s="13">
        <v>0</v>
      </c>
      <c r="BU115" s="13">
        <v>0</v>
      </c>
      <c r="BV115" s="61" t="s">
        <v>50</v>
      </c>
      <c r="BW115" s="99">
        <v>0</v>
      </c>
      <c r="BX115" s="13">
        <v>0</v>
      </c>
      <c r="BY115" s="13">
        <v>1</v>
      </c>
      <c r="BZ115" s="13">
        <v>0</v>
      </c>
      <c r="CA115" s="13">
        <v>0</v>
      </c>
      <c r="CB115" s="34" t="s">
        <v>54</v>
      </c>
    </row>
    <row r="116" spans="1:81" s="53" customFormat="1" ht="18.75" x14ac:dyDescent="0.3">
      <c r="A116" s="1">
        <v>115</v>
      </c>
      <c r="B116" s="60">
        <v>36</v>
      </c>
      <c r="C116" s="13" t="s">
        <v>46</v>
      </c>
      <c r="D116" s="50" t="s">
        <v>53</v>
      </c>
      <c r="E116" s="13" t="s">
        <v>146</v>
      </c>
      <c r="F116" s="5">
        <f>'[2]Removed Saddle Values'!G116*2.54</f>
        <v>182.88</v>
      </c>
      <c r="G116" s="5">
        <v>134</v>
      </c>
      <c r="H116" s="5">
        <f t="shared" si="3"/>
        <v>40.065666551086188</v>
      </c>
      <c r="I116" s="13">
        <v>1</v>
      </c>
      <c r="J116" s="13">
        <v>4</v>
      </c>
      <c r="K116" s="94">
        <v>3</v>
      </c>
      <c r="L116" s="13">
        <v>1</v>
      </c>
      <c r="M116" s="13">
        <v>118</v>
      </c>
      <c r="N116" s="13">
        <v>1</v>
      </c>
      <c r="O116" s="13">
        <v>86</v>
      </c>
      <c r="P116" s="13">
        <v>1</v>
      </c>
      <c r="Q116" s="13">
        <v>36</v>
      </c>
      <c r="R116" s="13">
        <v>0</v>
      </c>
      <c r="S116" s="5">
        <v>97.4</v>
      </c>
      <c r="T116" s="13">
        <v>0</v>
      </c>
      <c r="U116" s="13">
        <v>90</v>
      </c>
      <c r="V116" s="13">
        <v>1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1</v>
      </c>
      <c r="AL116" s="13">
        <v>0</v>
      </c>
      <c r="AM116" s="13">
        <v>0</v>
      </c>
      <c r="AN116" s="13">
        <v>0</v>
      </c>
      <c r="AO116" s="13">
        <v>1</v>
      </c>
      <c r="AP116" s="13">
        <v>1</v>
      </c>
      <c r="AQ116" s="13">
        <v>1</v>
      </c>
      <c r="AR116" s="13">
        <v>0</v>
      </c>
      <c r="AS116" s="13">
        <v>1</v>
      </c>
      <c r="AT116" s="13">
        <v>1</v>
      </c>
      <c r="AU116" s="13">
        <v>1</v>
      </c>
      <c r="AV116" s="13">
        <v>0</v>
      </c>
      <c r="AW116" s="13">
        <v>59</v>
      </c>
      <c r="AX116" s="51">
        <f>5.47/3.96</f>
        <v>1.3813131313131313</v>
      </c>
      <c r="AY116" s="31">
        <v>0</v>
      </c>
      <c r="AZ116" s="31">
        <v>0</v>
      </c>
      <c r="BA116" s="31">
        <v>1</v>
      </c>
      <c r="BB116" s="51">
        <f>3.28/3.02</f>
        <v>1.0860927152317881</v>
      </c>
      <c r="BC116" s="31">
        <v>4</v>
      </c>
      <c r="BD116" s="31">
        <v>1</v>
      </c>
      <c r="BE116" s="31"/>
      <c r="BF116" s="13">
        <v>0</v>
      </c>
      <c r="BG116" s="13" t="s">
        <v>48</v>
      </c>
      <c r="BH116" s="13">
        <v>1</v>
      </c>
      <c r="BI116" s="13">
        <v>1</v>
      </c>
      <c r="BJ116" s="13">
        <v>0</v>
      </c>
      <c r="BK116" s="13">
        <v>1</v>
      </c>
      <c r="BL116" s="13">
        <v>0</v>
      </c>
      <c r="BM116" s="13">
        <v>1</v>
      </c>
      <c r="BN116" s="13">
        <v>1</v>
      </c>
      <c r="BO116" s="13">
        <v>0</v>
      </c>
      <c r="BP116" s="13">
        <v>1</v>
      </c>
      <c r="BQ116" s="13">
        <v>1</v>
      </c>
      <c r="BR116" s="13">
        <v>0</v>
      </c>
      <c r="BS116" s="13" t="s">
        <v>48</v>
      </c>
      <c r="BT116" s="13">
        <v>0</v>
      </c>
      <c r="BU116" s="13">
        <v>1</v>
      </c>
      <c r="BV116" s="61" t="s">
        <v>50</v>
      </c>
      <c r="BW116" s="99">
        <v>0</v>
      </c>
      <c r="BX116" s="13">
        <v>0</v>
      </c>
      <c r="BY116" s="13">
        <v>1</v>
      </c>
      <c r="BZ116" s="13">
        <v>0</v>
      </c>
      <c r="CA116" s="13">
        <v>0</v>
      </c>
      <c r="CB116" s="34" t="s">
        <v>55</v>
      </c>
      <c r="CC116" s="18"/>
    </row>
    <row r="117" spans="1:81" s="53" customFormat="1" ht="18.75" x14ac:dyDescent="0.3">
      <c r="A117" s="1">
        <v>116</v>
      </c>
      <c r="B117" s="60">
        <v>73</v>
      </c>
      <c r="C117" s="13" t="s">
        <v>52</v>
      </c>
      <c r="D117" s="50" t="s">
        <v>47</v>
      </c>
      <c r="E117" s="13" t="s">
        <v>109</v>
      </c>
      <c r="F117" s="5">
        <f>'[2]Removed Saddle Values'!G117*2.54</f>
        <v>160.02000000000001</v>
      </c>
      <c r="G117" s="5">
        <v>84.4</v>
      </c>
      <c r="H117" s="5">
        <f t="shared" si="3"/>
        <v>32.960509357652633</v>
      </c>
      <c r="I117" s="13">
        <v>1</v>
      </c>
      <c r="J117" s="13">
        <v>3</v>
      </c>
      <c r="K117" s="13">
        <v>2</v>
      </c>
      <c r="L117" s="13">
        <v>1</v>
      </c>
      <c r="M117" s="13">
        <v>128</v>
      </c>
      <c r="N117" s="13">
        <v>0</v>
      </c>
      <c r="O117" s="13">
        <v>118</v>
      </c>
      <c r="P117" s="13">
        <v>0</v>
      </c>
      <c r="Q117" s="13">
        <v>20</v>
      </c>
      <c r="R117" s="13">
        <v>0</v>
      </c>
      <c r="S117" s="5">
        <v>97.4</v>
      </c>
      <c r="T117" s="13">
        <v>0</v>
      </c>
      <c r="U117" s="13">
        <v>90</v>
      </c>
      <c r="V117" s="13">
        <v>1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1</v>
      </c>
      <c r="AP117" s="13">
        <v>1</v>
      </c>
      <c r="AQ117" s="13">
        <v>1</v>
      </c>
      <c r="AR117" s="13">
        <v>1</v>
      </c>
      <c r="AS117" s="13">
        <v>0</v>
      </c>
      <c r="AT117" s="13">
        <v>0</v>
      </c>
      <c r="AU117" s="13">
        <v>0</v>
      </c>
      <c r="AV117" s="13">
        <v>0</v>
      </c>
      <c r="AW117" s="13">
        <v>12.4</v>
      </c>
      <c r="AX117" s="51">
        <f>4.04/3.83</f>
        <v>1.0548302872062663</v>
      </c>
      <c r="AY117" s="31">
        <v>0</v>
      </c>
      <c r="AZ117" s="31">
        <v>0</v>
      </c>
      <c r="BA117" s="31">
        <v>1</v>
      </c>
      <c r="BB117" s="51">
        <f>3.32/3.11</f>
        <v>1.067524115755627</v>
      </c>
      <c r="BC117" s="31">
        <v>2</v>
      </c>
      <c r="BD117" s="31">
        <v>1</v>
      </c>
      <c r="BE117" s="31"/>
      <c r="BF117" s="13">
        <v>0</v>
      </c>
      <c r="BG117" s="13" t="s">
        <v>48</v>
      </c>
      <c r="BH117" s="13">
        <v>1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1</v>
      </c>
      <c r="BP117" s="13">
        <v>0</v>
      </c>
      <c r="BQ117" s="13">
        <v>1</v>
      </c>
      <c r="BR117" s="13">
        <v>1</v>
      </c>
      <c r="BS117" s="13" t="s">
        <v>106</v>
      </c>
      <c r="BT117" s="13">
        <v>0</v>
      </c>
      <c r="BU117" s="13">
        <v>0</v>
      </c>
      <c r="BV117" s="61" t="s">
        <v>50</v>
      </c>
      <c r="BW117" s="99">
        <v>0</v>
      </c>
      <c r="BX117" s="13">
        <v>0</v>
      </c>
      <c r="BY117" s="13">
        <v>0</v>
      </c>
      <c r="BZ117" s="13">
        <v>0</v>
      </c>
      <c r="CA117" s="13">
        <v>0</v>
      </c>
      <c r="CB117" s="34" t="s">
        <v>54</v>
      </c>
    </row>
    <row r="118" spans="1:81" s="53" customFormat="1" ht="18.75" x14ac:dyDescent="0.3">
      <c r="A118" s="1">
        <v>117</v>
      </c>
      <c r="B118" s="60">
        <v>71</v>
      </c>
      <c r="C118" s="13" t="s">
        <v>52</v>
      </c>
      <c r="D118" s="50" t="s">
        <v>53</v>
      </c>
      <c r="E118" s="13" t="s">
        <v>161</v>
      </c>
      <c r="F118" s="5">
        <f>'[2]Removed Saddle Values'!G118*2.54</f>
        <v>167.64000000000001</v>
      </c>
      <c r="G118" s="5">
        <v>115.7</v>
      </c>
      <c r="H118" s="5">
        <f t="shared" si="3"/>
        <v>41.169733395481479</v>
      </c>
      <c r="I118" s="13">
        <v>1</v>
      </c>
      <c r="J118" s="13">
        <v>4</v>
      </c>
      <c r="K118" s="13">
        <v>3</v>
      </c>
      <c r="L118" s="13">
        <v>1</v>
      </c>
      <c r="M118" s="13">
        <v>143</v>
      </c>
      <c r="N118" s="13">
        <v>0</v>
      </c>
      <c r="O118" s="13">
        <v>108</v>
      </c>
      <c r="P118" s="13">
        <v>0</v>
      </c>
      <c r="Q118" s="13">
        <v>26</v>
      </c>
      <c r="R118" s="13">
        <v>0</v>
      </c>
      <c r="S118" s="5">
        <v>97.5</v>
      </c>
      <c r="T118" s="13">
        <v>1</v>
      </c>
      <c r="U118" s="13" t="s">
        <v>48</v>
      </c>
      <c r="V118" s="13">
        <v>1</v>
      </c>
      <c r="W118" s="13">
        <v>0</v>
      </c>
      <c r="X118" s="13">
        <v>0</v>
      </c>
      <c r="Y118" s="13">
        <v>0</v>
      </c>
      <c r="Z118" s="13">
        <v>1</v>
      </c>
      <c r="AA118" s="13">
        <v>0</v>
      </c>
      <c r="AB118" s="13">
        <v>0</v>
      </c>
      <c r="AC118" s="13">
        <v>0</v>
      </c>
      <c r="AD118" s="13">
        <v>0</v>
      </c>
      <c r="AE118" s="13">
        <v>1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 t="s">
        <v>48</v>
      </c>
      <c r="AP118" s="13" t="s">
        <v>48</v>
      </c>
      <c r="AQ118" s="13">
        <v>1</v>
      </c>
      <c r="AR118" s="13">
        <v>1</v>
      </c>
      <c r="AS118" s="13">
        <v>1</v>
      </c>
      <c r="AT118" s="13">
        <v>1</v>
      </c>
      <c r="AU118" s="13">
        <v>1</v>
      </c>
      <c r="AV118" s="13">
        <v>0</v>
      </c>
      <c r="AW118" s="13">
        <v>46</v>
      </c>
      <c r="AX118" s="51">
        <f>5.11/3.77</f>
        <v>1.3554376657824934</v>
      </c>
      <c r="AY118" s="31">
        <v>0</v>
      </c>
      <c r="AZ118" s="31">
        <v>0</v>
      </c>
      <c r="BA118" s="31">
        <v>1</v>
      </c>
      <c r="BB118" s="51">
        <f>3.36/3.71</f>
        <v>0.90566037735849059</v>
      </c>
      <c r="BC118" s="31">
        <v>5</v>
      </c>
      <c r="BD118" s="31">
        <v>1</v>
      </c>
      <c r="BE118" s="31"/>
      <c r="BF118" s="13">
        <v>0</v>
      </c>
      <c r="BG118" s="13" t="s">
        <v>48</v>
      </c>
      <c r="BH118" s="13">
        <v>1</v>
      </c>
      <c r="BI118" s="13">
        <v>0</v>
      </c>
      <c r="BJ118" s="13">
        <v>0</v>
      </c>
      <c r="BK118" s="13">
        <v>1</v>
      </c>
      <c r="BL118" s="13">
        <v>0</v>
      </c>
      <c r="BM118" s="13">
        <v>1</v>
      </c>
      <c r="BN118" s="13">
        <v>1</v>
      </c>
      <c r="BO118" s="13">
        <v>0</v>
      </c>
      <c r="BP118" s="13">
        <v>1</v>
      </c>
      <c r="BQ118" s="13">
        <v>1</v>
      </c>
      <c r="BR118" s="13">
        <v>1</v>
      </c>
      <c r="BS118" s="67" t="s">
        <v>167</v>
      </c>
      <c r="BT118" s="13">
        <v>1</v>
      </c>
      <c r="BU118" s="13">
        <v>0</v>
      </c>
      <c r="BV118" s="61" t="s">
        <v>50</v>
      </c>
      <c r="BW118" s="99">
        <v>0</v>
      </c>
      <c r="BX118" s="13">
        <v>0</v>
      </c>
      <c r="BY118" s="13">
        <v>0</v>
      </c>
      <c r="BZ118" s="13">
        <v>0</v>
      </c>
      <c r="CA118" s="13">
        <v>0</v>
      </c>
      <c r="CB118" s="34" t="s">
        <v>60</v>
      </c>
      <c r="CC118" s="67"/>
    </row>
    <row r="119" spans="1:81" s="53" customFormat="1" ht="18.75" x14ac:dyDescent="0.3">
      <c r="A119" s="1">
        <v>118</v>
      </c>
      <c r="B119" s="60">
        <v>50</v>
      </c>
      <c r="C119" s="13" t="s">
        <v>52</v>
      </c>
      <c r="D119" s="50" t="s">
        <v>47</v>
      </c>
      <c r="E119" s="13" t="s">
        <v>83</v>
      </c>
      <c r="F119" s="5">
        <f>'[2]Removed Saddle Values'!G119*2.54</f>
        <v>167.64000000000001</v>
      </c>
      <c r="G119" s="5">
        <v>81.099999999999994</v>
      </c>
      <c r="H119" s="5">
        <f t="shared" si="3"/>
        <v>28.857954869261434</v>
      </c>
      <c r="I119" s="13">
        <v>1</v>
      </c>
      <c r="J119" s="13">
        <v>2</v>
      </c>
      <c r="K119" s="13">
        <v>1</v>
      </c>
      <c r="L119" s="13">
        <v>0</v>
      </c>
      <c r="M119" s="13">
        <v>96</v>
      </c>
      <c r="N119" s="13">
        <v>0</v>
      </c>
      <c r="O119" s="13">
        <v>108</v>
      </c>
      <c r="P119" s="13">
        <v>0</v>
      </c>
      <c r="Q119" s="13">
        <v>12</v>
      </c>
      <c r="R119" s="13">
        <v>0</v>
      </c>
      <c r="S119" s="5">
        <v>98.4</v>
      </c>
      <c r="T119" s="13">
        <v>0</v>
      </c>
      <c r="U119" s="13">
        <v>98</v>
      </c>
      <c r="V119" s="13">
        <v>0</v>
      </c>
      <c r="W119" s="13">
        <v>0</v>
      </c>
      <c r="X119" s="13">
        <v>0</v>
      </c>
      <c r="Y119" s="13">
        <v>0</v>
      </c>
      <c r="Z119" s="13">
        <v>1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1</v>
      </c>
      <c r="AP119" s="13">
        <v>1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 t="s">
        <v>192</v>
      </c>
      <c r="AX119" s="51">
        <f>2.86/4.46</f>
        <v>0.64125560538116588</v>
      </c>
      <c r="AY119" s="31">
        <v>0</v>
      </c>
      <c r="AZ119" s="31">
        <v>0</v>
      </c>
      <c r="BA119" s="31">
        <v>0</v>
      </c>
      <c r="BB119" s="51">
        <f>2.47/2.77</f>
        <v>0.89169675090252709</v>
      </c>
      <c r="BC119" s="31">
        <v>2</v>
      </c>
      <c r="BD119" s="31">
        <v>0</v>
      </c>
      <c r="BE119" s="31"/>
      <c r="BF119" s="13">
        <v>0</v>
      </c>
      <c r="BG119" s="13" t="s">
        <v>48</v>
      </c>
      <c r="BH119" s="13">
        <v>1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 t="s">
        <v>48</v>
      </c>
      <c r="BQ119" s="13" t="s">
        <v>48</v>
      </c>
      <c r="BR119" s="13">
        <v>0</v>
      </c>
      <c r="BS119" s="13" t="s">
        <v>48</v>
      </c>
      <c r="BT119" s="13">
        <v>0</v>
      </c>
      <c r="BU119" s="13">
        <v>0</v>
      </c>
      <c r="BV119" s="61" t="s">
        <v>50</v>
      </c>
      <c r="BW119" s="99">
        <v>0</v>
      </c>
      <c r="BX119" s="13">
        <v>0</v>
      </c>
      <c r="BY119" s="13">
        <v>0</v>
      </c>
      <c r="BZ119" s="13">
        <v>0</v>
      </c>
      <c r="CA119" s="13">
        <v>0</v>
      </c>
      <c r="CB119" s="34" t="s">
        <v>60</v>
      </c>
    </row>
    <row r="120" spans="1:81" s="53" customFormat="1" ht="18.75" x14ac:dyDescent="0.3">
      <c r="A120" s="1">
        <v>119</v>
      </c>
      <c r="B120" s="60">
        <v>39</v>
      </c>
      <c r="C120" s="13" t="s">
        <v>46</v>
      </c>
      <c r="D120" s="50" t="s">
        <v>53</v>
      </c>
      <c r="E120" s="13" t="s">
        <v>74</v>
      </c>
      <c r="F120" s="5">
        <f>'[2]Removed Saddle Values'!G120*2.54</f>
        <v>182.88</v>
      </c>
      <c r="G120" s="5">
        <v>137.4</v>
      </c>
      <c r="H120" s="5">
        <f t="shared" si="3"/>
        <v>41.08225809044211</v>
      </c>
      <c r="I120" s="13">
        <v>1</v>
      </c>
      <c r="J120" s="13">
        <v>3</v>
      </c>
      <c r="K120" s="13">
        <v>2</v>
      </c>
      <c r="L120" s="13">
        <v>1</v>
      </c>
      <c r="M120" s="13">
        <v>118</v>
      </c>
      <c r="N120" s="13">
        <v>0</v>
      </c>
      <c r="O120" s="13">
        <v>108</v>
      </c>
      <c r="P120" s="13">
        <v>0</v>
      </c>
      <c r="Q120" s="13">
        <v>20</v>
      </c>
      <c r="R120" s="13">
        <v>0</v>
      </c>
      <c r="S120" s="5">
        <v>98.1</v>
      </c>
      <c r="T120" s="13">
        <v>1</v>
      </c>
      <c r="U120" s="13" t="s">
        <v>48</v>
      </c>
      <c r="V120" s="13">
        <v>1</v>
      </c>
      <c r="W120" s="13">
        <v>0</v>
      </c>
      <c r="X120" s="13">
        <v>1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1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1</v>
      </c>
      <c r="AL120" s="13">
        <v>0</v>
      </c>
      <c r="AM120" s="13">
        <v>0</v>
      </c>
      <c r="AN120" s="13">
        <v>0</v>
      </c>
      <c r="AO120" s="13">
        <v>1</v>
      </c>
      <c r="AP120" s="13">
        <v>1</v>
      </c>
      <c r="AQ120" s="13" t="s">
        <v>48</v>
      </c>
      <c r="AR120" s="13">
        <v>0</v>
      </c>
      <c r="AS120" s="13">
        <v>1</v>
      </c>
      <c r="AT120" s="13">
        <v>1</v>
      </c>
      <c r="AU120" s="13">
        <v>1</v>
      </c>
      <c r="AV120" s="13">
        <v>0</v>
      </c>
      <c r="AW120" s="13" t="s">
        <v>192</v>
      </c>
      <c r="AX120" s="51">
        <f>5.99/3.57</f>
        <v>1.6778711484593838</v>
      </c>
      <c r="AY120" s="31">
        <v>0</v>
      </c>
      <c r="AZ120" s="31">
        <v>0</v>
      </c>
      <c r="BA120" s="31">
        <v>1</v>
      </c>
      <c r="BB120" s="51">
        <f>3.28/3.11</f>
        <v>1.0546623794212218</v>
      </c>
      <c r="BC120" s="31">
        <v>3</v>
      </c>
      <c r="BD120" s="31">
        <v>1</v>
      </c>
      <c r="BE120" s="31"/>
      <c r="BF120" s="13">
        <v>0</v>
      </c>
      <c r="BG120" s="13" t="s">
        <v>48</v>
      </c>
      <c r="BH120" s="13">
        <v>1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1</v>
      </c>
      <c r="BP120" s="13">
        <v>1</v>
      </c>
      <c r="BQ120" s="13">
        <v>1</v>
      </c>
      <c r="BR120" s="13">
        <v>0</v>
      </c>
      <c r="BS120" s="13" t="s">
        <v>48</v>
      </c>
      <c r="BT120" s="13">
        <v>0</v>
      </c>
      <c r="BU120" s="13">
        <v>0</v>
      </c>
      <c r="BV120" s="61" t="s">
        <v>57</v>
      </c>
      <c r="BW120" s="99" t="s">
        <v>57</v>
      </c>
      <c r="BX120" s="13">
        <v>0</v>
      </c>
      <c r="BY120" s="13">
        <v>1</v>
      </c>
      <c r="BZ120" s="13">
        <v>0</v>
      </c>
      <c r="CA120" s="13">
        <v>0</v>
      </c>
      <c r="CB120" s="34" t="s">
        <v>55</v>
      </c>
      <c r="CC120" s="18"/>
    </row>
    <row r="121" spans="1:81" s="53" customFormat="1" ht="18.75" x14ac:dyDescent="0.3">
      <c r="A121" s="1">
        <v>120</v>
      </c>
      <c r="B121" s="60">
        <v>45</v>
      </c>
      <c r="C121" s="13" t="s">
        <v>52</v>
      </c>
      <c r="D121" s="50" t="s">
        <v>47</v>
      </c>
      <c r="E121" s="13" t="s">
        <v>74</v>
      </c>
      <c r="F121" s="5">
        <f>'[2]Removed Saddle Values'!G121*2.54</f>
        <v>175.26</v>
      </c>
      <c r="G121" s="5">
        <v>89.5</v>
      </c>
      <c r="H121" s="5">
        <f t="shared" si="3"/>
        <v>29.137844455062993</v>
      </c>
      <c r="I121" s="13">
        <v>1</v>
      </c>
      <c r="J121" s="13">
        <v>1</v>
      </c>
      <c r="K121" s="13">
        <v>1</v>
      </c>
      <c r="L121" s="13">
        <v>1</v>
      </c>
      <c r="M121" s="13">
        <v>117</v>
      </c>
      <c r="N121" s="13">
        <v>0</v>
      </c>
      <c r="O121" s="13">
        <v>134</v>
      </c>
      <c r="P121" s="13">
        <v>0</v>
      </c>
      <c r="Q121" s="13">
        <v>18</v>
      </c>
      <c r="R121" s="13">
        <v>0</v>
      </c>
      <c r="S121" s="5">
        <v>97.8</v>
      </c>
      <c r="T121" s="13">
        <v>0</v>
      </c>
      <c r="U121" s="13">
        <v>100</v>
      </c>
      <c r="V121" s="13">
        <v>0</v>
      </c>
      <c r="W121" s="13">
        <v>0</v>
      </c>
      <c r="X121" s="13">
        <v>0</v>
      </c>
      <c r="Y121" s="13">
        <v>1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1</v>
      </c>
      <c r="AP121" s="13">
        <v>1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 t="s">
        <v>192</v>
      </c>
      <c r="AX121" s="51">
        <f>3.53/4.82</f>
        <v>0.73236514522821572</v>
      </c>
      <c r="AY121" s="31">
        <v>0</v>
      </c>
      <c r="AZ121" s="31">
        <v>0</v>
      </c>
      <c r="BA121" s="31">
        <v>0</v>
      </c>
      <c r="BB121" s="51">
        <f>2.59/2.62</f>
        <v>0.98854961832061061</v>
      </c>
      <c r="BC121" s="31">
        <v>1</v>
      </c>
      <c r="BD121" s="31">
        <v>0</v>
      </c>
      <c r="BE121" s="31"/>
      <c r="BF121" s="13">
        <v>0</v>
      </c>
      <c r="BG121" s="13" t="s">
        <v>48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 t="s">
        <v>48</v>
      </c>
      <c r="BQ121" s="13" t="s">
        <v>48</v>
      </c>
      <c r="BR121" s="13">
        <v>0</v>
      </c>
      <c r="BS121" s="13" t="s">
        <v>48</v>
      </c>
      <c r="BT121" s="13">
        <v>0</v>
      </c>
      <c r="BU121" s="13">
        <v>0</v>
      </c>
      <c r="BV121" s="61" t="s">
        <v>50</v>
      </c>
      <c r="BW121" s="99">
        <v>0</v>
      </c>
      <c r="BX121" s="13">
        <v>0</v>
      </c>
      <c r="BY121" s="13">
        <v>0</v>
      </c>
      <c r="BZ121" s="13">
        <v>0</v>
      </c>
      <c r="CA121" s="13">
        <v>0</v>
      </c>
      <c r="CB121" s="34" t="s">
        <v>142</v>
      </c>
    </row>
    <row r="122" spans="1:81" s="18" customFormat="1" ht="18.75" x14ac:dyDescent="0.3">
      <c r="A122" s="1">
        <v>121</v>
      </c>
      <c r="B122" s="60">
        <v>38</v>
      </c>
      <c r="C122" s="13" t="s">
        <v>52</v>
      </c>
      <c r="D122" s="50" t="s">
        <v>47</v>
      </c>
      <c r="E122" s="13" t="s">
        <v>74</v>
      </c>
      <c r="F122" s="5">
        <f>'[2]Removed Saddle Values'!G122*2.54</f>
        <v>175.26</v>
      </c>
      <c r="G122" s="5">
        <v>108.9</v>
      </c>
      <c r="H122" s="5">
        <f t="shared" si="3"/>
        <v>35.453757107892294</v>
      </c>
      <c r="I122" s="13">
        <v>1</v>
      </c>
      <c r="J122" s="13">
        <v>1</v>
      </c>
      <c r="K122" s="13">
        <v>2</v>
      </c>
      <c r="L122" s="13">
        <v>1</v>
      </c>
      <c r="M122" s="13">
        <v>122</v>
      </c>
      <c r="N122" s="13">
        <v>0</v>
      </c>
      <c r="O122" s="13">
        <v>177</v>
      </c>
      <c r="P122" s="13">
        <v>0</v>
      </c>
      <c r="Q122" s="13">
        <v>17</v>
      </c>
      <c r="R122" s="13">
        <v>0</v>
      </c>
      <c r="S122" s="5">
        <v>98.1</v>
      </c>
      <c r="T122" s="13">
        <v>0</v>
      </c>
      <c r="U122" s="13">
        <v>98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1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1</v>
      </c>
      <c r="AP122" s="13">
        <v>1</v>
      </c>
      <c r="AQ122" s="13">
        <v>1</v>
      </c>
      <c r="AR122" s="13">
        <v>0</v>
      </c>
      <c r="AS122" s="13">
        <v>0</v>
      </c>
      <c r="AT122" s="13">
        <v>0</v>
      </c>
      <c r="AU122" s="13">
        <v>0</v>
      </c>
      <c r="AV122" s="13">
        <v>1</v>
      </c>
      <c r="AW122" s="13" t="s">
        <v>192</v>
      </c>
      <c r="AX122" s="51">
        <f>3.88/4.12</f>
        <v>0.9417475728155339</v>
      </c>
      <c r="AY122" s="31">
        <v>0</v>
      </c>
      <c r="AZ122" s="31">
        <v>1</v>
      </c>
      <c r="BA122" s="31">
        <v>0</v>
      </c>
      <c r="BB122" s="51">
        <f>3.14/2.87</f>
        <v>1.0940766550522647</v>
      </c>
      <c r="BC122" s="31">
        <v>4</v>
      </c>
      <c r="BD122" s="31">
        <v>0</v>
      </c>
      <c r="BE122" s="31"/>
      <c r="BF122" s="13">
        <v>0</v>
      </c>
      <c r="BG122" s="13" t="s">
        <v>48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 t="s">
        <v>48</v>
      </c>
      <c r="BQ122" s="13" t="s">
        <v>48</v>
      </c>
      <c r="BR122" s="13">
        <v>0</v>
      </c>
      <c r="BS122" s="13" t="s">
        <v>48</v>
      </c>
      <c r="BT122" s="13">
        <v>0</v>
      </c>
      <c r="BU122" s="13">
        <v>0</v>
      </c>
      <c r="BV122" s="61" t="s">
        <v>50</v>
      </c>
      <c r="BW122" s="99">
        <v>0</v>
      </c>
      <c r="BX122" s="13">
        <v>0</v>
      </c>
      <c r="BY122" s="13">
        <v>0</v>
      </c>
      <c r="BZ122" s="13">
        <v>0</v>
      </c>
      <c r="CA122" s="13">
        <v>0</v>
      </c>
      <c r="CB122" s="34" t="s">
        <v>142</v>
      </c>
    </row>
    <row r="123" spans="1:81" s="18" customFormat="1" ht="18.75" x14ac:dyDescent="0.3">
      <c r="A123" s="1">
        <v>122</v>
      </c>
      <c r="B123" s="60">
        <v>65</v>
      </c>
      <c r="C123" s="13" t="s">
        <v>46</v>
      </c>
      <c r="D123" s="50" t="s">
        <v>47</v>
      </c>
      <c r="E123" s="13" t="s">
        <v>83</v>
      </c>
      <c r="F123" s="5">
        <f>'[2]Removed Saddle Values'!G123*2.54</f>
        <v>172.72</v>
      </c>
      <c r="G123" s="5">
        <v>90.7</v>
      </c>
      <c r="H123" s="5">
        <f t="shared" si="3"/>
        <v>30.403391256609503</v>
      </c>
      <c r="I123" s="13">
        <v>1</v>
      </c>
      <c r="J123" s="13">
        <v>3</v>
      </c>
      <c r="K123" s="94">
        <v>3</v>
      </c>
      <c r="L123" s="13">
        <v>0</v>
      </c>
      <c r="M123" s="13">
        <v>60</v>
      </c>
      <c r="N123" s="13">
        <v>1</v>
      </c>
      <c r="O123" s="13">
        <v>87</v>
      </c>
      <c r="P123" s="13">
        <v>0</v>
      </c>
      <c r="Q123" s="13">
        <v>22</v>
      </c>
      <c r="R123" s="13">
        <v>0</v>
      </c>
      <c r="S123" s="5">
        <v>98.5</v>
      </c>
      <c r="T123" s="13">
        <v>1</v>
      </c>
      <c r="U123" s="13">
        <v>88</v>
      </c>
      <c r="V123" s="13">
        <v>1</v>
      </c>
      <c r="W123" s="13">
        <v>0</v>
      </c>
      <c r="X123" s="13">
        <v>1</v>
      </c>
      <c r="Y123" s="13">
        <v>1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1</v>
      </c>
      <c r="AH123" s="13">
        <v>0</v>
      </c>
      <c r="AI123" s="13">
        <v>1</v>
      </c>
      <c r="AJ123" s="13">
        <v>0</v>
      </c>
      <c r="AK123" s="13">
        <v>1</v>
      </c>
      <c r="AL123" s="13">
        <v>0</v>
      </c>
      <c r="AM123" s="13">
        <v>0</v>
      </c>
      <c r="AN123" s="13">
        <v>0</v>
      </c>
      <c r="AO123" s="13">
        <v>1</v>
      </c>
      <c r="AP123" s="13">
        <v>1</v>
      </c>
      <c r="AQ123" s="13">
        <v>0</v>
      </c>
      <c r="AR123" s="13">
        <v>1</v>
      </c>
      <c r="AS123" s="13">
        <v>1</v>
      </c>
      <c r="AT123" s="13">
        <v>1</v>
      </c>
      <c r="AU123" s="13">
        <v>1</v>
      </c>
      <c r="AV123" s="13">
        <v>0</v>
      </c>
      <c r="AW123" s="13">
        <v>50</v>
      </c>
      <c r="AX123" s="51">
        <f>3.98/3.89</f>
        <v>1.0231362467866323</v>
      </c>
      <c r="AY123" s="31">
        <v>0</v>
      </c>
      <c r="AZ123" s="31">
        <v>0</v>
      </c>
      <c r="BA123" s="31">
        <v>1</v>
      </c>
      <c r="BB123" s="51">
        <f>2.97/3.06</f>
        <v>0.97058823529411764</v>
      </c>
      <c r="BC123" s="31">
        <v>4</v>
      </c>
      <c r="BD123" s="31">
        <v>1</v>
      </c>
      <c r="BE123" s="31"/>
      <c r="BF123" s="13">
        <v>0</v>
      </c>
      <c r="BG123" s="13" t="s">
        <v>48</v>
      </c>
      <c r="BH123" s="13">
        <v>1</v>
      </c>
      <c r="BI123" s="13">
        <v>1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 t="s">
        <v>48</v>
      </c>
      <c r="BQ123" s="13" t="s">
        <v>48</v>
      </c>
      <c r="BR123" s="13">
        <v>0</v>
      </c>
      <c r="BS123" s="13" t="s">
        <v>48</v>
      </c>
      <c r="BT123" s="13">
        <v>0</v>
      </c>
      <c r="BU123" s="13">
        <v>0</v>
      </c>
      <c r="BV123" s="61" t="s">
        <v>50</v>
      </c>
      <c r="BW123" s="99">
        <v>0</v>
      </c>
      <c r="BX123" s="13">
        <v>0</v>
      </c>
      <c r="BY123" s="13">
        <v>1</v>
      </c>
      <c r="BZ123" s="13">
        <v>0</v>
      </c>
      <c r="CA123" s="13">
        <v>0</v>
      </c>
      <c r="CB123" s="34" t="s">
        <v>55</v>
      </c>
    </row>
    <row r="124" spans="1:81" s="18" customFormat="1" ht="18.75" x14ac:dyDescent="0.3">
      <c r="A124" s="1">
        <v>123</v>
      </c>
      <c r="B124" s="60">
        <v>38</v>
      </c>
      <c r="C124" s="13" t="s">
        <v>52</v>
      </c>
      <c r="D124" s="50" t="s">
        <v>47</v>
      </c>
      <c r="E124" s="13" t="s">
        <v>87</v>
      </c>
      <c r="F124" s="5">
        <f>'[2]Removed Saddle Values'!G124*2.54</f>
        <v>172.72</v>
      </c>
      <c r="G124" s="5">
        <v>89</v>
      </c>
      <c r="H124" s="5">
        <f t="shared" si="3"/>
        <v>29.833537175724867</v>
      </c>
      <c r="I124" s="13">
        <v>0</v>
      </c>
      <c r="J124" s="13">
        <v>1</v>
      </c>
      <c r="K124" s="13">
        <v>1</v>
      </c>
      <c r="L124" s="13">
        <v>0</v>
      </c>
      <c r="M124" s="13">
        <v>96</v>
      </c>
      <c r="N124" s="13">
        <v>0</v>
      </c>
      <c r="O124" s="13">
        <v>145</v>
      </c>
      <c r="P124" s="13">
        <v>0</v>
      </c>
      <c r="Q124" s="13">
        <v>20</v>
      </c>
      <c r="R124" s="13">
        <v>0</v>
      </c>
      <c r="S124" s="5">
        <v>99.1</v>
      </c>
      <c r="T124" s="13">
        <v>0</v>
      </c>
      <c r="U124" s="13">
        <v>97</v>
      </c>
      <c r="V124" s="13">
        <v>1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1</v>
      </c>
      <c r="AH124" s="13">
        <v>0</v>
      </c>
      <c r="AI124" s="13">
        <v>1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 t="s">
        <v>48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27.4</v>
      </c>
      <c r="AX124" s="51">
        <f>4.04/4.34</f>
        <v>0.93087557603686644</v>
      </c>
      <c r="AY124" s="31">
        <v>0</v>
      </c>
      <c r="AZ124" s="31">
        <v>1</v>
      </c>
      <c r="BA124" s="31">
        <v>0</v>
      </c>
      <c r="BB124" s="51">
        <f>2.85/3.13</f>
        <v>0.91054313099041539</v>
      </c>
      <c r="BC124" s="31">
        <v>3</v>
      </c>
      <c r="BD124" s="31">
        <v>0</v>
      </c>
      <c r="BE124" s="31"/>
      <c r="BF124" s="13">
        <v>0</v>
      </c>
      <c r="BG124" s="13" t="s">
        <v>48</v>
      </c>
      <c r="BH124" s="13">
        <v>1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 t="s">
        <v>48</v>
      </c>
      <c r="BQ124" s="13" t="s">
        <v>48</v>
      </c>
      <c r="BR124" s="13">
        <v>0</v>
      </c>
      <c r="BS124" s="13" t="s">
        <v>48</v>
      </c>
      <c r="BT124" s="13">
        <v>0</v>
      </c>
      <c r="BU124" s="13">
        <v>0</v>
      </c>
      <c r="BV124" s="61" t="s">
        <v>50</v>
      </c>
      <c r="BW124" s="99">
        <v>0</v>
      </c>
      <c r="BX124" s="13">
        <v>0</v>
      </c>
      <c r="BY124" s="13">
        <v>1</v>
      </c>
      <c r="BZ124" s="13">
        <v>0</v>
      </c>
      <c r="CA124" s="13">
        <v>0</v>
      </c>
      <c r="CB124" s="34" t="s">
        <v>56</v>
      </c>
    </row>
    <row r="125" spans="1:81" s="18" customFormat="1" ht="18.75" x14ac:dyDescent="0.3">
      <c r="A125" s="1">
        <v>124</v>
      </c>
      <c r="B125" s="60">
        <v>78</v>
      </c>
      <c r="C125" s="13" t="s">
        <v>52</v>
      </c>
      <c r="D125" s="50" t="s">
        <v>47</v>
      </c>
      <c r="E125" s="13" t="s">
        <v>130</v>
      </c>
      <c r="F125" s="5">
        <f>'[2]Removed Saddle Values'!G125*2.54</f>
        <v>172.72</v>
      </c>
      <c r="G125" s="5">
        <v>86.2</v>
      </c>
      <c r="H125" s="5">
        <f t="shared" si="3"/>
        <v>28.894953983679592</v>
      </c>
      <c r="I125" s="13">
        <v>0</v>
      </c>
      <c r="J125" s="13">
        <v>2</v>
      </c>
      <c r="K125" s="13">
        <v>2</v>
      </c>
      <c r="L125" s="13">
        <v>0</v>
      </c>
      <c r="M125" s="13">
        <v>86</v>
      </c>
      <c r="N125" s="13">
        <v>0</v>
      </c>
      <c r="O125" s="13">
        <v>113</v>
      </c>
      <c r="P125" s="13">
        <v>0</v>
      </c>
      <c r="Q125" s="13">
        <v>18</v>
      </c>
      <c r="R125" s="13">
        <v>0</v>
      </c>
      <c r="S125" s="5">
        <v>98.5</v>
      </c>
      <c r="T125" s="13">
        <v>0</v>
      </c>
      <c r="U125" s="13">
        <v>91</v>
      </c>
      <c r="V125" s="13">
        <v>1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1</v>
      </c>
      <c r="AL125" s="13">
        <v>1</v>
      </c>
      <c r="AM125" s="13">
        <v>0</v>
      </c>
      <c r="AN125" s="13">
        <v>0</v>
      </c>
      <c r="AO125" s="13" t="s">
        <v>48</v>
      </c>
      <c r="AP125" s="13" t="s">
        <v>48</v>
      </c>
      <c r="AQ125" s="13">
        <v>0</v>
      </c>
      <c r="AR125" s="13">
        <v>0</v>
      </c>
      <c r="AS125" s="13">
        <v>1</v>
      </c>
      <c r="AT125" s="13">
        <v>1</v>
      </c>
      <c r="AU125" s="13">
        <v>1</v>
      </c>
      <c r="AV125" s="13">
        <v>0</v>
      </c>
      <c r="AW125" s="13">
        <v>40.9</v>
      </c>
      <c r="AX125" s="51">
        <f>4.5/3.65</f>
        <v>1.2328767123287672</v>
      </c>
      <c r="AY125" s="31">
        <v>0</v>
      </c>
      <c r="AZ125" s="31">
        <v>0</v>
      </c>
      <c r="BA125" s="31">
        <v>1</v>
      </c>
      <c r="BB125" s="51">
        <f>2.78/3.15</f>
        <v>0.88253968253968251</v>
      </c>
      <c r="BC125" s="31">
        <v>1</v>
      </c>
      <c r="BD125" s="31">
        <v>1</v>
      </c>
      <c r="BE125" s="31"/>
      <c r="BF125" s="13">
        <v>0</v>
      </c>
      <c r="BG125" s="13" t="s">
        <v>48</v>
      </c>
      <c r="BH125" s="13">
        <v>1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1</v>
      </c>
      <c r="BP125" s="13">
        <v>0</v>
      </c>
      <c r="BQ125" s="13">
        <v>1</v>
      </c>
      <c r="BR125" s="13">
        <v>0</v>
      </c>
      <c r="BS125" s="13" t="s">
        <v>48</v>
      </c>
      <c r="BT125" s="13">
        <v>0</v>
      </c>
      <c r="BU125" s="13">
        <v>0</v>
      </c>
      <c r="BV125" s="61" t="s">
        <v>50</v>
      </c>
      <c r="BW125" s="99">
        <v>0</v>
      </c>
      <c r="BX125" s="13">
        <v>0</v>
      </c>
      <c r="BY125" s="13">
        <v>1</v>
      </c>
      <c r="BZ125" s="13">
        <v>0</v>
      </c>
      <c r="CA125" s="13">
        <v>0</v>
      </c>
      <c r="CB125" s="34" t="s">
        <v>55</v>
      </c>
    </row>
    <row r="126" spans="1:81" s="18" customFormat="1" ht="18.75" x14ac:dyDescent="0.3">
      <c r="A126" s="1">
        <v>125</v>
      </c>
      <c r="B126" s="60">
        <v>80</v>
      </c>
      <c r="C126" s="13" t="s">
        <v>46</v>
      </c>
      <c r="D126" s="50" t="s">
        <v>53</v>
      </c>
      <c r="E126" s="13" t="s">
        <v>87</v>
      </c>
      <c r="F126" s="5" t="s">
        <v>48</v>
      </c>
      <c r="G126" s="5">
        <v>65.3</v>
      </c>
      <c r="H126" s="5">
        <v>21.27</v>
      </c>
      <c r="I126" s="13">
        <v>1</v>
      </c>
      <c r="J126" s="13">
        <v>5</v>
      </c>
      <c r="K126" s="13">
        <v>1</v>
      </c>
      <c r="L126" s="13">
        <v>0</v>
      </c>
      <c r="M126" s="13">
        <v>98</v>
      </c>
      <c r="N126" s="13">
        <v>0</v>
      </c>
      <c r="O126" s="13">
        <v>169</v>
      </c>
      <c r="P126" s="13">
        <v>0</v>
      </c>
      <c r="Q126" s="13">
        <v>18</v>
      </c>
      <c r="R126" s="13">
        <v>1</v>
      </c>
      <c r="S126" s="5">
        <v>95.7</v>
      </c>
      <c r="T126" s="13">
        <v>0</v>
      </c>
      <c r="U126" s="13">
        <v>99</v>
      </c>
      <c r="V126" s="13">
        <v>1</v>
      </c>
      <c r="W126" s="13">
        <v>0</v>
      </c>
      <c r="X126" s="13">
        <v>0</v>
      </c>
      <c r="Y126" s="13">
        <v>0</v>
      </c>
      <c r="Z126" s="13">
        <v>1</v>
      </c>
      <c r="AA126" s="13">
        <v>0</v>
      </c>
      <c r="AB126" s="13">
        <v>0</v>
      </c>
      <c r="AC126" s="13">
        <v>0</v>
      </c>
      <c r="AD126" s="13">
        <v>0</v>
      </c>
      <c r="AE126" s="13">
        <v>1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 t="s">
        <v>48</v>
      </c>
      <c r="AP126" s="13" t="s">
        <v>48</v>
      </c>
      <c r="AQ126" s="13" t="s">
        <v>48</v>
      </c>
      <c r="AR126" s="13">
        <v>0</v>
      </c>
      <c r="AS126" s="13" t="s">
        <v>48</v>
      </c>
      <c r="AT126" s="13" t="s">
        <v>48</v>
      </c>
      <c r="AU126" s="13" t="s">
        <v>48</v>
      </c>
      <c r="AV126" s="13" t="s">
        <v>48</v>
      </c>
      <c r="AW126" s="13" t="s">
        <v>48</v>
      </c>
      <c r="AX126" s="51">
        <f>5.52/4.59</f>
        <v>1.2026143790849673</v>
      </c>
      <c r="AY126" s="31">
        <v>0</v>
      </c>
      <c r="AZ126" s="31">
        <v>0</v>
      </c>
      <c r="BA126" s="31">
        <v>1</v>
      </c>
      <c r="BB126" s="51">
        <f>3.22/3.38</f>
        <v>0.95266272189349122</v>
      </c>
      <c r="BC126" s="31">
        <v>2</v>
      </c>
      <c r="BD126" s="31">
        <v>1</v>
      </c>
      <c r="BE126" s="31"/>
      <c r="BF126" s="13">
        <v>0</v>
      </c>
      <c r="BG126" s="13" t="s">
        <v>48</v>
      </c>
      <c r="BH126" s="13" t="s">
        <v>48</v>
      </c>
      <c r="BI126" s="13">
        <v>0</v>
      </c>
      <c r="BJ126" s="13" t="s">
        <v>48</v>
      </c>
      <c r="BK126" s="13" t="s">
        <v>48</v>
      </c>
      <c r="BL126" s="13" t="s">
        <v>48</v>
      </c>
      <c r="BM126" s="13" t="s">
        <v>48</v>
      </c>
      <c r="BN126" s="13" t="s">
        <v>48</v>
      </c>
      <c r="BO126" s="13" t="s">
        <v>48</v>
      </c>
      <c r="BP126" s="13" t="s">
        <v>48</v>
      </c>
      <c r="BQ126" s="13" t="s">
        <v>48</v>
      </c>
      <c r="BR126" s="13" t="s">
        <v>48</v>
      </c>
      <c r="BS126" s="13" t="s">
        <v>48</v>
      </c>
      <c r="BT126" s="13" t="s">
        <v>48</v>
      </c>
      <c r="BU126" s="13" t="s">
        <v>48</v>
      </c>
      <c r="BV126" s="61" t="s">
        <v>57</v>
      </c>
      <c r="BW126" s="99" t="s">
        <v>57</v>
      </c>
      <c r="BX126" s="13" t="s">
        <v>48</v>
      </c>
      <c r="BY126" s="13" t="s">
        <v>48</v>
      </c>
      <c r="BZ126" s="13">
        <v>0</v>
      </c>
      <c r="CA126" s="13">
        <v>0</v>
      </c>
      <c r="CB126" s="34" t="s">
        <v>60</v>
      </c>
    </row>
    <row r="127" spans="1:81" s="18" customFormat="1" ht="18.75" x14ac:dyDescent="0.3">
      <c r="A127" s="1">
        <v>126</v>
      </c>
      <c r="B127" s="60">
        <v>58</v>
      </c>
      <c r="C127" s="13" t="s">
        <v>46</v>
      </c>
      <c r="D127" s="50" t="s">
        <v>53</v>
      </c>
      <c r="E127" s="13" t="s">
        <v>74</v>
      </c>
      <c r="F127" s="5">
        <f>'[2]Removed Saddle Values'!G127*2.54</f>
        <v>182.88</v>
      </c>
      <c r="G127" s="5">
        <v>108</v>
      </c>
      <c r="H127" s="5">
        <f t="shared" ref="H127:H146" si="4">G127/((F127/100)^2)</f>
        <v>32.291731250129168</v>
      </c>
      <c r="I127" s="13">
        <v>1</v>
      </c>
      <c r="J127" s="13">
        <v>2</v>
      </c>
      <c r="K127" s="13">
        <v>1</v>
      </c>
      <c r="L127" s="13">
        <v>1</v>
      </c>
      <c r="M127" s="13">
        <v>113</v>
      </c>
      <c r="N127" s="13">
        <v>0</v>
      </c>
      <c r="O127" s="13">
        <v>144</v>
      </c>
      <c r="P127" s="13">
        <v>0</v>
      </c>
      <c r="Q127" s="13">
        <v>18</v>
      </c>
      <c r="R127" s="13">
        <v>0</v>
      </c>
      <c r="S127" s="5">
        <v>97.7</v>
      </c>
      <c r="T127" s="13">
        <v>0</v>
      </c>
      <c r="U127" s="13">
        <v>98</v>
      </c>
      <c r="V127" s="13">
        <v>1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1</v>
      </c>
      <c r="AG127" s="13">
        <v>1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1</v>
      </c>
      <c r="AP127" s="13">
        <v>1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56.4</v>
      </c>
      <c r="AX127" s="51">
        <f>4.16/4.57</f>
        <v>0.9102844638949672</v>
      </c>
      <c r="AY127" s="31">
        <v>0</v>
      </c>
      <c r="AZ127" s="31">
        <v>1</v>
      </c>
      <c r="BA127" s="31">
        <v>0</v>
      </c>
      <c r="BB127" s="51">
        <f>3.12/3.16</f>
        <v>0.98734177215189878</v>
      </c>
      <c r="BC127" s="31">
        <v>2</v>
      </c>
      <c r="BD127" s="31">
        <v>1</v>
      </c>
      <c r="BE127" s="31"/>
      <c r="BF127" s="13">
        <v>0</v>
      </c>
      <c r="BG127" s="13" t="s">
        <v>48</v>
      </c>
      <c r="BH127" s="13">
        <v>1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1</v>
      </c>
      <c r="BP127" s="13">
        <v>0</v>
      </c>
      <c r="BQ127" s="13">
        <v>1</v>
      </c>
      <c r="BR127" s="13">
        <v>0</v>
      </c>
      <c r="BS127" s="13" t="s">
        <v>48</v>
      </c>
      <c r="BT127" s="13">
        <v>0</v>
      </c>
      <c r="BU127" s="13">
        <v>0</v>
      </c>
      <c r="BV127" s="61" t="s">
        <v>50</v>
      </c>
      <c r="BW127" s="99">
        <v>0</v>
      </c>
      <c r="BX127" s="13">
        <v>0</v>
      </c>
      <c r="BY127" s="13">
        <v>1</v>
      </c>
      <c r="BZ127" s="13">
        <v>0</v>
      </c>
      <c r="CA127" s="13">
        <v>0</v>
      </c>
      <c r="CB127" s="34" t="s">
        <v>139</v>
      </c>
    </row>
    <row r="128" spans="1:81" s="18" customFormat="1" ht="18.75" x14ac:dyDescent="0.3">
      <c r="A128" s="1">
        <v>127</v>
      </c>
      <c r="B128" s="60">
        <v>66</v>
      </c>
      <c r="C128" s="13" t="s">
        <v>52</v>
      </c>
      <c r="D128" s="50" t="s">
        <v>53</v>
      </c>
      <c r="E128" s="13" t="s">
        <v>85</v>
      </c>
      <c r="F128" s="5">
        <f>'[2]Removed Saddle Values'!G128*2.54</f>
        <v>170.18</v>
      </c>
      <c r="G128" s="5">
        <v>105.7</v>
      </c>
      <c r="H128" s="5">
        <f t="shared" si="4"/>
        <v>36.497065642828098</v>
      </c>
      <c r="I128" s="13">
        <v>1</v>
      </c>
      <c r="J128" s="13">
        <v>3</v>
      </c>
      <c r="K128" s="13">
        <v>1</v>
      </c>
      <c r="L128" s="13">
        <v>1</v>
      </c>
      <c r="M128" s="13">
        <v>122</v>
      </c>
      <c r="N128" s="13">
        <v>0</v>
      </c>
      <c r="O128" s="13">
        <v>137</v>
      </c>
      <c r="P128" s="13">
        <v>0</v>
      </c>
      <c r="Q128" s="13">
        <v>28</v>
      </c>
      <c r="R128" s="13">
        <v>0</v>
      </c>
      <c r="S128" s="5">
        <v>98</v>
      </c>
      <c r="T128" s="13">
        <v>0</v>
      </c>
      <c r="U128" s="13">
        <v>91</v>
      </c>
      <c r="V128" s="13">
        <v>1</v>
      </c>
      <c r="W128" s="13">
        <v>1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1</v>
      </c>
      <c r="AH128" s="13">
        <v>0</v>
      </c>
      <c r="AI128" s="13">
        <v>1</v>
      </c>
      <c r="AJ128" s="13">
        <v>0</v>
      </c>
      <c r="AK128" s="13">
        <v>1</v>
      </c>
      <c r="AL128" s="13">
        <v>0</v>
      </c>
      <c r="AM128" s="13">
        <v>0</v>
      </c>
      <c r="AN128" s="13">
        <v>0</v>
      </c>
      <c r="AO128" s="13">
        <v>1</v>
      </c>
      <c r="AP128" s="13">
        <v>1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 t="s">
        <v>192</v>
      </c>
      <c r="AX128" s="51">
        <f>4.47/3.98</f>
        <v>1.1231155778894473</v>
      </c>
      <c r="AY128" s="31">
        <v>0</v>
      </c>
      <c r="AZ128" s="31">
        <v>0</v>
      </c>
      <c r="BA128" s="31">
        <v>1</v>
      </c>
      <c r="BB128" s="51">
        <f>2.59/3.03</f>
        <v>0.8547854785478548</v>
      </c>
      <c r="BC128" s="31">
        <v>2</v>
      </c>
      <c r="BD128" s="31">
        <v>1</v>
      </c>
      <c r="BE128" s="31"/>
      <c r="BF128" s="13">
        <v>0</v>
      </c>
      <c r="BG128" s="13" t="s">
        <v>48</v>
      </c>
      <c r="BH128" s="13">
        <v>1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1</v>
      </c>
      <c r="BP128" s="13">
        <v>0</v>
      </c>
      <c r="BQ128" s="13">
        <v>1</v>
      </c>
      <c r="BR128" s="13">
        <v>1</v>
      </c>
      <c r="BS128" s="34" t="s">
        <v>168</v>
      </c>
      <c r="BT128" s="13">
        <v>0</v>
      </c>
      <c r="BU128" s="13">
        <v>1</v>
      </c>
      <c r="BV128" s="61" t="s">
        <v>57</v>
      </c>
      <c r="BW128" s="99" t="s">
        <v>57</v>
      </c>
      <c r="BX128" s="13">
        <v>0</v>
      </c>
      <c r="BY128" s="13">
        <v>1</v>
      </c>
      <c r="BZ128" s="13">
        <v>0</v>
      </c>
      <c r="CA128" s="13">
        <v>0</v>
      </c>
      <c r="CB128" s="34" t="s">
        <v>55</v>
      </c>
    </row>
    <row r="129" spans="1:80" s="18" customFormat="1" ht="18.75" x14ac:dyDescent="0.3">
      <c r="A129" s="1">
        <v>128</v>
      </c>
      <c r="B129" s="60">
        <v>50</v>
      </c>
      <c r="C129" s="13" t="s">
        <v>46</v>
      </c>
      <c r="D129" s="50" t="s">
        <v>53</v>
      </c>
      <c r="E129" s="13" t="s">
        <v>85</v>
      </c>
      <c r="F129" s="5">
        <f>'[2]Removed Saddle Values'!G129*2.54</f>
        <v>193.04</v>
      </c>
      <c r="G129" s="5">
        <v>128.80000000000001</v>
      </c>
      <c r="H129" s="5">
        <f t="shared" si="4"/>
        <v>34.563781038919423</v>
      </c>
      <c r="I129" s="13">
        <v>1</v>
      </c>
      <c r="J129" s="13">
        <v>5</v>
      </c>
      <c r="K129" s="13">
        <v>2</v>
      </c>
      <c r="L129" s="13">
        <v>1</v>
      </c>
      <c r="M129" s="13">
        <v>111</v>
      </c>
      <c r="N129" s="13">
        <v>1</v>
      </c>
      <c r="O129" s="13">
        <v>98</v>
      </c>
      <c r="P129" s="13">
        <v>0</v>
      </c>
      <c r="Q129" s="13">
        <v>24</v>
      </c>
      <c r="R129" s="13">
        <v>0</v>
      </c>
      <c r="S129" s="5">
        <v>97.5</v>
      </c>
      <c r="T129" s="13">
        <v>0</v>
      </c>
      <c r="U129" s="13">
        <v>93</v>
      </c>
      <c r="V129" s="13">
        <v>1</v>
      </c>
      <c r="W129" s="13">
        <v>0</v>
      </c>
      <c r="X129" s="13">
        <v>1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1</v>
      </c>
      <c r="AH129" s="13">
        <v>0</v>
      </c>
      <c r="AI129" s="13">
        <v>0</v>
      </c>
      <c r="AJ129" s="13">
        <v>0</v>
      </c>
      <c r="AK129" s="13">
        <v>0</v>
      </c>
      <c r="AL129" s="13">
        <v>1</v>
      </c>
      <c r="AM129" s="13">
        <v>0</v>
      </c>
      <c r="AN129" s="13">
        <v>0</v>
      </c>
      <c r="AO129" s="13">
        <v>0</v>
      </c>
      <c r="AP129" s="13" t="s">
        <v>48</v>
      </c>
      <c r="AQ129" s="13">
        <v>0</v>
      </c>
      <c r="AR129" s="13">
        <v>1</v>
      </c>
      <c r="AS129" s="13">
        <v>0</v>
      </c>
      <c r="AT129" s="13">
        <v>0</v>
      </c>
      <c r="AU129" s="13">
        <v>0</v>
      </c>
      <c r="AV129" s="13">
        <v>0</v>
      </c>
      <c r="AW129" s="13" t="s">
        <v>192</v>
      </c>
      <c r="AX129" s="51">
        <f>6.5/3.7</f>
        <v>1.7567567567567566</v>
      </c>
      <c r="AY129" s="31">
        <v>0</v>
      </c>
      <c r="AZ129" s="31">
        <v>0</v>
      </c>
      <c r="BA129" s="31">
        <v>1</v>
      </c>
      <c r="BB129" s="51">
        <f>2.88/3.82</f>
        <v>0.75392670157068065</v>
      </c>
      <c r="BC129" s="31">
        <v>3</v>
      </c>
      <c r="BD129" s="31">
        <v>1</v>
      </c>
      <c r="BE129" s="31"/>
      <c r="BF129" s="13">
        <v>0</v>
      </c>
      <c r="BG129" s="13" t="s">
        <v>48</v>
      </c>
      <c r="BH129" s="13">
        <v>1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1</v>
      </c>
      <c r="BO129" s="13">
        <v>0</v>
      </c>
      <c r="BP129" s="13">
        <v>1</v>
      </c>
      <c r="BQ129" s="13">
        <v>1</v>
      </c>
      <c r="BR129" s="13">
        <v>1</v>
      </c>
      <c r="BS129" s="34" t="s">
        <v>169</v>
      </c>
      <c r="BT129" s="13">
        <v>0</v>
      </c>
      <c r="BU129" s="13">
        <v>0</v>
      </c>
      <c r="BV129" s="61" t="s">
        <v>57</v>
      </c>
      <c r="BW129" s="99" t="s">
        <v>57</v>
      </c>
      <c r="BX129" s="13">
        <v>0</v>
      </c>
      <c r="BY129" s="13">
        <v>1</v>
      </c>
      <c r="BZ129" s="13">
        <v>0</v>
      </c>
      <c r="CA129" s="13">
        <v>0</v>
      </c>
      <c r="CB129" s="34" t="s">
        <v>139</v>
      </c>
    </row>
    <row r="130" spans="1:80" s="18" customFormat="1" ht="18.75" x14ac:dyDescent="0.3">
      <c r="A130" s="1">
        <v>129</v>
      </c>
      <c r="B130" s="60">
        <v>70</v>
      </c>
      <c r="C130" s="13" t="s">
        <v>46</v>
      </c>
      <c r="D130" s="50" t="s">
        <v>53</v>
      </c>
      <c r="E130" s="13" t="s">
        <v>130</v>
      </c>
      <c r="F130" s="5">
        <f>'[2]Removed Saddle Values'!G130*2.54</f>
        <v>177.8</v>
      </c>
      <c r="G130" s="5">
        <v>93.5</v>
      </c>
      <c r="H130" s="5">
        <f t="shared" si="4"/>
        <v>29.576589765424426</v>
      </c>
      <c r="I130" s="13">
        <v>1</v>
      </c>
      <c r="J130" s="13">
        <v>5</v>
      </c>
      <c r="K130" s="13">
        <v>2</v>
      </c>
      <c r="L130" s="13">
        <v>1</v>
      </c>
      <c r="M130" s="13">
        <v>121</v>
      </c>
      <c r="N130" s="13">
        <v>0</v>
      </c>
      <c r="O130" s="13">
        <v>102</v>
      </c>
      <c r="P130" s="13">
        <v>0</v>
      </c>
      <c r="Q130" s="13">
        <v>15</v>
      </c>
      <c r="R130" s="13">
        <v>0</v>
      </c>
      <c r="S130" s="5">
        <v>97.6</v>
      </c>
      <c r="T130" s="13">
        <v>1</v>
      </c>
      <c r="U130" s="13" t="s">
        <v>48</v>
      </c>
      <c r="V130" s="13">
        <v>1</v>
      </c>
      <c r="W130" s="13">
        <v>1</v>
      </c>
      <c r="X130" s="13">
        <v>0</v>
      </c>
      <c r="Y130" s="13">
        <v>0</v>
      </c>
      <c r="Z130" s="13">
        <v>1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1</v>
      </c>
      <c r="AK130" s="13">
        <v>0</v>
      </c>
      <c r="AL130" s="13">
        <v>0</v>
      </c>
      <c r="AM130" s="13">
        <v>0</v>
      </c>
      <c r="AN130" s="13">
        <v>0</v>
      </c>
      <c r="AO130" s="13">
        <v>1</v>
      </c>
      <c r="AP130" s="13">
        <v>1</v>
      </c>
      <c r="AQ130" s="13" t="s">
        <v>48</v>
      </c>
      <c r="AR130" s="13">
        <v>0</v>
      </c>
      <c r="AS130" s="13">
        <v>1</v>
      </c>
      <c r="AT130" s="13">
        <v>1</v>
      </c>
      <c r="AU130" s="13">
        <v>1</v>
      </c>
      <c r="AV130" s="13">
        <v>0</v>
      </c>
      <c r="AW130" s="13">
        <v>39</v>
      </c>
      <c r="AX130" s="51">
        <f>5.51/4.22</f>
        <v>1.3056872037914693</v>
      </c>
      <c r="AY130" s="31">
        <v>0</v>
      </c>
      <c r="AZ130" s="31">
        <v>0</v>
      </c>
      <c r="BA130" s="31">
        <v>1</v>
      </c>
      <c r="BB130" s="51">
        <f>3.54/3.5</f>
        <v>1.0114285714285713</v>
      </c>
      <c r="BC130" s="31">
        <v>3</v>
      </c>
      <c r="BD130" s="31">
        <v>1</v>
      </c>
      <c r="BE130" s="31"/>
      <c r="BF130" s="13">
        <v>0</v>
      </c>
      <c r="BG130" s="13" t="s">
        <v>48</v>
      </c>
      <c r="BH130" s="13">
        <v>1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 t="s">
        <v>48</v>
      </c>
      <c r="BQ130" s="13" t="s">
        <v>48</v>
      </c>
      <c r="BR130" s="13">
        <v>0</v>
      </c>
      <c r="BS130" s="13" t="s">
        <v>48</v>
      </c>
      <c r="BT130" s="13">
        <v>0</v>
      </c>
      <c r="BU130" s="13">
        <v>0</v>
      </c>
      <c r="BV130" s="61" t="s">
        <v>50</v>
      </c>
      <c r="BW130" s="99">
        <v>0</v>
      </c>
      <c r="BX130" s="13">
        <v>1</v>
      </c>
      <c r="BY130" s="13">
        <v>0</v>
      </c>
      <c r="BZ130" s="13">
        <v>0</v>
      </c>
      <c r="CA130" s="13">
        <v>0</v>
      </c>
      <c r="CB130" s="34" t="s">
        <v>60</v>
      </c>
    </row>
    <row r="131" spans="1:80" s="18" customFormat="1" ht="18.75" x14ac:dyDescent="0.3">
      <c r="A131" s="1">
        <v>130</v>
      </c>
      <c r="B131" s="60">
        <v>74</v>
      </c>
      <c r="C131" s="13" t="s">
        <v>52</v>
      </c>
      <c r="D131" s="50" t="s">
        <v>47</v>
      </c>
      <c r="E131" s="13" t="s">
        <v>77</v>
      </c>
      <c r="F131" s="5">
        <f>'[2]Removed Saddle Values'!G131*2.54</f>
        <v>152.4</v>
      </c>
      <c r="G131" s="5">
        <v>95.9</v>
      </c>
      <c r="H131" s="5">
        <f t="shared" si="4"/>
        <v>41.290360358498496</v>
      </c>
      <c r="I131" s="13">
        <v>1</v>
      </c>
      <c r="J131" s="13">
        <v>4</v>
      </c>
      <c r="K131" s="13">
        <v>2</v>
      </c>
      <c r="L131" s="13">
        <v>1</v>
      </c>
      <c r="M131" s="13">
        <v>115</v>
      </c>
      <c r="N131" s="13">
        <v>0</v>
      </c>
      <c r="O131" s="13">
        <v>145</v>
      </c>
      <c r="P131" s="13">
        <v>0</v>
      </c>
      <c r="Q131" s="13">
        <v>22</v>
      </c>
      <c r="R131" s="13">
        <v>0</v>
      </c>
      <c r="S131" s="5">
        <v>98.2</v>
      </c>
      <c r="T131" s="13">
        <v>1</v>
      </c>
      <c r="U131" s="13">
        <v>89</v>
      </c>
      <c r="V131" s="13">
        <v>1</v>
      </c>
      <c r="W131" s="13">
        <v>0</v>
      </c>
      <c r="X131" s="13">
        <v>1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1</v>
      </c>
      <c r="AP131" s="13">
        <v>1</v>
      </c>
      <c r="AQ131" s="13">
        <v>1</v>
      </c>
      <c r="AR131" s="13">
        <v>1</v>
      </c>
      <c r="AS131" s="13">
        <v>1</v>
      </c>
      <c r="AT131" s="13">
        <v>1</v>
      </c>
      <c r="AU131" s="13">
        <v>1</v>
      </c>
      <c r="AV131" s="13">
        <v>0</v>
      </c>
      <c r="AW131" s="13">
        <v>21</v>
      </c>
      <c r="AX131" s="51">
        <f>4.64/3.36</f>
        <v>1.3809523809523809</v>
      </c>
      <c r="AY131" s="31">
        <v>0</v>
      </c>
      <c r="AZ131" s="31">
        <v>0</v>
      </c>
      <c r="BA131" s="31">
        <v>1</v>
      </c>
      <c r="BB131" s="51">
        <f>2.82/2.43</f>
        <v>1.1604938271604937</v>
      </c>
      <c r="BC131" s="31">
        <v>5</v>
      </c>
      <c r="BD131" s="31">
        <v>1</v>
      </c>
      <c r="BE131" s="31"/>
      <c r="BF131" s="13">
        <v>0</v>
      </c>
      <c r="BG131" s="13" t="s">
        <v>48</v>
      </c>
      <c r="BH131" s="13">
        <v>1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1</v>
      </c>
      <c r="BP131" s="13">
        <v>0</v>
      </c>
      <c r="BQ131" s="13">
        <v>0</v>
      </c>
      <c r="BR131" s="13">
        <v>0</v>
      </c>
      <c r="BS131" s="13" t="s">
        <v>48</v>
      </c>
      <c r="BT131" s="13">
        <v>0</v>
      </c>
      <c r="BU131" s="13">
        <v>0</v>
      </c>
      <c r="BV131" s="61" t="s">
        <v>50</v>
      </c>
      <c r="BW131" s="99">
        <v>0</v>
      </c>
      <c r="BX131" s="13">
        <v>0</v>
      </c>
      <c r="BY131" s="13">
        <v>1</v>
      </c>
      <c r="BZ131" s="13">
        <v>0</v>
      </c>
      <c r="CA131" s="13">
        <v>0</v>
      </c>
      <c r="CB131" s="34" t="s">
        <v>54</v>
      </c>
    </row>
    <row r="132" spans="1:80" s="18" customFormat="1" ht="18.75" x14ac:dyDescent="0.3">
      <c r="A132" s="1">
        <v>131</v>
      </c>
      <c r="B132" s="69">
        <v>64</v>
      </c>
      <c r="C132" s="70" t="s">
        <v>52</v>
      </c>
      <c r="D132" s="70" t="s">
        <v>53</v>
      </c>
      <c r="E132" s="70" t="s">
        <v>83</v>
      </c>
      <c r="F132" s="5">
        <v>160.02000000000001</v>
      </c>
      <c r="G132" s="5">
        <v>88.5</v>
      </c>
      <c r="H132" s="5">
        <f t="shared" si="4"/>
        <v>34.561671542088362</v>
      </c>
      <c r="I132" s="13">
        <v>1</v>
      </c>
      <c r="J132" s="13">
        <v>2</v>
      </c>
      <c r="K132" s="13">
        <v>2</v>
      </c>
      <c r="L132" s="13">
        <v>1</v>
      </c>
      <c r="M132" s="13">
        <v>110</v>
      </c>
      <c r="N132" s="13">
        <v>0</v>
      </c>
      <c r="O132" s="13">
        <v>113</v>
      </c>
      <c r="P132" s="13">
        <v>0</v>
      </c>
      <c r="Q132" s="13">
        <v>18</v>
      </c>
      <c r="R132" s="13">
        <v>0</v>
      </c>
      <c r="S132" s="5">
        <v>97.7</v>
      </c>
      <c r="T132" s="13">
        <v>0</v>
      </c>
      <c r="U132" s="13">
        <v>99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1</v>
      </c>
      <c r="AH132" s="13">
        <v>1</v>
      </c>
      <c r="AI132" s="13">
        <v>1</v>
      </c>
      <c r="AJ132" s="13">
        <v>0</v>
      </c>
      <c r="AK132" s="13">
        <v>0</v>
      </c>
      <c r="AL132" s="13">
        <v>1</v>
      </c>
      <c r="AM132" s="13">
        <v>0</v>
      </c>
      <c r="AN132" s="13">
        <v>0</v>
      </c>
      <c r="AO132" s="13" t="s">
        <v>48</v>
      </c>
      <c r="AP132" s="13" t="s">
        <v>48</v>
      </c>
      <c r="AQ132" s="13">
        <v>1</v>
      </c>
      <c r="AR132" s="13">
        <v>1</v>
      </c>
      <c r="AS132" s="13" t="s">
        <v>48</v>
      </c>
      <c r="AT132" s="13" t="s">
        <v>48</v>
      </c>
      <c r="AU132" s="13" t="s">
        <v>48</v>
      </c>
      <c r="AV132" s="13" t="s">
        <v>48</v>
      </c>
      <c r="AW132" s="13" t="s">
        <v>48</v>
      </c>
      <c r="AX132" s="71">
        <f>4.34/3.54</f>
        <v>1.2259887005649717</v>
      </c>
      <c r="AY132" s="31">
        <v>0</v>
      </c>
      <c r="AZ132" s="31">
        <v>0</v>
      </c>
      <c r="BA132" s="31">
        <v>1</v>
      </c>
      <c r="BB132" s="71">
        <f>3.31/3.19</f>
        <v>1.0376175548589341</v>
      </c>
      <c r="BC132" s="72">
        <v>5</v>
      </c>
      <c r="BD132" s="72">
        <v>1</v>
      </c>
      <c r="BE132" s="72"/>
      <c r="BF132" s="13">
        <v>0</v>
      </c>
      <c r="BG132" s="13" t="s">
        <v>48</v>
      </c>
      <c r="BH132" s="13">
        <v>1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1</v>
      </c>
      <c r="BO132" s="13">
        <v>0</v>
      </c>
      <c r="BP132" s="13">
        <v>1</v>
      </c>
      <c r="BQ132" s="13">
        <v>1</v>
      </c>
      <c r="BR132" s="13">
        <v>0</v>
      </c>
      <c r="BS132" s="13" t="s">
        <v>48</v>
      </c>
      <c r="BT132" s="13">
        <v>0</v>
      </c>
      <c r="BU132" s="13">
        <v>0</v>
      </c>
      <c r="BV132" s="73" t="s">
        <v>50</v>
      </c>
      <c r="BW132" s="101">
        <v>0</v>
      </c>
      <c r="BX132" s="13">
        <v>0</v>
      </c>
      <c r="BY132" s="13">
        <v>0</v>
      </c>
      <c r="BZ132" s="13">
        <v>0</v>
      </c>
      <c r="CA132" s="13">
        <v>0</v>
      </c>
      <c r="CB132" s="34" t="s">
        <v>56</v>
      </c>
    </row>
    <row r="133" spans="1:80" s="18" customFormat="1" ht="18.75" x14ac:dyDescent="0.3">
      <c r="A133" s="1">
        <v>132</v>
      </c>
      <c r="B133" s="69">
        <v>46</v>
      </c>
      <c r="C133" s="70" t="s">
        <v>46</v>
      </c>
      <c r="D133" s="70" t="s">
        <v>53</v>
      </c>
      <c r="E133" s="70" t="s">
        <v>83</v>
      </c>
      <c r="F133" s="5">
        <v>187.96</v>
      </c>
      <c r="G133" s="5">
        <v>116.2</v>
      </c>
      <c r="H133" s="5">
        <f t="shared" si="4"/>
        <v>32.890861983330979</v>
      </c>
      <c r="I133" s="13">
        <v>0</v>
      </c>
      <c r="J133" s="13">
        <v>1</v>
      </c>
      <c r="K133" s="13">
        <v>2</v>
      </c>
      <c r="L133" s="13">
        <v>0</v>
      </c>
      <c r="M133" s="13">
        <v>99</v>
      </c>
      <c r="N133" s="13">
        <v>0</v>
      </c>
      <c r="O133" s="13">
        <v>147</v>
      </c>
      <c r="P133" s="13">
        <v>0</v>
      </c>
      <c r="Q133" s="13">
        <v>18</v>
      </c>
      <c r="R133" s="13">
        <v>0</v>
      </c>
      <c r="S133" s="5">
        <v>100.2</v>
      </c>
      <c r="T133" s="13">
        <v>0</v>
      </c>
      <c r="U133" s="13">
        <v>97</v>
      </c>
      <c r="V133" s="13">
        <v>1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1</v>
      </c>
      <c r="AM133" s="13">
        <v>0</v>
      </c>
      <c r="AN133" s="13">
        <v>0</v>
      </c>
      <c r="AO133" s="13">
        <v>1</v>
      </c>
      <c r="AP133" s="13">
        <v>1</v>
      </c>
      <c r="AQ133" s="13">
        <v>0</v>
      </c>
      <c r="AR133" s="13">
        <v>0</v>
      </c>
      <c r="AS133" s="13">
        <v>1</v>
      </c>
      <c r="AT133" s="13">
        <v>1</v>
      </c>
      <c r="AU133" s="13">
        <v>1</v>
      </c>
      <c r="AV133" s="13">
        <v>0</v>
      </c>
      <c r="AW133" s="13" t="s">
        <v>192</v>
      </c>
      <c r="AX133" s="71">
        <f>4.32/4.69</f>
        <v>0.9211087420042644</v>
      </c>
      <c r="AY133" s="31">
        <v>0</v>
      </c>
      <c r="AZ133" s="31">
        <v>1</v>
      </c>
      <c r="BA133" s="31">
        <v>0</v>
      </c>
      <c r="BB133" s="71">
        <f>3.7/3.01</f>
        <v>1.2292358803986712</v>
      </c>
      <c r="BC133" s="72">
        <v>1</v>
      </c>
      <c r="BD133" s="72">
        <v>0</v>
      </c>
      <c r="BE133" s="72"/>
      <c r="BF133" s="13">
        <v>0</v>
      </c>
      <c r="BG133" s="13" t="s">
        <v>48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 t="s">
        <v>48</v>
      </c>
      <c r="BQ133" s="13" t="s">
        <v>48</v>
      </c>
      <c r="BR133" s="13">
        <v>0</v>
      </c>
      <c r="BS133" s="13" t="s">
        <v>48</v>
      </c>
      <c r="BT133" s="13">
        <v>0</v>
      </c>
      <c r="BU133" s="13">
        <v>0</v>
      </c>
      <c r="BV133" s="73" t="s">
        <v>50</v>
      </c>
      <c r="BW133" s="101">
        <v>0</v>
      </c>
      <c r="BX133" s="13">
        <v>0</v>
      </c>
      <c r="BY133" s="13">
        <v>1</v>
      </c>
      <c r="BZ133" s="13">
        <v>0</v>
      </c>
      <c r="CA133" s="13">
        <v>0</v>
      </c>
      <c r="CB133" s="34" t="s">
        <v>54</v>
      </c>
    </row>
    <row r="134" spans="1:80" s="18" customFormat="1" ht="18.75" x14ac:dyDescent="0.3">
      <c r="A134" s="1">
        <v>133</v>
      </c>
      <c r="B134" s="69">
        <v>75</v>
      </c>
      <c r="C134" s="70" t="s">
        <v>52</v>
      </c>
      <c r="D134" s="70" t="s">
        <v>47</v>
      </c>
      <c r="E134" s="70" t="s">
        <v>109</v>
      </c>
      <c r="F134" s="5">
        <f>'[2]Removed Saddle Values'!G134*2.54</f>
        <v>165.1</v>
      </c>
      <c r="G134" s="5">
        <v>63</v>
      </c>
      <c r="H134" s="5">
        <f t="shared" si="4"/>
        <v>23.112472260447479</v>
      </c>
      <c r="I134" s="31">
        <v>1</v>
      </c>
      <c r="J134" s="13">
        <v>4</v>
      </c>
      <c r="K134" s="94">
        <v>2</v>
      </c>
      <c r="L134" s="13">
        <v>0</v>
      </c>
      <c r="M134" s="13">
        <v>103</v>
      </c>
      <c r="N134" s="13">
        <v>1</v>
      </c>
      <c r="O134" s="13">
        <v>132</v>
      </c>
      <c r="P134" s="13">
        <v>0</v>
      </c>
      <c r="Q134" s="13">
        <v>18</v>
      </c>
      <c r="R134" s="13">
        <v>0</v>
      </c>
      <c r="S134" s="5">
        <v>98.3</v>
      </c>
      <c r="T134" s="13">
        <v>1</v>
      </c>
      <c r="U134" s="13">
        <v>85</v>
      </c>
      <c r="V134" s="13">
        <v>1</v>
      </c>
      <c r="W134" s="13">
        <v>0</v>
      </c>
      <c r="X134" s="13">
        <v>0</v>
      </c>
      <c r="Y134" s="13">
        <v>0</v>
      </c>
      <c r="Z134" s="13">
        <v>1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1</v>
      </c>
      <c r="AP134" s="13">
        <v>0</v>
      </c>
      <c r="AQ134" s="13" t="s">
        <v>48</v>
      </c>
      <c r="AR134" s="13">
        <v>1</v>
      </c>
      <c r="AS134" s="13">
        <v>0</v>
      </c>
      <c r="AT134" s="13">
        <v>0</v>
      </c>
      <c r="AU134" s="13">
        <v>0</v>
      </c>
      <c r="AV134" s="13">
        <v>0</v>
      </c>
      <c r="AW134" s="13">
        <v>22.5</v>
      </c>
      <c r="AX134" s="71">
        <f>3.86/3</f>
        <v>1.2866666666666666</v>
      </c>
      <c r="AY134" s="31">
        <v>0</v>
      </c>
      <c r="AZ134" s="31">
        <v>0</v>
      </c>
      <c r="BA134" s="31">
        <v>1</v>
      </c>
      <c r="BB134" s="71">
        <f>3.16/2.88</f>
        <v>1.0972222222222223</v>
      </c>
      <c r="BC134" s="72">
        <v>4</v>
      </c>
      <c r="BD134" s="72">
        <v>1</v>
      </c>
      <c r="BE134" s="72"/>
      <c r="BF134" s="13">
        <v>0</v>
      </c>
      <c r="BG134" s="13" t="s">
        <v>48</v>
      </c>
      <c r="BH134" s="13">
        <v>1</v>
      </c>
      <c r="BI134" s="13">
        <v>1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13">
        <v>1</v>
      </c>
      <c r="BP134" s="13">
        <v>1</v>
      </c>
      <c r="BQ134" s="13">
        <v>1</v>
      </c>
      <c r="BR134" s="13">
        <v>0</v>
      </c>
      <c r="BS134" s="13" t="s">
        <v>48</v>
      </c>
      <c r="BT134" s="13">
        <v>0</v>
      </c>
      <c r="BU134" s="13">
        <v>0</v>
      </c>
      <c r="BV134" s="73" t="s">
        <v>50</v>
      </c>
      <c r="BW134" s="101">
        <v>0</v>
      </c>
      <c r="BX134" s="13">
        <v>0</v>
      </c>
      <c r="BY134" s="13">
        <v>0</v>
      </c>
      <c r="BZ134" s="13">
        <v>0</v>
      </c>
      <c r="CA134" s="13">
        <v>0</v>
      </c>
      <c r="CB134" s="34" t="s">
        <v>60</v>
      </c>
    </row>
    <row r="135" spans="1:80" s="18" customFormat="1" ht="18.75" x14ac:dyDescent="0.3">
      <c r="A135" s="1">
        <v>134</v>
      </c>
      <c r="B135" s="69">
        <v>76</v>
      </c>
      <c r="C135" s="70" t="s">
        <v>46</v>
      </c>
      <c r="D135" s="70" t="s">
        <v>159</v>
      </c>
      <c r="E135" s="70" t="s">
        <v>85</v>
      </c>
      <c r="F135" s="5">
        <v>180.34</v>
      </c>
      <c r="G135" s="5">
        <v>87</v>
      </c>
      <c r="H135" s="5">
        <f t="shared" si="4"/>
        <v>26.750698214746951</v>
      </c>
      <c r="I135" s="13">
        <v>1</v>
      </c>
      <c r="J135" s="13">
        <v>4</v>
      </c>
      <c r="K135" s="13">
        <v>2</v>
      </c>
      <c r="L135" s="13">
        <v>1</v>
      </c>
      <c r="M135" s="13">
        <v>123</v>
      </c>
      <c r="N135" s="13">
        <v>0</v>
      </c>
      <c r="O135" s="13">
        <v>141</v>
      </c>
      <c r="P135" s="13">
        <v>0</v>
      </c>
      <c r="Q135" s="13">
        <v>22</v>
      </c>
      <c r="R135" s="13">
        <v>0</v>
      </c>
      <c r="S135" s="5">
        <v>98.2</v>
      </c>
      <c r="T135" s="13">
        <v>0</v>
      </c>
      <c r="U135" s="13">
        <v>94</v>
      </c>
      <c r="V135" s="13">
        <v>1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1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1</v>
      </c>
      <c r="AP135" s="13">
        <v>1</v>
      </c>
      <c r="AQ135" s="13">
        <v>1</v>
      </c>
      <c r="AR135" s="13">
        <v>0</v>
      </c>
      <c r="AS135" s="13">
        <v>1</v>
      </c>
      <c r="AT135" s="13">
        <v>0</v>
      </c>
      <c r="AU135" s="13">
        <v>0</v>
      </c>
      <c r="AV135" s="13">
        <v>0</v>
      </c>
      <c r="AW135" s="13">
        <v>70</v>
      </c>
      <c r="AX135" s="71">
        <f>2.58/3.12</f>
        <v>0.82692307692307687</v>
      </c>
      <c r="AY135" s="31">
        <v>0</v>
      </c>
      <c r="AZ135" s="31">
        <v>0</v>
      </c>
      <c r="BA135" s="31">
        <v>0</v>
      </c>
      <c r="BB135" s="71">
        <f>2.58/3.12</f>
        <v>0.82692307692307687</v>
      </c>
      <c r="BC135" s="72">
        <v>1</v>
      </c>
      <c r="BD135" s="72">
        <v>0</v>
      </c>
      <c r="BE135" s="72"/>
      <c r="BF135" s="13">
        <v>0</v>
      </c>
      <c r="BG135" s="13" t="s">
        <v>48</v>
      </c>
      <c r="BH135" s="13">
        <v>1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1</v>
      </c>
      <c r="BP135" s="13">
        <v>0</v>
      </c>
      <c r="BQ135" s="13">
        <v>1</v>
      </c>
      <c r="BR135" s="13">
        <v>0</v>
      </c>
      <c r="BS135" s="13" t="s">
        <v>48</v>
      </c>
      <c r="BT135" s="13">
        <v>0</v>
      </c>
      <c r="BU135" s="13">
        <v>0</v>
      </c>
      <c r="BV135" s="73" t="s">
        <v>50</v>
      </c>
      <c r="BW135" s="101">
        <v>0</v>
      </c>
      <c r="BX135" s="13">
        <v>0</v>
      </c>
      <c r="BY135" s="13">
        <v>1</v>
      </c>
      <c r="BZ135" s="13">
        <v>0</v>
      </c>
      <c r="CA135" s="13">
        <v>0</v>
      </c>
      <c r="CB135" s="34" t="s">
        <v>54</v>
      </c>
    </row>
    <row r="136" spans="1:80" s="18" customFormat="1" ht="18.75" x14ac:dyDescent="0.3">
      <c r="A136" s="1">
        <v>135</v>
      </c>
      <c r="B136" s="69">
        <v>68</v>
      </c>
      <c r="C136" s="70" t="s">
        <v>46</v>
      </c>
      <c r="D136" s="70" t="s">
        <v>47</v>
      </c>
      <c r="E136" s="70" t="s">
        <v>85</v>
      </c>
      <c r="F136" s="5">
        <v>175.26</v>
      </c>
      <c r="G136" s="5">
        <v>92.1</v>
      </c>
      <c r="H136" s="5">
        <f t="shared" si="4"/>
        <v>29.984306975545266</v>
      </c>
      <c r="I136" s="13">
        <v>1</v>
      </c>
      <c r="J136" s="13">
        <v>4</v>
      </c>
      <c r="K136" s="13">
        <v>2</v>
      </c>
      <c r="L136" s="13">
        <v>0</v>
      </c>
      <c r="M136" s="13">
        <v>86</v>
      </c>
      <c r="N136" s="13">
        <v>0</v>
      </c>
      <c r="O136" s="13">
        <v>116</v>
      </c>
      <c r="P136" s="13">
        <v>0</v>
      </c>
      <c r="Q136" s="13">
        <v>18</v>
      </c>
      <c r="R136" s="13">
        <v>0</v>
      </c>
      <c r="S136" s="5">
        <v>97.8</v>
      </c>
      <c r="T136" s="13">
        <v>0</v>
      </c>
      <c r="U136" s="13">
        <v>96</v>
      </c>
      <c r="V136" s="13">
        <v>1</v>
      </c>
      <c r="W136" s="13">
        <v>0</v>
      </c>
      <c r="X136" s="13">
        <v>1</v>
      </c>
      <c r="Y136" s="13">
        <v>0</v>
      </c>
      <c r="Z136" s="13">
        <v>1</v>
      </c>
      <c r="AA136" s="13">
        <v>0</v>
      </c>
      <c r="AB136" s="13">
        <v>1</v>
      </c>
      <c r="AC136" s="13">
        <v>1</v>
      </c>
      <c r="AD136" s="13">
        <v>0</v>
      </c>
      <c r="AE136" s="13">
        <v>1</v>
      </c>
      <c r="AF136" s="13">
        <v>0</v>
      </c>
      <c r="AG136" s="13">
        <v>1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1</v>
      </c>
      <c r="AP136" s="13">
        <v>1</v>
      </c>
      <c r="AQ136" s="13" t="s">
        <v>48</v>
      </c>
      <c r="AR136" s="13">
        <v>1</v>
      </c>
      <c r="AS136" s="13">
        <v>1</v>
      </c>
      <c r="AT136" s="13">
        <v>1</v>
      </c>
      <c r="AU136" s="13">
        <v>1</v>
      </c>
      <c r="AV136" s="13">
        <v>0</v>
      </c>
      <c r="AW136" s="13">
        <v>50.4</v>
      </c>
      <c r="AX136" s="71">
        <f>4.43/4.65</f>
        <v>0.95268817204301059</v>
      </c>
      <c r="AY136" s="31">
        <v>0</v>
      </c>
      <c r="AZ136" s="31">
        <v>0</v>
      </c>
      <c r="BA136" s="31">
        <v>1</v>
      </c>
      <c r="BB136" s="71">
        <f>2.93/3.57</f>
        <v>0.82072829131652669</v>
      </c>
      <c r="BC136" s="72">
        <v>1</v>
      </c>
      <c r="BD136" s="72">
        <v>1</v>
      </c>
      <c r="BE136" s="72"/>
      <c r="BF136" s="13">
        <v>0</v>
      </c>
      <c r="BG136" s="13" t="s">
        <v>48</v>
      </c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 t="s">
        <v>48</v>
      </c>
      <c r="BQ136" s="13" t="s">
        <v>48</v>
      </c>
      <c r="BR136" s="13">
        <v>1</v>
      </c>
      <c r="BS136" s="34" t="s">
        <v>144</v>
      </c>
      <c r="BT136" s="13">
        <v>0</v>
      </c>
      <c r="BU136" s="13">
        <v>0</v>
      </c>
      <c r="BV136" s="73" t="s">
        <v>50</v>
      </c>
      <c r="BW136" s="101">
        <v>0</v>
      </c>
      <c r="BX136" s="13">
        <v>0</v>
      </c>
      <c r="BY136" s="13">
        <v>1</v>
      </c>
      <c r="BZ136" s="13">
        <v>0</v>
      </c>
      <c r="CA136" s="13">
        <v>0</v>
      </c>
      <c r="CB136" s="34" t="s">
        <v>60</v>
      </c>
    </row>
    <row r="137" spans="1:80" s="18" customFormat="1" ht="18.75" x14ac:dyDescent="0.3">
      <c r="A137" s="1">
        <v>136</v>
      </c>
      <c r="B137" s="69">
        <v>66</v>
      </c>
      <c r="C137" s="70" t="s">
        <v>52</v>
      </c>
      <c r="D137" s="70" t="s">
        <v>53</v>
      </c>
      <c r="E137" s="70" t="s">
        <v>74</v>
      </c>
      <c r="F137" s="5">
        <v>167.64</v>
      </c>
      <c r="G137" s="5">
        <v>99.3</v>
      </c>
      <c r="H137" s="5">
        <f t="shared" si="4"/>
        <v>35.334092706752912</v>
      </c>
      <c r="I137" s="13">
        <v>1</v>
      </c>
      <c r="J137" s="13">
        <v>5</v>
      </c>
      <c r="K137" s="94">
        <v>4</v>
      </c>
      <c r="L137" s="13">
        <v>1</v>
      </c>
      <c r="M137" s="13">
        <v>153</v>
      </c>
      <c r="N137" s="13">
        <v>1</v>
      </c>
      <c r="O137" s="13">
        <v>56</v>
      </c>
      <c r="P137" s="13">
        <v>0</v>
      </c>
      <c r="Q137" s="13">
        <v>19</v>
      </c>
      <c r="R137" s="13">
        <v>1</v>
      </c>
      <c r="S137" s="5">
        <v>92.3</v>
      </c>
      <c r="T137" s="13">
        <v>1</v>
      </c>
      <c r="U137" s="13" t="s">
        <v>48</v>
      </c>
      <c r="V137" s="13">
        <v>1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1</v>
      </c>
      <c r="AH137" s="13">
        <v>1</v>
      </c>
      <c r="AI137" s="13">
        <v>1</v>
      </c>
      <c r="AJ137" s="13">
        <v>0</v>
      </c>
      <c r="AK137" s="13">
        <v>0</v>
      </c>
      <c r="AL137" s="13">
        <v>0</v>
      </c>
      <c r="AM137" s="13">
        <v>1</v>
      </c>
      <c r="AN137" s="13">
        <v>1</v>
      </c>
      <c r="AO137" s="13">
        <v>1</v>
      </c>
      <c r="AP137" s="13">
        <v>0</v>
      </c>
      <c r="AQ137" s="13">
        <v>0</v>
      </c>
      <c r="AR137" s="13">
        <v>1</v>
      </c>
      <c r="AS137" s="13">
        <v>1</v>
      </c>
      <c r="AT137" s="13">
        <v>1</v>
      </c>
      <c r="AU137" s="13">
        <v>1</v>
      </c>
      <c r="AV137" s="13">
        <v>0</v>
      </c>
      <c r="AW137" s="13">
        <v>40</v>
      </c>
      <c r="AX137" s="71">
        <f>3.53/3.66</f>
        <v>0.96448087431693985</v>
      </c>
      <c r="AY137" s="31">
        <v>0</v>
      </c>
      <c r="AZ137" s="31">
        <v>0</v>
      </c>
      <c r="BA137" s="31">
        <v>1</v>
      </c>
      <c r="BB137" s="71">
        <f>3.25/3.3</f>
        <v>0.98484848484848486</v>
      </c>
      <c r="BC137" s="72">
        <v>5</v>
      </c>
      <c r="BD137" s="72">
        <v>1</v>
      </c>
      <c r="BE137" s="72"/>
      <c r="BF137" s="13">
        <v>1</v>
      </c>
      <c r="BG137" s="34" t="s">
        <v>170</v>
      </c>
      <c r="BH137" s="13">
        <v>1</v>
      </c>
      <c r="BI137" s="13">
        <v>1</v>
      </c>
      <c r="BJ137" s="13">
        <v>1</v>
      </c>
      <c r="BK137" s="13">
        <v>1</v>
      </c>
      <c r="BL137" s="13">
        <v>0</v>
      </c>
      <c r="BM137" s="13">
        <v>1</v>
      </c>
      <c r="BN137" s="13">
        <v>1</v>
      </c>
      <c r="BO137" s="13">
        <v>0</v>
      </c>
      <c r="BP137" s="13">
        <v>1</v>
      </c>
      <c r="BQ137" s="13">
        <v>1</v>
      </c>
      <c r="BR137" s="13">
        <v>0</v>
      </c>
      <c r="BS137" s="13" t="s">
        <v>48</v>
      </c>
      <c r="BT137" s="13">
        <v>0</v>
      </c>
      <c r="BU137" s="13">
        <v>0</v>
      </c>
      <c r="BV137" s="73" t="s">
        <v>82</v>
      </c>
      <c r="BW137" s="101" t="s">
        <v>48</v>
      </c>
      <c r="BX137" s="13">
        <v>0</v>
      </c>
      <c r="BY137" s="13">
        <v>0</v>
      </c>
      <c r="BZ137" s="13">
        <v>0</v>
      </c>
      <c r="CA137" s="13">
        <v>0</v>
      </c>
      <c r="CB137" s="34" t="s">
        <v>171</v>
      </c>
    </row>
    <row r="138" spans="1:80" s="18" customFormat="1" ht="18.75" x14ac:dyDescent="0.3">
      <c r="A138" s="1">
        <v>137</v>
      </c>
      <c r="B138" s="69">
        <v>65</v>
      </c>
      <c r="C138" s="70" t="s">
        <v>46</v>
      </c>
      <c r="D138" s="70" t="s">
        <v>47</v>
      </c>
      <c r="E138" s="70" t="s">
        <v>77</v>
      </c>
      <c r="F138" s="5">
        <f>'[2]Removed Saddle Values'!G138*2.54</f>
        <v>175.26</v>
      </c>
      <c r="G138" s="5">
        <v>162</v>
      </c>
      <c r="H138" s="5">
        <f t="shared" si="4"/>
        <v>52.741126276203403</v>
      </c>
      <c r="I138" s="13">
        <v>0</v>
      </c>
      <c r="J138" s="13">
        <v>2</v>
      </c>
      <c r="K138" s="13">
        <v>1</v>
      </c>
      <c r="L138" s="13">
        <v>0</v>
      </c>
      <c r="M138" s="13">
        <v>96</v>
      </c>
      <c r="N138" s="13">
        <v>0</v>
      </c>
      <c r="O138" s="13">
        <v>157</v>
      </c>
      <c r="P138" s="13">
        <v>0</v>
      </c>
      <c r="Q138" s="13">
        <v>22</v>
      </c>
      <c r="R138" s="13">
        <v>0</v>
      </c>
      <c r="S138" s="5">
        <v>98.3</v>
      </c>
      <c r="T138" s="13">
        <v>0</v>
      </c>
      <c r="U138" s="13">
        <v>96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1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1</v>
      </c>
      <c r="AL138" s="13">
        <v>0</v>
      </c>
      <c r="AM138" s="13">
        <v>0</v>
      </c>
      <c r="AN138" s="13">
        <v>0</v>
      </c>
      <c r="AO138" s="13">
        <v>0</v>
      </c>
      <c r="AP138" s="13" t="s">
        <v>48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1</v>
      </c>
      <c r="AW138" s="13" t="s">
        <v>192</v>
      </c>
      <c r="AX138" s="71">
        <f>3.56/5.6</f>
        <v>0.63571428571428579</v>
      </c>
      <c r="AY138" s="31">
        <v>0</v>
      </c>
      <c r="AZ138" s="31">
        <v>0</v>
      </c>
      <c r="BA138" s="31">
        <v>0</v>
      </c>
      <c r="BB138" s="71">
        <f>2.76/3.69</f>
        <v>0.74796747967479671</v>
      </c>
      <c r="BC138" s="72">
        <v>1</v>
      </c>
      <c r="BD138" s="72">
        <v>0</v>
      </c>
      <c r="BE138" s="72"/>
      <c r="BF138" s="13">
        <v>0</v>
      </c>
      <c r="BG138" s="13" t="s">
        <v>48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 t="s">
        <v>48</v>
      </c>
      <c r="BQ138" s="13" t="s">
        <v>48</v>
      </c>
      <c r="BR138" s="13">
        <v>0</v>
      </c>
      <c r="BS138" s="13" t="s">
        <v>48</v>
      </c>
      <c r="BT138" s="13">
        <v>0</v>
      </c>
      <c r="BU138" s="13">
        <v>0</v>
      </c>
      <c r="BV138" s="73" t="s">
        <v>50</v>
      </c>
      <c r="BW138" s="101">
        <v>0</v>
      </c>
      <c r="BX138" s="13">
        <v>0</v>
      </c>
      <c r="BY138" s="13">
        <v>0</v>
      </c>
      <c r="BZ138" s="13">
        <v>0</v>
      </c>
      <c r="CA138" s="13">
        <v>0</v>
      </c>
      <c r="CB138" s="34" t="s">
        <v>172</v>
      </c>
    </row>
    <row r="139" spans="1:80" s="18" customFormat="1" ht="18.75" x14ac:dyDescent="0.3">
      <c r="A139" s="1">
        <v>138</v>
      </c>
      <c r="B139" s="69">
        <v>54</v>
      </c>
      <c r="C139" s="70" t="s">
        <v>46</v>
      </c>
      <c r="D139" s="70" t="s">
        <v>47</v>
      </c>
      <c r="E139" s="70" t="s">
        <v>77</v>
      </c>
      <c r="F139" s="5">
        <f>'[2]Removed Saddle Values'!G139*2.54</f>
        <v>187.96</v>
      </c>
      <c r="G139" s="5">
        <v>110.8</v>
      </c>
      <c r="H139" s="5">
        <f t="shared" si="4"/>
        <v>31.362370978942099</v>
      </c>
      <c r="I139" s="13">
        <v>0</v>
      </c>
      <c r="J139" s="13">
        <v>1</v>
      </c>
      <c r="K139" s="13">
        <v>2</v>
      </c>
      <c r="L139" s="13">
        <v>0</v>
      </c>
      <c r="M139" s="13">
        <v>86</v>
      </c>
      <c r="N139" s="13">
        <v>0</v>
      </c>
      <c r="O139" s="13">
        <v>147</v>
      </c>
      <c r="P139" s="13">
        <v>0</v>
      </c>
      <c r="Q139" s="13">
        <v>18</v>
      </c>
      <c r="R139" s="13">
        <v>0</v>
      </c>
      <c r="S139" s="5">
        <v>97.2</v>
      </c>
      <c r="T139" s="13">
        <v>0</v>
      </c>
      <c r="U139" s="13">
        <v>98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1</v>
      </c>
      <c r="AP139" s="13">
        <v>1</v>
      </c>
      <c r="AQ139" s="13">
        <v>1</v>
      </c>
      <c r="AR139" s="13">
        <v>1</v>
      </c>
      <c r="AS139" s="13" t="s">
        <v>48</v>
      </c>
      <c r="AT139" s="13" t="s">
        <v>48</v>
      </c>
      <c r="AU139" s="13" t="s">
        <v>48</v>
      </c>
      <c r="AV139" s="13" t="s">
        <v>48</v>
      </c>
      <c r="AW139" s="13" t="s">
        <v>48</v>
      </c>
      <c r="AX139" s="71">
        <f>5.28/4.86</f>
        <v>1.0864197530864197</v>
      </c>
      <c r="AY139" s="31">
        <v>0</v>
      </c>
      <c r="AZ139" s="31">
        <v>0</v>
      </c>
      <c r="BA139" s="31">
        <v>1</v>
      </c>
      <c r="BB139" s="71">
        <f>3.08/3.54</f>
        <v>0.87005649717514122</v>
      </c>
      <c r="BC139" s="72">
        <v>1</v>
      </c>
      <c r="BD139" s="72">
        <v>1</v>
      </c>
      <c r="BE139" s="72"/>
      <c r="BF139" s="13">
        <v>1</v>
      </c>
      <c r="BG139" s="13" t="s">
        <v>173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 t="s">
        <v>48</v>
      </c>
      <c r="BQ139" s="13" t="s">
        <v>48</v>
      </c>
      <c r="BR139" s="13">
        <v>0</v>
      </c>
      <c r="BS139" s="13" t="s">
        <v>48</v>
      </c>
      <c r="BT139" s="13">
        <v>0</v>
      </c>
      <c r="BU139" s="13">
        <v>0</v>
      </c>
      <c r="BV139" s="73" t="s">
        <v>50</v>
      </c>
      <c r="BW139" s="101">
        <v>0</v>
      </c>
      <c r="BX139" s="13">
        <v>0</v>
      </c>
      <c r="BY139" s="13">
        <v>0</v>
      </c>
      <c r="BZ139" s="13">
        <v>0</v>
      </c>
      <c r="CA139" s="13">
        <v>0</v>
      </c>
      <c r="CB139" s="34" t="s">
        <v>54</v>
      </c>
    </row>
    <row r="140" spans="1:80" s="18" customFormat="1" ht="18.75" x14ac:dyDescent="0.3">
      <c r="A140" s="1">
        <v>139</v>
      </c>
      <c r="B140" s="69">
        <v>64</v>
      </c>
      <c r="C140" s="70" t="s">
        <v>46</v>
      </c>
      <c r="D140" s="70" t="s">
        <v>47</v>
      </c>
      <c r="E140" s="70" t="s">
        <v>109</v>
      </c>
      <c r="F140" s="5">
        <f>'[2]Removed Saddle Values'!G140*2.54</f>
        <v>177.8</v>
      </c>
      <c r="G140" s="5">
        <v>102</v>
      </c>
      <c r="H140" s="5">
        <f t="shared" si="4"/>
        <v>32.265370653190281</v>
      </c>
      <c r="I140" s="13">
        <v>0</v>
      </c>
      <c r="J140" s="13">
        <v>2</v>
      </c>
      <c r="K140" s="13">
        <v>1</v>
      </c>
      <c r="L140" s="13">
        <v>0</v>
      </c>
      <c r="M140" s="13">
        <v>78</v>
      </c>
      <c r="N140" s="13">
        <v>0</v>
      </c>
      <c r="O140" s="13">
        <v>149</v>
      </c>
      <c r="P140" s="13">
        <v>0</v>
      </c>
      <c r="Q140" s="13">
        <v>18</v>
      </c>
      <c r="R140" s="13">
        <v>0</v>
      </c>
      <c r="S140" s="5">
        <v>98.8</v>
      </c>
      <c r="T140" s="13">
        <v>0</v>
      </c>
      <c r="U140" s="13">
        <v>97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3</v>
      </c>
      <c r="AP140" s="13" t="s">
        <v>48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 t="s">
        <v>192</v>
      </c>
      <c r="AX140" s="71">
        <f>3.65/3.31</f>
        <v>1.1027190332326284</v>
      </c>
      <c r="AY140" s="31">
        <v>0</v>
      </c>
      <c r="AZ140" s="31">
        <v>0</v>
      </c>
      <c r="BA140" s="31">
        <v>1</v>
      </c>
      <c r="BB140" s="71">
        <f>2.48/3.39</f>
        <v>0.73156342182890854</v>
      </c>
      <c r="BC140" s="72">
        <v>2</v>
      </c>
      <c r="BD140" s="72">
        <v>1</v>
      </c>
      <c r="BE140" s="72"/>
      <c r="BF140" s="13">
        <v>0</v>
      </c>
      <c r="BG140" s="13" t="s">
        <v>48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 t="s">
        <v>48</v>
      </c>
      <c r="BQ140" s="13" t="s">
        <v>48</v>
      </c>
      <c r="BR140" s="13">
        <v>0</v>
      </c>
      <c r="BS140" s="13" t="s">
        <v>48</v>
      </c>
      <c r="BT140" s="13">
        <v>0</v>
      </c>
      <c r="BU140" s="13">
        <v>0</v>
      </c>
      <c r="BV140" s="73" t="s">
        <v>57</v>
      </c>
      <c r="BW140" s="101">
        <v>0</v>
      </c>
      <c r="BX140" s="13">
        <v>0</v>
      </c>
      <c r="BY140" s="13">
        <v>0</v>
      </c>
      <c r="BZ140" s="13">
        <v>0</v>
      </c>
      <c r="CA140" s="13">
        <v>0</v>
      </c>
      <c r="CB140" s="34" t="s">
        <v>54</v>
      </c>
    </row>
    <row r="141" spans="1:80" s="18" customFormat="1" ht="18.75" x14ac:dyDescent="0.3">
      <c r="A141" s="1">
        <v>140</v>
      </c>
      <c r="B141" s="69">
        <v>68</v>
      </c>
      <c r="C141" s="70" t="s">
        <v>46</v>
      </c>
      <c r="D141" s="70" t="s">
        <v>47</v>
      </c>
      <c r="E141" s="70" t="s">
        <v>85</v>
      </c>
      <c r="F141" s="5">
        <f>'[2]Removed Saddle Values'!G141*2.54</f>
        <v>177.8</v>
      </c>
      <c r="G141" s="5">
        <v>84</v>
      </c>
      <c r="H141" s="5">
        <f t="shared" si="4"/>
        <v>26.571481714392</v>
      </c>
      <c r="I141" s="13">
        <v>1</v>
      </c>
      <c r="J141" s="13">
        <v>3</v>
      </c>
      <c r="K141" s="13">
        <v>1</v>
      </c>
      <c r="L141" s="13">
        <v>0</v>
      </c>
      <c r="M141" s="13">
        <v>107</v>
      </c>
      <c r="N141" s="13">
        <v>0</v>
      </c>
      <c r="O141" s="13">
        <v>146</v>
      </c>
      <c r="P141" s="13">
        <v>0</v>
      </c>
      <c r="Q141" s="13">
        <v>20</v>
      </c>
      <c r="R141" s="13">
        <v>0</v>
      </c>
      <c r="S141" s="5">
        <v>98</v>
      </c>
      <c r="T141" s="13">
        <v>0</v>
      </c>
      <c r="U141" s="13">
        <v>97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1</v>
      </c>
      <c r="AM141" s="13">
        <v>0</v>
      </c>
      <c r="AN141" s="13">
        <v>0</v>
      </c>
      <c r="AO141" s="13">
        <v>1</v>
      </c>
      <c r="AP141" s="13">
        <v>1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11.6</v>
      </c>
      <c r="AX141" s="71">
        <f>3.17/4.55</f>
        <v>0.69670329670329667</v>
      </c>
      <c r="AY141" s="31">
        <v>0</v>
      </c>
      <c r="AZ141" s="31">
        <v>0</v>
      </c>
      <c r="BA141" s="31">
        <v>0</v>
      </c>
      <c r="BB141" s="71">
        <f>2.5/3.51</f>
        <v>0.71225071225071235</v>
      </c>
      <c r="BC141" s="72">
        <v>3</v>
      </c>
      <c r="BD141" s="72">
        <v>0</v>
      </c>
      <c r="BE141" s="72"/>
      <c r="BF141" s="13">
        <v>0</v>
      </c>
      <c r="BG141" s="13" t="s">
        <v>48</v>
      </c>
      <c r="BH141" s="13">
        <v>1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 t="s">
        <v>48</v>
      </c>
      <c r="BQ141" s="13" t="s">
        <v>48</v>
      </c>
      <c r="BR141" s="13">
        <v>0</v>
      </c>
      <c r="BS141" s="13" t="s">
        <v>48</v>
      </c>
      <c r="BT141" s="13">
        <v>0</v>
      </c>
      <c r="BU141" s="13">
        <v>0</v>
      </c>
      <c r="BV141" s="73" t="s">
        <v>50</v>
      </c>
      <c r="BW141" s="101">
        <v>0</v>
      </c>
      <c r="BX141" s="13">
        <v>0</v>
      </c>
      <c r="BY141" s="13">
        <v>0</v>
      </c>
      <c r="BZ141" s="13">
        <v>0</v>
      </c>
      <c r="CA141" s="13">
        <v>0</v>
      </c>
      <c r="CB141" s="34" t="s">
        <v>54</v>
      </c>
    </row>
    <row r="142" spans="1:80" s="18" customFormat="1" ht="18.75" x14ac:dyDescent="0.3">
      <c r="A142" s="1">
        <v>141</v>
      </c>
      <c r="B142" s="69">
        <v>50</v>
      </c>
      <c r="C142" s="70" t="s">
        <v>52</v>
      </c>
      <c r="D142" s="70" t="s">
        <v>47</v>
      </c>
      <c r="E142" s="70" t="s">
        <v>100</v>
      </c>
      <c r="F142" s="5">
        <f>'[2]Removed Saddle Values'!G142*2.54</f>
        <v>160.02000000000001</v>
      </c>
      <c r="G142" s="5">
        <v>181.4</v>
      </c>
      <c r="H142" s="5">
        <f t="shared" si="4"/>
        <v>70.841663477229702</v>
      </c>
      <c r="I142" s="31">
        <v>1</v>
      </c>
      <c r="J142" s="13">
        <v>5</v>
      </c>
      <c r="K142" s="13">
        <v>1</v>
      </c>
      <c r="L142" s="13">
        <v>0</v>
      </c>
      <c r="M142" s="13">
        <v>108</v>
      </c>
      <c r="N142" s="13">
        <v>0</v>
      </c>
      <c r="O142" s="13">
        <v>189</v>
      </c>
      <c r="P142" s="13">
        <v>0</v>
      </c>
      <c r="Q142" s="13">
        <v>18</v>
      </c>
      <c r="R142" s="13">
        <v>0</v>
      </c>
      <c r="S142" s="5">
        <v>97.5</v>
      </c>
      <c r="T142" s="13">
        <v>1</v>
      </c>
      <c r="U142" s="13" t="s">
        <v>48</v>
      </c>
      <c r="V142" s="13">
        <v>1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1</v>
      </c>
      <c r="AC142" s="13">
        <v>1</v>
      </c>
      <c r="AD142" s="13">
        <v>0</v>
      </c>
      <c r="AE142" s="13">
        <v>1</v>
      </c>
      <c r="AF142" s="13">
        <v>1</v>
      </c>
      <c r="AG142" s="13">
        <v>1</v>
      </c>
      <c r="AH142" s="13">
        <v>0</v>
      </c>
      <c r="AI142" s="13">
        <v>0</v>
      </c>
      <c r="AJ142" s="13">
        <v>0</v>
      </c>
      <c r="AK142" s="13">
        <v>1</v>
      </c>
      <c r="AL142" s="13">
        <v>0</v>
      </c>
      <c r="AM142" s="13">
        <v>0</v>
      </c>
      <c r="AN142" s="13">
        <v>1</v>
      </c>
      <c r="AO142" s="13">
        <v>0</v>
      </c>
      <c r="AP142" s="13" t="s">
        <v>48</v>
      </c>
      <c r="AQ142" s="13" t="s">
        <v>48</v>
      </c>
      <c r="AR142" s="13" t="s">
        <v>48</v>
      </c>
      <c r="AS142" s="13">
        <v>0</v>
      </c>
      <c r="AT142" s="13">
        <v>0</v>
      </c>
      <c r="AU142" s="13">
        <v>0</v>
      </c>
      <c r="AV142" s="13">
        <v>0</v>
      </c>
      <c r="AW142" s="13">
        <v>27</v>
      </c>
      <c r="AX142" s="71">
        <f>3.23/4.29</f>
        <v>0.75291375291375295</v>
      </c>
      <c r="AY142" s="31">
        <v>0</v>
      </c>
      <c r="AZ142" s="31">
        <v>0</v>
      </c>
      <c r="BA142" s="31">
        <v>0</v>
      </c>
      <c r="BB142" s="71">
        <f>4.07/3.89</f>
        <v>1.0462724935732648</v>
      </c>
      <c r="BC142" s="72">
        <v>1</v>
      </c>
      <c r="BD142" s="72">
        <v>0</v>
      </c>
      <c r="BE142" s="72"/>
      <c r="BF142" s="13" t="s">
        <v>48</v>
      </c>
      <c r="BG142" s="13" t="s">
        <v>48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 t="s">
        <v>48</v>
      </c>
      <c r="BQ142" s="13" t="s">
        <v>48</v>
      </c>
      <c r="BR142" s="13">
        <v>1</v>
      </c>
      <c r="BS142" s="13" t="s">
        <v>68</v>
      </c>
      <c r="BT142" s="13">
        <v>0</v>
      </c>
      <c r="BU142" s="13">
        <v>1</v>
      </c>
      <c r="BV142" s="73" t="s">
        <v>82</v>
      </c>
      <c r="BW142" s="101" t="s">
        <v>48</v>
      </c>
      <c r="BX142" s="13">
        <v>1</v>
      </c>
      <c r="BY142" s="13">
        <v>1</v>
      </c>
      <c r="BZ142" s="13">
        <v>0</v>
      </c>
      <c r="CA142" s="13">
        <v>0</v>
      </c>
      <c r="CB142" s="34" t="s">
        <v>143</v>
      </c>
    </row>
    <row r="143" spans="1:80" s="18" customFormat="1" ht="18.75" x14ac:dyDescent="0.3">
      <c r="A143" s="1">
        <v>142</v>
      </c>
      <c r="B143" s="69">
        <v>50</v>
      </c>
      <c r="C143" s="70" t="s">
        <v>46</v>
      </c>
      <c r="D143" s="70" t="s">
        <v>53</v>
      </c>
      <c r="E143" s="70" t="s">
        <v>79</v>
      </c>
      <c r="F143" s="5">
        <f>'[2]Removed Saddle Values'!G143*2.54</f>
        <v>200.66</v>
      </c>
      <c r="G143" s="5">
        <v>187.3</v>
      </c>
      <c r="H143" s="5">
        <f t="shared" si="4"/>
        <v>46.51747806940574</v>
      </c>
      <c r="I143" s="31">
        <v>1</v>
      </c>
      <c r="J143" s="13">
        <v>4</v>
      </c>
      <c r="K143" s="13">
        <v>2</v>
      </c>
      <c r="L143" s="13">
        <v>0</v>
      </c>
      <c r="M143" s="13">
        <v>100</v>
      </c>
      <c r="N143" s="13">
        <v>0</v>
      </c>
      <c r="O143" s="13">
        <v>138</v>
      </c>
      <c r="P143" s="13">
        <v>1</v>
      </c>
      <c r="Q143" s="13">
        <v>31</v>
      </c>
      <c r="R143" s="13">
        <v>0</v>
      </c>
      <c r="S143" s="5">
        <v>99.3</v>
      </c>
      <c r="T143" s="13">
        <v>1</v>
      </c>
      <c r="U143" s="13">
        <v>86</v>
      </c>
      <c r="V143" s="13">
        <v>1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1</v>
      </c>
      <c r="AM143" s="13">
        <v>0</v>
      </c>
      <c r="AN143" s="13">
        <v>0</v>
      </c>
      <c r="AO143" s="13">
        <v>1</v>
      </c>
      <c r="AP143" s="13">
        <v>1</v>
      </c>
      <c r="AQ143" s="13">
        <v>0</v>
      </c>
      <c r="AR143" s="13">
        <v>1</v>
      </c>
      <c r="AS143" s="13">
        <v>0</v>
      </c>
      <c r="AT143" s="13">
        <v>0</v>
      </c>
      <c r="AU143" s="13">
        <v>0</v>
      </c>
      <c r="AV143" s="13">
        <v>0</v>
      </c>
      <c r="AW143" s="13">
        <v>37</v>
      </c>
      <c r="AX143" s="71">
        <f>5.4/5.14</f>
        <v>1.0505836575875487</v>
      </c>
      <c r="AY143" s="31">
        <v>0</v>
      </c>
      <c r="AZ143" s="31">
        <v>0</v>
      </c>
      <c r="BA143" s="31">
        <v>1</v>
      </c>
      <c r="BB143" s="71">
        <f>3.61/3.46</f>
        <v>1.0433526011560694</v>
      </c>
      <c r="BC143" s="72">
        <v>1</v>
      </c>
      <c r="BD143" s="72">
        <v>0</v>
      </c>
      <c r="BE143" s="72"/>
      <c r="BF143" s="13">
        <v>0</v>
      </c>
      <c r="BG143" s="13" t="s">
        <v>48</v>
      </c>
      <c r="BH143" s="13">
        <v>1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 t="s">
        <v>48</v>
      </c>
      <c r="BQ143" s="13" t="s">
        <v>48</v>
      </c>
      <c r="BR143" s="13">
        <v>0</v>
      </c>
      <c r="BS143" s="13" t="s">
        <v>48</v>
      </c>
      <c r="BT143" s="13">
        <v>0</v>
      </c>
      <c r="BU143" s="13">
        <v>0</v>
      </c>
      <c r="BV143" s="73" t="s">
        <v>50</v>
      </c>
      <c r="BW143" s="101">
        <v>0</v>
      </c>
      <c r="BX143" s="13">
        <v>0</v>
      </c>
      <c r="BY143" s="13">
        <v>0</v>
      </c>
      <c r="BZ143" s="13">
        <v>0</v>
      </c>
      <c r="CA143" s="13">
        <v>0</v>
      </c>
      <c r="CB143" s="34" t="s">
        <v>172</v>
      </c>
    </row>
    <row r="144" spans="1:80" s="18" customFormat="1" ht="18.75" x14ac:dyDescent="0.3">
      <c r="A144" s="1">
        <v>143</v>
      </c>
      <c r="B144" s="69">
        <v>27</v>
      </c>
      <c r="C144" s="70" t="s">
        <v>46</v>
      </c>
      <c r="D144" s="70" t="s">
        <v>47</v>
      </c>
      <c r="E144" s="70" t="s">
        <v>102</v>
      </c>
      <c r="F144" s="5">
        <f>'[2]Removed Saddle Values'!G144*2.54</f>
        <v>175.26</v>
      </c>
      <c r="G144" s="5">
        <v>86</v>
      </c>
      <c r="H144" s="5">
        <f t="shared" si="4"/>
        <v>27.998375677490696</v>
      </c>
      <c r="I144" s="31">
        <v>1</v>
      </c>
      <c r="J144" s="13">
        <v>1</v>
      </c>
      <c r="K144" s="13">
        <v>4</v>
      </c>
      <c r="L144" s="13">
        <v>1</v>
      </c>
      <c r="M144" s="13">
        <v>120</v>
      </c>
      <c r="N144" s="13">
        <v>0</v>
      </c>
      <c r="O144" s="13">
        <v>145</v>
      </c>
      <c r="P144" s="13">
        <v>0</v>
      </c>
      <c r="Q144" s="13">
        <v>20</v>
      </c>
      <c r="R144" s="13">
        <v>0</v>
      </c>
      <c r="S144" s="5">
        <v>98</v>
      </c>
      <c r="T144" s="13">
        <v>0</v>
      </c>
      <c r="U144" s="13">
        <v>100</v>
      </c>
      <c r="V144" s="13">
        <v>0</v>
      </c>
      <c r="W144" s="13">
        <v>0</v>
      </c>
      <c r="X144" s="13">
        <v>0</v>
      </c>
      <c r="Y144" s="13">
        <v>0</v>
      </c>
      <c r="Z144" s="13">
        <v>1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1</v>
      </c>
      <c r="AP144" s="13">
        <v>1</v>
      </c>
      <c r="AQ144" s="13" t="s">
        <v>48</v>
      </c>
      <c r="AR144" s="13" t="s">
        <v>48</v>
      </c>
      <c r="AS144" s="13" t="s">
        <v>48</v>
      </c>
      <c r="AT144" s="13" t="s">
        <v>48</v>
      </c>
      <c r="AU144" s="13" t="s">
        <v>48</v>
      </c>
      <c r="AV144" s="13" t="s">
        <v>48</v>
      </c>
      <c r="AW144" s="13" t="s">
        <v>48</v>
      </c>
      <c r="AX144" s="71">
        <f>3.15/4.73</f>
        <v>0.66596194503171235</v>
      </c>
      <c r="AY144" s="31">
        <v>0</v>
      </c>
      <c r="AZ144" s="31">
        <v>0</v>
      </c>
      <c r="BA144" s="31">
        <v>0</v>
      </c>
      <c r="BB144" s="71">
        <f>2.32/2.7</f>
        <v>0.85925925925925917</v>
      </c>
      <c r="BC144" s="72">
        <v>1</v>
      </c>
      <c r="BD144" s="72">
        <v>0</v>
      </c>
      <c r="BE144" s="72"/>
      <c r="BF144" s="13">
        <v>0</v>
      </c>
      <c r="BG144" s="13" t="s">
        <v>48</v>
      </c>
      <c r="BH144" s="13">
        <v>1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1</v>
      </c>
      <c r="BP144" s="13">
        <v>0</v>
      </c>
      <c r="BQ144" s="13">
        <v>0</v>
      </c>
      <c r="BR144" s="13">
        <v>0</v>
      </c>
      <c r="BS144" s="13" t="s">
        <v>48</v>
      </c>
      <c r="BT144" s="13">
        <v>0</v>
      </c>
      <c r="BU144" s="13">
        <v>1</v>
      </c>
      <c r="BV144" s="73" t="s">
        <v>50</v>
      </c>
      <c r="BW144" s="101">
        <v>0</v>
      </c>
      <c r="BX144" s="13">
        <v>0</v>
      </c>
      <c r="BY144" s="13">
        <v>0</v>
      </c>
      <c r="BZ144" s="13">
        <v>0</v>
      </c>
      <c r="CA144" s="13">
        <v>0</v>
      </c>
      <c r="CB144" s="34" t="s">
        <v>60</v>
      </c>
    </row>
    <row r="145" spans="1:80" s="18" customFormat="1" ht="18.75" x14ac:dyDescent="0.3">
      <c r="A145" s="1">
        <v>144</v>
      </c>
      <c r="B145" s="69">
        <v>61</v>
      </c>
      <c r="C145" s="70" t="s">
        <v>46</v>
      </c>
      <c r="D145" s="70" t="s">
        <v>47</v>
      </c>
      <c r="E145" s="70" t="s">
        <v>74</v>
      </c>
      <c r="F145" s="5">
        <f>'[2]Removed Saddle Values'!G145*2.54</f>
        <v>154.94</v>
      </c>
      <c r="G145" s="5">
        <v>89.4</v>
      </c>
      <c r="H145" s="5">
        <f t="shared" si="4"/>
        <v>37.240063730329027</v>
      </c>
      <c r="I145" s="31">
        <v>0</v>
      </c>
      <c r="J145" s="13">
        <v>2</v>
      </c>
      <c r="K145" s="13">
        <v>1</v>
      </c>
      <c r="L145" s="13">
        <v>0</v>
      </c>
      <c r="M145" s="13">
        <v>71</v>
      </c>
      <c r="N145" s="13">
        <v>0</v>
      </c>
      <c r="O145" s="13">
        <v>153</v>
      </c>
      <c r="P145" s="13">
        <v>0</v>
      </c>
      <c r="Q145" s="13">
        <v>18</v>
      </c>
      <c r="R145" s="13">
        <v>0</v>
      </c>
      <c r="S145" s="5">
        <v>98.4</v>
      </c>
      <c r="T145" s="13">
        <v>0</v>
      </c>
      <c r="U145" s="13">
        <v>99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1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1</v>
      </c>
      <c r="AL145" s="13">
        <v>0</v>
      </c>
      <c r="AM145" s="13">
        <v>0</v>
      </c>
      <c r="AN145" s="13">
        <v>0</v>
      </c>
      <c r="AO145" s="13">
        <v>1</v>
      </c>
      <c r="AP145" s="13">
        <v>1</v>
      </c>
      <c r="AQ145" s="13" t="s">
        <v>48</v>
      </c>
      <c r="AR145" s="13">
        <v>0</v>
      </c>
      <c r="AS145" s="13" t="s">
        <v>48</v>
      </c>
      <c r="AT145" s="13" t="s">
        <v>48</v>
      </c>
      <c r="AU145" s="13" t="s">
        <v>48</v>
      </c>
      <c r="AV145" s="13" t="s">
        <v>48</v>
      </c>
      <c r="AW145" s="13" t="s">
        <v>48</v>
      </c>
      <c r="AX145" s="71">
        <f>4.2/5</f>
        <v>0.84000000000000008</v>
      </c>
      <c r="AY145" s="72">
        <v>0</v>
      </c>
      <c r="AZ145" s="31">
        <v>0</v>
      </c>
      <c r="BA145" s="31">
        <v>0</v>
      </c>
      <c r="BB145" s="71">
        <f>2.6/3.05</f>
        <v>0.85245901639344268</v>
      </c>
      <c r="BC145" s="72">
        <v>2</v>
      </c>
      <c r="BD145" s="72">
        <v>1</v>
      </c>
      <c r="BE145" s="72"/>
      <c r="BF145" s="13">
        <v>0</v>
      </c>
      <c r="BG145" s="13" t="s">
        <v>48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 t="s">
        <v>48</v>
      </c>
      <c r="BQ145" s="13" t="s">
        <v>48</v>
      </c>
      <c r="BR145" s="13">
        <v>0</v>
      </c>
      <c r="BS145" s="13" t="s">
        <v>48</v>
      </c>
      <c r="BT145" s="13">
        <v>0</v>
      </c>
      <c r="BU145" s="13">
        <v>0</v>
      </c>
      <c r="BV145" s="73" t="s">
        <v>50</v>
      </c>
      <c r="BW145" s="101">
        <v>0</v>
      </c>
      <c r="BX145" s="13">
        <v>0</v>
      </c>
      <c r="BY145" s="13">
        <v>0</v>
      </c>
      <c r="BZ145" s="13">
        <v>0</v>
      </c>
      <c r="CA145" s="13">
        <v>0</v>
      </c>
      <c r="CB145" s="34" t="s">
        <v>55</v>
      </c>
    </row>
    <row r="146" spans="1:80" s="18" customFormat="1" ht="18.75" x14ac:dyDescent="0.3">
      <c r="A146" s="1">
        <v>145</v>
      </c>
      <c r="B146" s="69">
        <v>57</v>
      </c>
      <c r="C146" s="70" t="s">
        <v>46</v>
      </c>
      <c r="D146" s="70" t="s">
        <v>47</v>
      </c>
      <c r="E146" s="70" t="s">
        <v>76</v>
      </c>
      <c r="F146" s="5">
        <f>'[2]Removed Saddle Values'!G146*2.54</f>
        <v>180.34</v>
      </c>
      <c r="G146" s="5">
        <v>111</v>
      </c>
      <c r="H146" s="5">
        <f t="shared" si="4"/>
        <v>34.130201170539216</v>
      </c>
      <c r="I146" s="31">
        <v>1</v>
      </c>
      <c r="J146" s="13">
        <v>2</v>
      </c>
      <c r="K146" s="13">
        <v>2</v>
      </c>
      <c r="L146" s="13">
        <v>0</v>
      </c>
      <c r="M146" s="13">
        <v>84</v>
      </c>
      <c r="N146" s="13">
        <v>0</v>
      </c>
      <c r="O146" s="13">
        <v>101</v>
      </c>
      <c r="P146" s="13">
        <v>0</v>
      </c>
      <c r="Q146" s="13">
        <v>16</v>
      </c>
      <c r="R146" s="13">
        <v>0</v>
      </c>
      <c r="S146" s="5">
        <v>98.5</v>
      </c>
      <c r="T146" s="13">
        <v>0</v>
      </c>
      <c r="U146" s="13">
        <v>98</v>
      </c>
      <c r="V146" s="13">
        <v>0</v>
      </c>
      <c r="W146" s="13">
        <v>0</v>
      </c>
      <c r="X146" s="13">
        <v>0</v>
      </c>
      <c r="Y146" s="13">
        <v>1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1</v>
      </c>
      <c r="AK146" s="13">
        <v>0</v>
      </c>
      <c r="AL146" s="13">
        <v>1</v>
      </c>
      <c r="AM146" s="13">
        <v>0</v>
      </c>
      <c r="AN146" s="13">
        <v>0</v>
      </c>
      <c r="AO146" s="13">
        <v>1</v>
      </c>
      <c r="AP146" s="13">
        <v>1</v>
      </c>
      <c r="AQ146" s="13" t="s">
        <v>48</v>
      </c>
      <c r="AR146" s="13">
        <v>0</v>
      </c>
      <c r="AS146" s="13">
        <v>1</v>
      </c>
      <c r="AT146" s="13">
        <v>0</v>
      </c>
      <c r="AU146" s="13">
        <v>0</v>
      </c>
      <c r="AV146" s="13">
        <v>0</v>
      </c>
      <c r="AW146" s="13" t="s">
        <v>192</v>
      </c>
      <c r="AX146" s="71">
        <f>5.21/5.93</f>
        <v>0.87858347386172009</v>
      </c>
      <c r="AY146" s="72">
        <v>1</v>
      </c>
      <c r="AZ146" s="31">
        <v>0</v>
      </c>
      <c r="BA146" s="31">
        <v>0</v>
      </c>
      <c r="BB146" s="71">
        <f>3.14/3.73</f>
        <v>0.8418230563002681</v>
      </c>
      <c r="BC146" s="72">
        <v>1</v>
      </c>
      <c r="BD146" s="72">
        <v>1</v>
      </c>
      <c r="BE146" s="72"/>
      <c r="BF146" s="13">
        <v>0</v>
      </c>
      <c r="BG146" s="13" t="s">
        <v>48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 t="s">
        <v>48</v>
      </c>
      <c r="BQ146" s="13" t="s">
        <v>48</v>
      </c>
      <c r="BR146" s="13">
        <v>0</v>
      </c>
      <c r="BS146" s="13" t="s">
        <v>48</v>
      </c>
      <c r="BT146" s="13">
        <v>0</v>
      </c>
      <c r="BU146" s="13">
        <v>0</v>
      </c>
      <c r="BV146" s="73" t="s">
        <v>50</v>
      </c>
      <c r="BW146" s="101">
        <v>0</v>
      </c>
      <c r="BX146" s="13">
        <v>0</v>
      </c>
      <c r="BY146" s="13">
        <v>0</v>
      </c>
      <c r="BZ146" s="13">
        <v>0</v>
      </c>
      <c r="CA146" s="13">
        <v>0</v>
      </c>
      <c r="CB146" s="34" t="s">
        <v>61</v>
      </c>
    </row>
    <row r="147" spans="1:80" s="18" customFormat="1" ht="18.75" x14ac:dyDescent="0.3">
      <c r="A147" s="1">
        <v>146</v>
      </c>
      <c r="B147" s="69">
        <v>85</v>
      </c>
      <c r="C147" s="70" t="s">
        <v>46</v>
      </c>
      <c r="D147" s="70" t="s">
        <v>47</v>
      </c>
      <c r="E147" s="70" t="s">
        <v>83</v>
      </c>
      <c r="F147" s="5">
        <f>'[2]Removed Saddle Values'!G147*2.54</f>
        <v>170.18</v>
      </c>
      <c r="G147" s="5">
        <v>87</v>
      </c>
      <c r="H147" s="5">
        <v>30</v>
      </c>
      <c r="I147" s="31">
        <v>1</v>
      </c>
      <c r="J147" s="13">
        <v>5</v>
      </c>
      <c r="K147" s="13">
        <v>2</v>
      </c>
      <c r="L147" s="13">
        <v>1</v>
      </c>
      <c r="M147" s="13">
        <v>111</v>
      </c>
      <c r="N147" s="13">
        <v>0</v>
      </c>
      <c r="O147" s="13">
        <v>131</v>
      </c>
      <c r="P147" s="13">
        <v>0</v>
      </c>
      <c r="Q147" s="13">
        <v>25</v>
      </c>
      <c r="R147" s="13">
        <v>0</v>
      </c>
      <c r="S147" s="5">
        <v>97.5</v>
      </c>
      <c r="T147" s="13">
        <v>0</v>
      </c>
      <c r="U147" s="13">
        <v>92</v>
      </c>
      <c r="V147" s="13" t="s">
        <v>48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1</v>
      </c>
      <c r="AG147" s="13">
        <v>1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1</v>
      </c>
      <c r="AN147" s="13">
        <v>1</v>
      </c>
      <c r="AO147" s="13" t="s">
        <v>48</v>
      </c>
      <c r="AP147" s="13" t="s">
        <v>48</v>
      </c>
      <c r="AQ147" s="13">
        <v>1</v>
      </c>
      <c r="AR147" s="13">
        <v>1</v>
      </c>
      <c r="AS147" s="13">
        <v>1</v>
      </c>
      <c r="AT147" s="13">
        <v>1</v>
      </c>
      <c r="AU147" s="13">
        <v>1</v>
      </c>
      <c r="AV147" s="13">
        <v>0</v>
      </c>
      <c r="AW147" s="13">
        <v>60</v>
      </c>
      <c r="AX147" s="71">
        <f>4.14/3.52</f>
        <v>1.1761363636363635</v>
      </c>
      <c r="AY147" s="72">
        <v>0</v>
      </c>
      <c r="AZ147" s="31">
        <v>0</v>
      </c>
      <c r="BA147" s="31">
        <v>1</v>
      </c>
      <c r="BB147" s="71">
        <f>2.87/3.55</f>
        <v>0.80845070422535215</v>
      </c>
      <c r="BC147" s="72">
        <v>5</v>
      </c>
      <c r="BD147" s="72">
        <v>1</v>
      </c>
      <c r="BE147" s="72"/>
      <c r="BF147" s="13">
        <v>1</v>
      </c>
      <c r="BG147" s="13" t="s">
        <v>75</v>
      </c>
      <c r="BH147" s="13">
        <v>1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 t="s">
        <v>48</v>
      </c>
      <c r="BQ147" s="13" t="s">
        <v>48</v>
      </c>
      <c r="BR147" s="13">
        <v>0</v>
      </c>
      <c r="BS147" s="13" t="s">
        <v>48</v>
      </c>
      <c r="BT147" s="13">
        <v>0</v>
      </c>
      <c r="BU147" s="13">
        <v>0</v>
      </c>
      <c r="BV147" s="73" t="s">
        <v>82</v>
      </c>
      <c r="BW147" s="101" t="s">
        <v>48</v>
      </c>
      <c r="BX147" s="13">
        <v>1</v>
      </c>
      <c r="BY147" s="13">
        <v>0</v>
      </c>
      <c r="BZ147" s="13">
        <v>0</v>
      </c>
      <c r="CA147" s="13">
        <v>0</v>
      </c>
      <c r="CB147" s="34" t="s">
        <v>54</v>
      </c>
    </row>
    <row r="148" spans="1:80" s="18" customFormat="1" ht="18.75" x14ac:dyDescent="0.3">
      <c r="A148" s="1">
        <v>147</v>
      </c>
      <c r="B148" s="69">
        <v>39</v>
      </c>
      <c r="C148" s="70" t="s">
        <v>46</v>
      </c>
      <c r="D148" s="70" t="s">
        <v>47</v>
      </c>
      <c r="E148" s="70" t="s">
        <v>85</v>
      </c>
      <c r="F148" s="5">
        <f>'[2]Removed Saddle Values'!G148*2.54</f>
        <v>190.5</v>
      </c>
      <c r="G148" s="5">
        <v>122.5</v>
      </c>
      <c r="H148" s="5">
        <f t="shared" ref="H148:H179" si="5">G148/((F148/100)^2)</f>
        <v>33.755623066801689</v>
      </c>
      <c r="I148" s="31">
        <v>1</v>
      </c>
      <c r="J148" s="13">
        <v>5</v>
      </c>
      <c r="K148" s="13">
        <v>2</v>
      </c>
      <c r="L148" s="13">
        <v>1</v>
      </c>
      <c r="M148" s="13">
        <v>134</v>
      </c>
      <c r="N148" s="13">
        <v>0</v>
      </c>
      <c r="O148" s="13">
        <v>136</v>
      </c>
      <c r="P148" s="13">
        <v>0</v>
      </c>
      <c r="Q148" s="13">
        <v>20</v>
      </c>
      <c r="R148" s="13">
        <v>0</v>
      </c>
      <c r="S148" s="5">
        <v>97.3</v>
      </c>
      <c r="T148" s="13">
        <v>0</v>
      </c>
      <c r="U148" s="13">
        <v>95</v>
      </c>
      <c r="V148" s="13">
        <v>0</v>
      </c>
      <c r="W148" s="13">
        <v>0</v>
      </c>
      <c r="X148" s="13">
        <v>1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1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1</v>
      </c>
      <c r="AP148" s="13">
        <v>1</v>
      </c>
      <c r="AQ148" s="13">
        <v>0</v>
      </c>
      <c r="AR148" s="13">
        <v>0</v>
      </c>
      <c r="AS148" s="13">
        <v>1</v>
      </c>
      <c r="AT148" s="13">
        <v>1</v>
      </c>
      <c r="AU148" s="13">
        <v>1</v>
      </c>
      <c r="AV148" s="13">
        <v>0</v>
      </c>
      <c r="AW148" s="13">
        <v>50</v>
      </c>
      <c r="AX148" s="71">
        <f>5.85/4.18</f>
        <v>1.3995215311004785</v>
      </c>
      <c r="AY148" s="72">
        <v>0</v>
      </c>
      <c r="AZ148" s="31">
        <v>0</v>
      </c>
      <c r="BA148" s="31">
        <v>1</v>
      </c>
      <c r="BB148" s="71">
        <f>3.8/3.09</f>
        <v>1.2297734627831716</v>
      </c>
      <c r="BC148" s="72">
        <v>3</v>
      </c>
      <c r="BD148" s="72">
        <v>1</v>
      </c>
      <c r="BE148" s="72"/>
      <c r="BF148" s="13">
        <v>1</v>
      </c>
      <c r="BG148" s="34" t="s">
        <v>151</v>
      </c>
      <c r="BH148" s="13">
        <v>1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1</v>
      </c>
      <c r="BP148" s="13">
        <v>0</v>
      </c>
      <c r="BQ148" s="13">
        <v>1</v>
      </c>
      <c r="BR148" s="13">
        <v>0</v>
      </c>
      <c r="BS148" s="13" t="s">
        <v>48</v>
      </c>
      <c r="BT148" s="13">
        <v>0</v>
      </c>
      <c r="BU148" s="13">
        <v>1</v>
      </c>
      <c r="BV148" s="73" t="s">
        <v>50</v>
      </c>
      <c r="BW148" s="101">
        <v>0</v>
      </c>
      <c r="BX148" s="13">
        <v>0</v>
      </c>
      <c r="BY148" s="13">
        <v>0</v>
      </c>
      <c r="BZ148" s="13">
        <v>0</v>
      </c>
      <c r="CA148" s="13">
        <v>0</v>
      </c>
      <c r="CB148" s="34" t="s">
        <v>56</v>
      </c>
    </row>
    <row r="149" spans="1:80" s="18" customFormat="1" ht="18.75" x14ac:dyDescent="0.3">
      <c r="A149" s="1">
        <v>148</v>
      </c>
      <c r="B149" s="74">
        <v>57</v>
      </c>
      <c r="C149" s="75" t="s">
        <v>46</v>
      </c>
      <c r="D149" s="75" t="s">
        <v>47</v>
      </c>
      <c r="E149" s="75" t="s">
        <v>77</v>
      </c>
      <c r="F149" s="5">
        <f>'[2]Removed Saddle Values'!G149*2.54</f>
        <v>180.34</v>
      </c>
      <c r="G149" s="5">
        <v>90</v>
      </c>
      <c r="H149" s="5">
        <f t="shared" si="5"/>
        <v>27.673136084220985</v>
      </c>
      <c r="I149" s="31">
        <v>1</v>
      </c>
      <c r="J149" s="13">
        <v>5</v>
      </c>
      <c r="K149" s="13">
        <v>3</v>
      </c>
      <c r="L149" s="13">
        <v>1</v>
      </c>
      <c r="M149" s="13">
        <v>142</v>
      </c>
      <c r="N149" s="13">
        <v>0</v>
      </c>
      <c r="O149" s="13">
        <v>129</v>
      </c>
      <c r="P149" s="13">
        <v>1</v>
      </c>
      <c r="Q149" s="13">
        <v>36</v>
      </c>
      <c r="R149" s="13" t="s">
        <v>48</v>
      </c>
      <c r="S149" s="5" t="s">
        <v>48</v>
      </c>
      <c r="T149" s="13" t="s">
        <v>48</v>
      </c>
      <c r="U149" s="13" t="s">
        <v>48</v>
      </c>
      <c r="V149" s="13">
        <v>1</v>
      </c>
      <c r="W149" s="13">
        <v>0</v>
      </c>
      <c r="X149" s="13">
        <v>1</v>
      </c>
      <c r="Y149" s="13">
        <v>1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1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1</v>
      </c>
      <c r="AL149" s="13">
        <v>0</v>
      </c>
      <c r="AM149" s="13">
        <v>0</v>
      </c>
      <c r="AN149" s="13">
        <v>1</v>
      </c>
      <c r="AO149" s="13" t="s">
        <v>48</v>
      </c>
      <c r="AP149" s="13" t="s">
        <v>48</v>
      </c>
      <c r="AQ149" s="13">
        <v>0</v>
      </c>
      <c r="AR149" s="13">
        <v>0</v>
      </c>
      <c r="AS149" s="13">
        <v>0</v>
      </c>
      <c r="AT149" s="13">
        <v>1</v>
      </c>
      <c r="AU149" s="13">
        <v>0</v>
      </c>
      <c r="AV149" s="13">
        <v>0</v>
      </c>
      <c r="AW149" s="13" t="s">
        <v>192</v>
      </c>
      <c r="AX149" s="76">
        <f>2.5/3.44</f>
        <v>0.72674418604651159</v>
      </c>
      <c r="AY149" s="72">
        <v>0</v>
      </c>
      <c r="AZ149" s="31">
        <v>0</v>
      </c>
      <c r="BA149" s="31">
        <v>0</v>
      </c>
      <c r="BB149" s="76">
        <f>3.01/3.13</f>
        <v>0.96166134185303509</v>
      </c>
      <c r="BC149" s="77">
        <v>3</v>
      </c>
      <c r="BD149" s="77">
        <v>0</v>
      </c>
      <c r="BE149" s="77"/>
      <c r="BF149" s="13">
        <v>0</v>
      </c>
      <c r="BG149" s="13" t="s">
        <v>48</v>
      </c>
      <c r="BH149" s="13">
        <v>1</v>
      </c>
      <c r="BI149" s="13">
        <v>0</v>
      </c>
      <c r="BJ149" s="13">
        <v>1</v>
      </c>
      <c r="BK149" s="13">
        <v>1</v>
      </c>
      <c r="BL149" s="13">
        <v>0</v>
      </c>
      <c r="BM149" s="13">
        <v>1</v>
      </c>
      <c r="BN149" s="13">
        <v>0</v>
      </c>
      <c r="BO149" s="13">
        <v>0</v>
      </c>
      <c r="BP149" s="13" t="s">
        <v>48</v>
      </c>
      <c r="BQ149" s="13" t="s">
        <v>48</v>
      </c>
      <c r="BR149" s="13">
        <v>0</v>
      </c>
      <c r="BS149" s="13" t="s">
        <v>48</v>
      </c>
      <c r="BT149" s="13">
        <v>0</v>
      </c>
      <c r="BU149" s="13">
        <v>0</v>
      </c>
      <c r="BV149" s="78" t="s">
        <v>82</v>
      </c>
      <c r="BW149" s="100" t="s">
        <v>48</v>
      </c>
      <c r="BX149" s="13" t="s">
        <v>48</v>
      </c>
      <c r="BY149" s="13" t="s">
        <v>48</v>
      </c>
      <c r="BZ149" s="13">
        <v>0</v>
      </c>
      <c r="CA149" s="13">
        <v>0</v>
      </c>
      <c r="CB149" s="34" t="s">
        <v>55</v>
      </c>
    </row>
    <row r="150" spans="1:80" s="18" customFormat="1" ht="18.75" x14ac:dyDescent="0.3">
      <c r="A150" s="1">
        <v>149</v>
      </c>
      <c r="B150" s="74">
        <v>70</v>
      </c>
      <c r="C150" s="75" t="s">
        <v>46</v>
      </c>
      <c r="D150" s="75" t="s">
        <v>47</v>
      </c>
      <c r="E150" s="75">
        <v>1</v>
      </c>
      <c r="F150" s="5">
        <f>'[2]Removed Saddle Values'!G150*2.54</f>
        <v>175.26</v>
      </c>
      <c r="G150" s="5">
        <v>89.8</v>
      </c>
      <c r="H150" s="5">
        <f t="shared" si="5"/>
        <v>29.23551320742633</v>
      </c>
      <c r="I150" s="31">
        <v>1</v>
      </c>
      <c r="J150" s="13">
        <v>5</v>
      </c>
      <c r="K150" s="13">
        <v>1</v>
      </c>
      <c r="L150" s="13">
        <v>0</v>
      </c>
      <c r="M150" s="13">
        <v>80</v>
      </c>
      <c r="N150" s="13">
        <v>1</v>
      </c>
      <c r="O150" s="13">
        <v>99</v>
      </c>
      <c r="P150" s="13">
        <v>0</v>
      </c>
      <c r="Q150" s="13">
        <v>18</v>
      </c>
      <c r="R150" s="13">
        <v>0</v>
      </c>
      <c r="S150" s="5">
        <v>98.5</v>
      </c>
      <c r="T150" s="13">
        <v>0</v>
      </c>
      <c r="U150" s="13">
        <v>97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1</v>
      </c>
      <c r="AB150" s="13">
        <v>0</v>
      </c>
      <c r="AC150" s="13">
        <v>1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1</v>
      </c>
      <c r="AJ150" s="13">
        <v>1</v>
      </c>
      <c r="AK150" s="13">
        <v>0</v>
      </c>
      <c r="AL150" s="13">
        <v>0</v>
      </c>
      <c r="AM150" s="13">
        <v>0</v>
      </c>
      <c r="AN150" s="13">
        <v>0</v>
      </c>
      <c r="AO150" s="13" t="s">
        <v>48</v>
      </c>
      <c r="AP150" s="13" t="s">
        <v>48</v>
      </c>
      <c r="AQ150" s="13" t="s">
        <v>48</v>
      </c>
      <c r="AR150" s="13">
        <v>0</v>
      </c>
      <c r="AS150" s="13" t="s">
        <v>48</v>
      </c>
      <c r="AT150" s="13" t="s">
        <v>48</v>
      </c>
      <c r="AU150" s="13" t="s">
        <v>48</v>
      </c>
      <c r="AV150" s="13" t="s">
        <v>48</v>
      </c>
      <c r="AW150" s="13" t="s">
        <v>48</v>
      </c>
      <c r="AX150" s="76">
        <f>4.15/4.78</f>
        <v>0.86820083682008375</v>
      </c>
      <c r="AY150" s="77">
        <v>1</v>
      </c>
      <c r="AZ150" s="31">
        <v>0</v>
      </c>
      <c r="BA150" s="31">
        <v>0</v>
      </c>
      <c r="BB150" s="76">
        <f>3.58/3.4</f>
        <v>1.0529411764705883</v>
      </c>
      <c r="BC150" s="77">
        <v>2</v>
      </c>
      <c r="BD150" s="77">
        <v>1</v>
      </c>
      <c r="BE150" s="77"/>
      <c r="BF150" s="13">
        <v>0</v>
      </c>
      <c r="BG150" s="13" t="s">
        <v>48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 t="s">
        <v>48</v>
      </c>
      <c r="BQ150" s="13" t="s">
        <v>48</v>
      </c>
      <c r="BR150" s="13">
        <v>0</v>
      </c>
      <c r="BS150" s="13" t="s">
        <v>48</v>
      </c>
      <c r="BT150" s="13">
        <v>0</v>
      </c>
      <c r="BU150" s="13">
        <v>0</v>
      </c>
      <c r="BV150" s="78" t="s">
        <v>50</v>
      </c>
      <c r="BW150" s="100">
        <v>0</v>
      </c>
      <c r="BX150" s="13" t="s">
        <v>48</v>
      </c>
      <c r="BY150" s="13" t="s">
        <v>48</v>
      </c>
      <c r="BZ150" s="13">
        <v>0</v>
      </c>
      <c r="CA150" s="13">
        <v>0</v>
      </c>
      <c r="CB150" s="34" t="s">
        <v>55</v>
      </c>
    </row>
    <row r="151" spans="1:80" s="18" customFormat="1" ht="18.75" x14ac:dyDescent="0.3">
      <c r="A151" s="1">
        <v>150</v>
      </c>
      <c r="B151" s="74">
        <v>60</v>
      </c>
      <c r="C151" s="75" t="s">
        <v>46</v>
      </c>
      <c r="D151" s="75" t="s">
        <v>47</v>
      </c>
      <c r="E151" s="75" t="s">
        <v>83</v>
      </c>
      <c r="F151" s="5">
        <f>'[2]Removed Saddle Values'!G151*2.54</f>
        <v>180.34</v>
      </c>
      <c r="G151" s="5">
        <v>86</v>
      </c>
      <c r="H151" s="5">
        <f t="shared" si="5"/>
        <v>26.443218924922274</v>
      </c>
      <c r="I151" s="31">
        <v>1</v>
      </c>
      <c r="J151" s="13">
        <v>4</v>
      </c>
      <c r="K151" s="13">
        <v>2</v>
      </c>
      <c r="L151" s="13">
        <v>0</v>
      </c>
      <c r="M151" s="13">
        <v>102</v>
      </c>
      <c r="N151" s="13">
        <v>0</v>
      </c>
      <c r="O151" s="13">
        <v>130</v>
      </c>
      <c r="P151" s="13">
        <v>0</v>
      </c>
      <c r="Q151" s="13">
        <v>16</v>
      </c>
      <c r="R151" s="13">
        <v>0</v>
      </c>
      <c r="S151" s="5">
        <v>98.5</v>
      </c>
      <c r="T151" s="13">
        <v>0</v>
      </c>
      <c r="U151" s="13">
        <v>97</v>
      </c>
      <c r="V151" s="13">
        <v>0</v>
      </c>
      <c r="W151" s="13">
        <v>0</v>
      </c>
      <c r="X151" s="13">
        <v>0</v>
      </c>
      <c r="Y151" s="13">
        <v>0</v>
      </c>
      <c r="Z151" s="13">
        <v>1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1</v>
      </c>
      <c r="AH151" s="13">
        <v>0</v>
      </c>
      <c r="AI151" s="13">
        <v>0</v>
      </c>
      <c r="AJ151" s="13">
        <v>0</v>
      </c>
      <c r="AK151" s="13">
        <v>0</v>
      </c>
      <c r="AL151" s="13">
        <v>1</v>
      </c>
      <c r="AM151" s="13">
        <v>0</v>
      </c>
      <c r="AN151" s="13">
        <v>0</v>
      </c>
      <c r="AO151" s="13">
        <v>1</v>
      </c>
      <c r="AP151" s="13">
        <v>1</v>
      </c>
      <c r="AQ151" s="13">
        <v>1</v>
      </c>
      <c r="AR151" s="13">
        <v>1</v>
      </c>
      <c r="AS151" s="13">
        <v>1</v>
      </c>
      <c r="AT151" s="13">
        <v>0</v>
      </c>
      <c r="AU151" s="13">
        <v>0</v>
      </c>
      <c r="AV151" s="13">
        <v>0</v>
      </c>
      <c r="AW151" s="13">
        <v>41</v>
      </c>
      <c r="AX151" s="76">
        <f>5.03/3.97</f>
        <v>1.2670025188916876</v>
      </c>
      <c r="AY151" s="77">
        <v>0</v>
      </c>
      <c r="AZ151" s="31">
        <v>0</v>
      </c>
      <c r="BA151" s="31">
        <v>1</v>
      </c>
      <c r="BB151" s="76">
        <f>3.2/4.17</f>
        <v>0.76738609112709832</v>
      </c>
      <c r="BC151" s="77">
        <v>2</v>
      </c>
      <c r="BD151" s="77">
        <v>1</v>
      </c>
      <c r="BE151" s="77"/>
      <c r="BF151" s="13">
        <v>0</v>
      </c>
      <c r="BG151" s="13" t="s">
        <v>48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 t="s">
        <v>48</v>
      </c>
      <c r="BQ151" s="13" t="s">
        <v>48</v>
      </c>
      <c r="BR151" s="13">
        <v>0</v>
      </c>
      <c r="BS151" s="13" t="s">
        <v>48</v>
      </c>
      <c r="BT151" s="13">
        <v>0</v>
      </c>
      <c r="BU151" s="13">
        <v>0</v>
      </c>
      <c r="BV151" s="78" t="s">
        <v>50</v>
      </c>
      <c r="BW151" s="100">
        <v>0</v>
      </c>
      <c r="BX151" s="13">
        <v>0</v>
      </c>
      <c r="BY151" s="13">
        <v>0</v>
      </c>
      <c r="BZ151" s="13">
        <v>0</v>
      </c>
      <c r="CA151" s="13">
        <v>0</v>
      </c>
      <c r="CB151" s="34" t="s">
        <v>60</v>
      </c>
    </row>
    <row r="152" spans="1:80" s="18" customFormat="1" ht="18.75" x14ac:dyDescent="0.3">
      <c r="A152" s="1">
        <v>151</v>
      </c>
      <c r="B152" s="74">
        <v>47</v>
      </c>
      <c r="C152" s="75" t="s">
        <v>46</v>
      </c>
      <c r="D152" s="75" t="s">
        <v>47</v>
      </c>
      <c r="E152" s="75" t="s">
        <v>83</v>
      </c>
      <c r="F152" s="5">
        <f>'[2]Removed Saddle Values'!G152*2.54</f>
        <v>177.8</v>
      </c>
      <c r="G152" s="5">
        <v>98.4</v>
      </c>
      <c r="H152" s="5">
        <f t="shared" si="5"/>
        <v>31.126592865430627</v>
      </c>
      <c r="I152" s="31">
        <v>0</v>
      </c>
      <c r="J152" s="13">
        <v>4</v>
      </c>
      <c r="K152" s="13">
        <v>1</v>
      </c>
      <c r="L152" s="13">
        <v>0</v>
      </c>
      <c r="M152" s="13">
        <v>93</v>
      </c>
      <c r="N152" s="13">
        <v>0</v>
      </c>
      <c r="O152" s="13">
        <v>133</v>
      </c>
      <c r="P152" s="13">
        <v>0</v>
      </c>
      <c r="Q152" s="13">
        <v>20</v>
      </c>
      <c r="R152" s="13">
        <v>0</v>
      </c>
      <c r="S152" s="5">
        <v>97.1</v>
      </c>
      <c r="T152" s="13">
        <v>0</v>
      </c>
      <c r="U152" s="13">
        <v>98</v>
      </c>
      <c r="V152" s="13">
        <v>0</v>
      </c>
      <c r="W152" s="13">
        <v>0</v>
      </c>
      <c r="X152" s="13">
        <v>1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1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1</v>
      </c>
      <c r="AP152" s="13">
        <v>1</v>
      </c>
      <c r="AQ152" s="13" t="s">
        <v>48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43.6</v>
      </c>
      <c r="AX152" s="76">
        <f>4.69/4.63</f>
        <v>1.0129589632829374</v>
      </c>
      <c r="AY152" s="77">
        <v>0</v>
      </c>
      <c r="AZ152" s="31">
        <v>0</v>
      </c>
      <c r="BA152" s="31">
        <v>1</v>
      </c>
      <c r="BB152" s="76">
        <f>3.23/2.6</f>
        <v>1.2423076923076923</v>
      </c>
      <c r="BC152" s="77">
        <v>1</v>
      </c>
      <c r="BD152" s="77">
        <v>1</v>
      </c>
      <c r="BE152" s="77"/>
      <c r="BF152" s="13">
        <v>0</v>
      </c>
      <c r="BG152" s="13" t="s">
        <v>48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 t="s">
        <v>48</v>
      </c>
      <c r="BQ152" s="13" t="s">
        <v>48</v>
      </c>
      <c r="BR152" s="13">
        <v>0</v>
      </c>
      <c r="BS152" s="13" t="s">
        <v>48</v>
      </c>
      <c r="BT152" s="13">
        <v>0</v>
      </c>
      <c r="BU152" s="13">
        <v>0</v>
      </c>
      <c r="BV152" s="78" t="s">
        <v>50</v>
      </c>
      <c r="BW152" s="100">
        <v>0</v>
      </c>
      <c r="BX152" s="13">
        <v>1</v>
      </c>
      <c r="BY152" s="13">
        <v>0</v>
      </c>
      <c r="BZ152" s="13">
        <v>0</v>
      </c>
      <c r="CA152" s="13">
        <v>0</v>
      </c>
      <c r="CB152" s="34" t="s">
        <v>174</v>
      </c>
    </row>
    <row r="153" spans="1:80" s="18" customFormat="1" ht="18.75" x14ac:dyDescent="0.3">
      <c r="A153" s="1">
        <v>152</v>
      </c>
      <c r="B153" s="74">
        <v>31</v>
      </c>
      <c r="C153" s="75" t="s">
        <v>46</v>
      </c>
      <c r="D153" s="75" t="s">
        <v>47</v>
      </c>
      <c r="E153" s="75" t="s">
        <v>76</v>
      </c>
      <c r="F153" s="5">
        <f>'[2]Removed Saddle Values'!G153*2.54</f>
        <v>203.2</v>
      </c>
      <c r="G153" s="5">
        <v>108.9</v>
      </c>
      <c r="H153" s="5">
        <f t="shared" si="5"/>
        <v>26.374271498542996</v>
      </c>
      <c r="I153" s="31">
        <v>1</v>
      </c>
      <c r="J153" s="13">
        <v>1</v>
      </c>
      <c r="K153" s="13">
        <v>2</v>
      </c>
      <c r="L153" s="13">
        <v>1</v>
      </c>
      <c r="M153" s="13">
        <v>110</v>
      </c>
      <c r="N153" s="13">
        <v>0</v>
      </c>
      <c r="O153" s="13">
        <v>142</v>
      </c>
      <c r="P153" s="13">
        <v>0</v>
      </c>
      <c r="Q153" s="13">
        <v>25</v>
      </c>
      <c r="R153" s="13">
        <v>0</v>
      </c>
      <c r="S153" s="5">
        <v>97.2</v>
      </c>
      <c r="T153" s="13">
        <v>0</v>
      </c>
      <c r="U153" s="13">
        <v>97</v>
      </c>
      <c r="V153" s="13">
        <v>0</v>
      </c>
      <c r="W153" s="13">
        <v>0</v>
      </c>
      <c r="X153" s="13">
        <v>0</v>
      </c>
      <c r="Y153" s="13">
        <v>1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1</v>
      </c>
      <c r="AP153" s="13">
        <v>1</v>
      </c>
      <c r="AQ153" s="13">
        <v>1</v>
      </c>
      <c r="AR153" s="13">
        <v>1</v>
      </c>
      <c r="AS153" s="13">
        <v>1</v>
      </c>
      <c r="AT153" s="13">
        <v>1</v>
      </c>
      <c r="AU153" s="10">
        <v>1</v>
      </c>
      <c r="AV153" s="13">
        <v>0</v>
      </c>
      <c r="AW153" s="13">
        <v>60</v>
      </c>
      <c r="AX153" s="76">
        <f>4.86/5.08</f>
        <v>0.95669291338582685</v>
      </c>
      <c r="AY153" s="77">
        <v>0</v>
      </c>
      <c r="AZ153" s="31">
        <v>0</v>
      </c>
      <c r="BA153" s="31">
        <v>1</v>
      </c>
      <c r="BB153" s="76">
        <f>3.55/3.19</f>
        <v>1.1128526645768024</v>
      </c>
      <c r="BC153" s="77">
        <v>3</v>
      </c>
      <c r="BD153" s="77">
        <v>1</v>
      </c>
      <c r="BE153" s="77"/>
      <c r="BF153" s="13">
        <v>0</v>
      </c>
      <c r="BG153" s="13" t="s">
        <v>48</v>
      </c>
      <c r="BH153" s="13">
        <v>1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 t="s">
        <v>48</v>
      </c>
      <c r="BQ153" s="13" t="s">
        <v>48</v>
      </c>
      <c r="BR153" s="13">
        <v>0</v>
      </c>
      <c r="BS153" s="13" t="s">
        <v>48</v>
      </c>
      <c r="BT153" s="13">
        <v>0</v>
      </c>
      <c r="BU153" s="13">
        <v>0</v>
      </c>
      <c r="BV153" s="78" t="s">
        <v>50</v>
      </c>
      <c r="BW153" s="100">
        <v>0</v>
      </c>
      <c r="BX153" s="13">
        <v>0</v>
      </c>
      <c r="BY153" s="13">
        <v>1</v>
      </c>
      <c r="BZ153" s="13">
        <v>0</v>
      </c>
      <c r="CA153" s="13">
        <v>0</v>
      </c>
      <c r="CB153" s="34" t="s">
        <v>54</v>
      </c>
    </row>
    <row r="154" spans="1:80" s="18" customFormat="1" ht="18.75" x14ac:dyDescent="0.3">
      <c r="A154" s="1">
        <v>153</v>
      </c>
      <c r="B154" s="69">
        <v>67</v>
      </c>
      <c r="C154" s="57" t="s">
        <v>46</v>
      </c>
      <c r="D154" s="57" t="s">
        <v>47</v>
      </c>
      <c r="E154" s="70" t="s">
        <v>130</v>
      </c>
      <c r="F154" s="5">
        <f>'[2]Removed Saddle Values'!G154*2.54</f>
        <v>170.18</v>
      </c>
      <c r="G154" s="5">
        <v>84</v>
      </c>
      <c r="H154" s="5">
        <f t="shared" si="5"/>
        <v>29.004290577081932</v>
      </c>
      <c r="I154" s="13">
        <v>0</v>
      </c>
      <c r="J154" s="13">
        <v>2</v>
      </c>
      <c r="K154" s="13">
        <v>2</v>
      </c>
      <c r="L154" s="13">
        <v>0</v>
      </c>
      <c r="M154" s="13">
        <v>84</v>
      </c>
      <c r="N154" s="13">
        <v>0</v>
      </c>
      <c r="O154" s="13">
        <v>132</v>
      </c>
      <c r="P154" s="13">
        <v>0</v>
      </c>
      <c r="Q154" s="13">
        <v>22</v>
      </c>
      <c r="R154" s="13">
        <v>0</v>
      </c>
      <c r="S154" s="5">
        <v>97</v>
      </c>
      <c r="T154" s="13">
        <v>0</v>
      </c>
      <c r="U154" s="13">
        <v>90</v>
      </c>
      <c r="V154" s="13">
        <v>1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1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1</v>
      </c>
      <c r="AP154" s="13">
        <v>1</v>
      </c>
      <c r="AQ154" s="13">
        <v>1</v>
      </c>
      <c r="AR154" s="13">
        <v>0</v>
      </c>
      <c r="AS154" s="13">
        <v>1</v>
      </c>
      <c r="AT154" s="13">
        <v>1</v>
      </c>
      <c r="AU154" s="10">
        <v>1</v>
      </c>
      <c r="AV154" s="13">
        <v>0</v>
      </c>
      <c r="AW154" s="13">
        <v>40</v>
      </c>
      <c r="AX154" s="71">
        <f>5.46/3.25</f>
        <v>1.68</v>
      </c>
      <c r="AY154" s="77">
        <v>0</v>
      </c>
      <c r="AZ154" s="31">
        <v>0</v>
      </c>
      <c r="BA154" s="31">
        <v>1</v>
      </c>
      <c r="BB154" s="71">
        <f>3.37/4.08</f>
        <v>0.82598039215686281</v>
      </c>
      <c r="BC154" s="72">
        <v>3</v>
      </c>
      <c r="BD154" s="72">
        <v>1</v>
      </c>
      <c r="BE154" s="72"/>
      <c r="BF154" s="13">
        <v>0</v>
      </c>
      <c r="BG154" s="13" t="s">
        <v>48</v>
      </c>
      <c r="BH154" s="13">
        <v>1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1</v>
      </c>
      <c r="BP154" s="13">
        <v>0</v>
      </c>
      <c r="BQ154" s="13">
        <v>0</v>
      </c>
      <c r="BR154" s="13">
        <v>0</v>
      </c>
      <c r="BS154" s="13" t="s">
        <v>48</v>
      </c>
      <c r="BT154" s="13">
        <v>0</v>
      </c>
      <c r="BU154" s="13">
        <v>1</v>
      </c>
      <c r="BV154" s="73" t="s">
        <v>50</v>
      </c>
      <c r="BW154" s="101">
        <v>0</v>
      </c>
      <c r="BX154" s="13">
        <v>1</v>
      </c>
      <c r="BY154" s="13">
        <v>0</v>
      </c>
      <c r="BZ154" s="13">
        <v>0</v>
      </c>
      <c r="CA154" s="13">
        <v>0</v>
      </c>
      <c r="CB154" s="18" t="s">
        <v>54</v>
      </c>
    </row>
    <row r="155" spans="1:80" s="18" customFormat="1" ht="18.75" x14ac:dyDescent="0.3">
      <c r="A155" s="1">
        <v>154</v>
      </c>
      <c r="B155" s="69">
        <v>54</v>
      </c>
      <c r="C155" s="57" t="s">
        <v>46</v>
      </c>
      <c r="D155" s="57" t="s">
        <v>47</v>
      </c>
      <c r="E155" s="70" t="s">
        <v>87</v>
      </c>
      <c r="F155" s="5">
        <f>'[2]Removed Saddle Values'!G155*2.54</f>
        <v>182.88</v>
      </c>
      <c r="G155" s="5">
        <v>102</v>
      </c>
      <c r="H155" s="5">
        <f t="shared" si="5"/>
        <v>30.497746180677549</v>
      </c>
      <c r="I155" s="13">
        <v>1</v>
      </c>
      <c r="J155" s="13">
        <v>5</v>
      </c>
      <c r="K155" s="13">
        <v>2</v>
      </c>
      <c r="L155" s="13">
        <v>1</v>
      </c>
      <c r="M155" s="13">
        <v>118</v>
      </c>
      <c r="N155" s="13">
        <v>0</v>
      </c>
      <c r="O155" s="13">
        <v>144</v>
      </c>
      <c r="P155" s="13">
        <v>0</v>
      </c>
      <c r="Q155" s="13">
        <v>20</v>
      </c>
      <c r="R155" s="13">
        <v>0</v>
      </c>
      <c r="S155" s="5">
        <v>99.1</v>
      </c>
      <c r="T155" s="13">
        <v>0</v>
      </c>
      <c r="U155" s="13">
        <v>91</v>
      </c>
      <c r="V155" s="13">
        <v>1</v>
      </c>
      <c r="W155" s="13">
        <v>0</v>
      </c>
      <c r="X155" s="13">
        <v>1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1</v>
      </c>
      <c r="AP155" s="13">
        <v>1</v>
      </c>
      <c r="AQ155" s="13">
        <v>1</v>
      </c>
      <c r="AR155" s="13">
        <v>1</v>
      </c>
      <c r="AS155" s="13">
        <v>1</v>
      </c>
      <c r="AT155" s="13">
        <v>1</v>
      </c>
      <c r="AU155" s="10">
        <v>1</v>
      </c>
      <c r="AV155" s="13">
        <v>0</v>
      </c>
      <c r="AW155" s="13">
        <v>60</v>
      </c>
      <c r="AX155" s="71">
        <f>5.79/4.23</f>
        <v>1.3687943262411346</v>
      </c>
      <c r="AY155" s="77">
        <v>0</v>
      </c>
      <c r="AZ155" s="31">
        <v>0</v>
      </c>
      <c r="BA155" s="31">
        <v>1</v>
      </c>
      <c r="BB155" s="71">
        <f>3.07/4.16</f>
        <v>0.73798076923076916</v>
      </c>
      <c r="BC155" s="72">
        <v>4</v>
      </c>
      <c r="BD155" s="72">
        <v>1</v>
      </c>
      <c r="BE155" s="72"/>
      <c r="BF155" s="13">
        <v>0</v>
      </c>
      <c r="BG155" s="13" t="s">
        <v>48</v>
      </c>
      <c r="BH155" s="13">
        <v>1</v>
      </c>
      <c r="BI155" s="13">
        <v>0</v>
      </c>
      <c r="BJ155" s="13" t="s">
        <v>48</v>
      </c>
      <c r="BK155" s="13" t="s">
        <v>48</v>
      </c>
      <c r="BL155" s="13" t="s">
        <v>48</v>
      </c>
      <c r="BM155" s="13" t="s">
        <v>48</v>
      </c>
      <c r="BN155" s="13">
        <v>1</v>
      </c>
      <c r="BO155" s="13">
        <v>0</v>
      </c>
      <c r="BP155" s="13">
        <v>1</v>
      </c>
      <c r="BQ155" s="13">
        <v>1</v>
      </c>
      <c r="BR155" s="13" t="s">
        <v>48</v>
      </c>
      <c r="BS155" s="13" t="s">
        <v>48</v>
      </c>
      <c r="BT155" s="13" t="s">
        <v>48</v>
      </c>
      <c r="BU155" s="13" t="s">
        <v>48</v>
      </c>
      <c r="BV155" s="73" t="s">
        <v>57</v>
      </c>
      <c r="BW155" s="101" t="s">
        <v>57</v>
      </c>
      <c r="BX155" s="13" t="s">
        <v>48</v>
      </c>
      <c r="BY155" s="13" t="s">
        <v>48</v>
      </c>
      <c r="BZ155" s="13" t="s">
        <v>48</v>
      </c>
      <c r="CA155" s="13" t="s">
        <v>48</v>
      </c>
      <c r="CB155" s="18" t="s">
        <v>54</v>
      </c>
    </row>
    <row r="156" spans="1:80" s="18" customFormat="1" ht="18.75" x14ac:dyDescent="0.3">
      <c r="A156" s="1">
        <v>155</v>
      </c>
      <c r="B156" s="69">
        <v>34</v>
      </c>
      <c r="C156" s="57" t="s">
        <v>52</v>
      </c>
      <c r="D156" s="57" t="s">
        <v>47</v>
      </c>
      <c r="E156" s="70" t="s">
        <v>76</v>
      </c>
      <c r="F156" s="5">
        <f>'[2]Removed Saddle Values'!G156*2.54</f>
        <v>182.88</v>
      </c>
      <c r="G156" s="5">
        <v>112</v>
      </c>
      <c r="H156" s="5">
        <f t="shared" si="5"/>
        <v>33.487721296430244</v>
      </c>
      <c r="I156" s="13">
        <v>0</v>
      </c>
      <c r="J156" s="13">
        <v>3</v>
      </c>
      <c r="K156" s="13">
        <v>3</v>
      </c>
      <c r="L156" s="13">
        <v>0</v>
      </c>
      <c r="M156" s="13">
        <v>72</v>
      </c>
      <c r="N156" s="13">
        <v>0</v>
      </c>
      <c r="O156" s="13">
        <v>136</v>
      </c>
      <c r="P156" s="13">
        <v>0</v>
      </c>
      <c r="Q156" s="13">
        <v>18</v>
      </c>
      <c r="R156" s="13">
        <v>0</v>
      </c>
      <c r="S156" s="5">
        <v>98.5</v>
      </c>
      <c r="T156" s="13">
        <v>0</v>
      </c>
      <c r="U156" s="13">
        <v>98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1</v>
      </c>
      <c r="AL156" s="13">
        <v>0</v>
      </c>
      <c r="AM156" s="13">
        <v>0</v>
      </c>
      <c r="AN156" s="13">
        <v>0</v>
      </c>
      <c r="AO156" s="13">
        <v>1</v>
      </c>
      <c r="AP156" s="13">
        <v>1</v>
      </c>
      <c r="AQ156" s="13">
        <v>0</v>
      </c>
      <c r="AR156" s="13">
        <v>0</v>
      </c>
      <c r="AS156" s="13">
        <v>1</v>
      </c>
      <c r="AT156" s="13">
        <v>1</v>
      </c>
      <c r="AU156" s="10">
        <v>1</v>
      </c>
      <c r="AV156" s="13">
        <v>0</v>
      </c>
      <c r="AW156" s="13" t="s">
        <v>192</v>
      </c>
      <c r="AX156" s="71">
        <f>4.68/5.59</f>
        <v>0.83720930232558133</v>
      </c>
      <c r="AY156" s="77">
        <v>0</v>
      </c>
      <c r="AZ156" s="31">
        <v>0</v>
      </c>
      <c r="BA156" s="31">
        <v>0</v>
      </c>
      <c r="BB156" s="71">
        <f>2.61/2.92</f>
        <v>0.89383561643835618</v>
      </c>
      <c r="BC156" s="72">
        <v>1</v>
      </c>
      <c r="BD156" s="72">
        <v>1</v>
      </c>
      <c r="BE156" s="72"/>
      <c r="BF156" s="13">
        <v>0</v>
      </c>
      <c r="BG156" s="13" t="s">
        <v>48</v>
      </c>
      <c r="BH156" s="13">
        <v>1</v>
      </c>
      <c r="BI156" s="13">
        <v>0</v>
      </c>
      <c r="BJ156" s="13">
        <v>1</v>
      </c>
      <c r="BK156" s="13">
        <v>1</v>
      </c>
      <c r="BL156" s="13">
        <v>1</v>
      </c>
      <c r="BM156" s="13">
        <v>1</v>
      </c>
      <c r="BN156" s="13">
        <v>0</v>
      </c>
      <c r="BO156" s="13">
        <v>1</v>
      </c>
      <c r="BP156" s="13">
        <v>1</v>
      </c>
      <c r="BQ156" s="13">
        <v>1</v>
      </c>
      <c r="BR156" s="13">
        <v>0</v>
      </c>
      <c r="BS156" s="13" t="s">
        <v>48</v>
      </c>
      <c r="BT156" s="13">
        <v>0</v>
      </c>
      <c r="BU156" s="13">
        <v>1</v>
      </c>
      <c r="BV156" s="73" t="s">
        <v>50</v>
      </c>
      <c r="BW156" s="101">
        <v>0</v>
      </c>
      <c r="BX156" s="13">
        <v>0</v>
      </c>
      <c r="BY156" s="13">
        <v>1</v>
      </c>
      <c r="BZ156" s="13">
        <v>0</v>
      </c>
      <c r="CA156" s="13">
        <v>0</v>
      </c>
      <c r="CB156" s="18" t="s">
        <v>55</v>
      </c>
    </row>
    <row r="157" spans="1:80" s="57" customFormat="1" ht="18.75" x14ac:dyDescent="0.3">
      <c r="A157" s="1">
        <v>156</v>
      </c>
      <c r="B157" s="69">
        <v>53</v>
      </c>
      <c r="C157" s="70" t="s">
        <v>46</v>
      </c>
      <c r="D157" s="57" t="s">
        <v>47</v>
      </c>
      <c r="E157" s="70">
        <v>6</v>
      </c>
      <c r="F157" s="5">
        <f>'[2]Removed Saddle Values'!G157*2.54</f>
        <v>182.88</v>
      </c>
      <c r="G157" s="79">
        <v>100.2</v>
      </c>
      <c r="H157" s="5">
        <f t="shared" si="5"/>
        <v>29.959550659842062</v>
      </c>
      <c r="I157" s="57">
        <v>1</v>
      </c>
      <c r="J157" s="57">
        <v>2</v>
      </c>
      <c r="K157" s="57">
        <v>2</v>
      </c>
      <c r="L157" s="57">
        <v>1</v>
      </c>
      <c r="M157" s="57">
        <v>135</v>
      </c>
      <c r="N157" s="57">
        <v>0</v>
      </c>
      <c r="O157" s="57">
        <v>110</v>
      </c>
      <c r="P157" s="57">
        <v>0</v>
      </c>
      <c r="Q157" s="57">
        <v>24</v>
      </c>
      <c r="R157" s="57">
        <v>0</v>
      </c>
      <c r="S157" s="79">
        <v>98.3</v>
      </c>
      <c r="T157" s="57">
        <v>0</v>
      </c>
      <c r="U157" s="57">
        <v>95</v>
      </c>
      <c r="V157" s="57">
        <v>1</v>
      </c>
      <c r="W157" s="13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  <c r="AJ157" s="57">
        <v>0</v>
      </c>
      <c r="AK157" s="57">
        <v>0</v>
      </c>
      <c r="AL157" s="57">
        <v>0</v>
      </c>
      <c r="AM157" s="57">
        <v>0</v>
      </c>
      <c r="AN157" s="57">
        <v>0</v>
      </c>
      <c r="AO157" s="57">
        <v>0</v>
      </c>
      <c r="AP157" s="57" t="s">
        <v>48</v>
      </c>
      <c r="AQ157" s="57">
        <v>1</v>
      </c>
      <c r="AR157" s="57">
        <v>1</v>
      </c>
      <c r="AS157" s="57">
        <v>1</v>
      </c>
      <c r="AT157" s="57">
        <v>0</v>
      </c>
      <c r="AU157" s="13">
        <v>0</v>
      </c>
      <c r="AV157" s="57">
        <v>0</v>
      </c>
      <c r="AW157" s="57" t="s">
        <v>192</v>
      </c>
      <c r="AX157" s="71">
        <f>4.55/3.85</f>
        <v>1.1818181818181817</v>
      </c>
      <c r="AY157" s="77">
        <v>0</v>
      </c>
      <c r="AZ157" s="31">
        <v>0</v>
      </c>
      <c r="BA157" s="31">
        <v>1</v>
      </c>
      <c r="BB157" s="71">
        <f>3.15/2.74</f>
        <v>1.1496350364963503</v>
      </c>
      <c r="BC157" s="72">
        <v>2</v>
      </c>
      <c r="BD157" s="72">
        <v>1</v>
      </c>
      <c r="BE157" s="72"/>
      <c r="BF157" s="57">
        <v>1</v>
      </c>
      <c r="BG157" s="57" t="s">
        <v>75</v>
      </c>
      <c r="BH157" s="57">
        <v>1</v>
      </c>
      <c r="BI157" s="57">
        <v>0</v>
      </c>
      <c r="BJ157" s="57">
        <v>0</v>
      </c>
      <c r="BK157" s="57">
        <v>0</v>
      </c>
      <c r="BL157" s="57">
        <v>0</v>
      </c>
      <c r="BM157" s="57">
        <v>0</v>
      </c>
      <c r="BN157" s="57">
        <v>1</v>
      </c>
      <c r="BO157" s="57">
        <v>0</v>
      </c>
      <c r="BP157" s="57">
        <v>0</v>
      </c>
      <c r="BQ157" s="57">
        <v>1</v>
      </c>
      <c r="BR157" s="57">
        <v>0</v>
      </c>
      <c r="BS157" s="57" t="s">
        <v>48</v>
      </c>
      <c r="BT157" s="13">
        <v>0</v>
      </c>
      <c r="BU157" s="57">
        <v>0</v>
      </c>
      <c r="BV157" s="73" t="s">
        <v>149</v>
      </c>
      <c r="BW157" s="101">
        <v>0</v>
      </c>
      <c r="BX157" s="57">
        <v>0</v>
      </c>
      <c r="BY157" s="57">
        <v>0</v>
      </c>
      <c r="BZ157" s="57">
        <v>0</v>
      </c>
      <c r="CA157" s="57">
        <v>0</v>
      </c>
      <c r="CB157" s="80" t="s">
        <v>61</v>
      </c>
    </row>
    <row r="158" spans="1:80" s="57" customFormat="1" ht="18.75" x14ac:dyDescent="0.3">
      <c r="A158" s="1">
        <v>157</v>
      </c>
      <c r="B158" s="69">
        <v>57</v>
      </c>
      <c r="C158" s="70" t="s">
        <v>46</v>
      </c>
      <c r="D158" s="57" t="s">
        <v>47</v>
      </c>
      <c r="E158" s="70" t="s">
        <v>109</v>
      </c>
      <c r="F158" s="5">
        <f>'[2]Removed Saddle Values'!G158*2.54</f>
        <v>190.5</v>
      </c>
      <c r="G158" s="79">
        <v>147</v>
      </c>
      <c r="H158" s="5">
        <f t="shared" si="5"/>
        <v>40.506747680162029</v>
      </c>
      <c r="I158" s="57">
        <v>1</v>
      </c>
      <c r="J158" s="57">
        <v>3</v>
      </c>
      <c r="K158" s="57">
        <v>2</v>
      </c>
      <c r="L158" s="57">
        <v>0</v>
      </c>
      <c r="M158" s="57">
        <v>106</v>
      </c>
      <c r="N158" s="57">
        <v>0</v>
      </c>
      <c r="O158" s="57">
        <v>120</v>
      </c>
      <c r="P158" s="57">
        <v>0</v>
      </c>
      <c r="Q158" s="57">
        <v>20</v>
      </c>
      <c r="R158" s="57">
        <v>0</v>
      </c>
      <c r="S158" s="79">
        <v>97.7</v>
      </c>
      <c r="T158" s="57">
        <v>1</v>
      </c>
      <c r="U158" s="57">
        <v>87</v>
      </c>
      <c r="V158" s="57">
        <v>1</v>
      </c>
      <c r="W158" s="13">
        <v>0</v>
      </c>
      <c r="X158" s="57">
        <v>0</v>
      </c>
      <c r="Y158" s="57">
        <v>0</v>
      </c>
      <c r="Z158" s="57">
        <v>0</v>
      </c>
      <c r="AA158" s="57">
        <v>0</v>
      </c>
      <c r="AB158" s="57">
        <v>0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  <c r="AJ158" s="57">
        <v>1</v>
      </c>
      <c r="AK158" s="57">
        <v>0</v>
      </c>
      <c r="AL158" s="57">
        <v>0</v>
      </c>
      <c r="AM158" s="57">
        <v>0</v>
      </c>
      <c r="AN158" s="57">
        <v>0</v>
      </c>
      <c r="AO158" s="57">
        <v>1</v>
      </c>
      <c r="AP158" s="57">
        <v>1</v>
      </c>
      <c r="AQ158" s="57">
        <v>1</v>
      </c>
      <c r="AR158" s="57">
        <v>0</v>
      </c>
      <c r="AS158" s="57">
        <v>1</v>
      </c>
      <c r="AT158" s="57">
        <v>1</v>
      </c>
      <c r="AU158" s="10">
        <v>1</v>
      </c>
      <c r="AV158" s="57">
        <v>0</v>
      </c>
      <c r="AW158" s="57">
        <v>71</v>
      </c>
      <c r="AX158" s="71">
        <f>5.42/4.06</f>
        <v>1.3349753694581281</v>
      </c>
      <c r="AY158" s="77">
        <v>0</v>
      </c>
      <c r="AZ158" s="31">
        <v>0</v>
      </c>
      <c r="BA158" s="31">
        <v>1</v>
      </c>
      <c r="BB158" s="71">
        <f>3.54/4.37</f>
        <v>0.81006864988558347</v>
      </c>
      <c r="BC158" s="72">
        <v>2</v>
      </c>
      <c r="BD158" s="72">
        <v>1</v>
      </c>
      <c r="BE158" s="72"/>
      <c r="BF158" s="57">
        <v>1</v>
      </c>
      <c r="BG158" s="57" t="s">
        <v>75</v>
      </c>
      <c r="BH158" s="57">
        <v>1</v>
      </c>
      <c r="BI158" s="57">
        <v>0</v>
      </c>
      <c r="BJ158" s="57">
        <v>0</v>
      </c>
      <c r="BK158" s="57">
        <v>0</v>
      </c>
      <c r="BL158" s="57">
        <v>0</v>
      </c>
      <c r="BM158" s="57">
        <v>0</v>
      </c>
      <c r="BN158" s="57">
        <v>1</v>
      </c>
      <c r="BO158" s="57">
        <v>0</v>
      </c>
      <c r="BP158" s="57">
        <v>0</v>
      </c>
      <c r="BQ158" s="57">
        <v>0</v>
      </c>
      <c r="BR158" s="57">
        <v>0</v>
      </c>
      <c r="BS158" s="57" t="s">
        <v>48</v>
      </c>
      <c r="BT158" s="13">
        <v>0</v>
      </c>
      <c r="BU158" s="57">
        <v>0</v>
      </c>
      <c r="BV158" s="73" t="s">
        <v>50</v>
      </c>
      <c r="BW158" s="101">
        <v>0</v>
      </c>
      <c r="BX158" s="57">
        <v>0</v>
      </c>
      <c r="BY158" s="57">
        <v>0</v>
      </c>
      <c r="BZ158" s="57">
        <v>0</v>
      </c>
      <c r="CA158" s="57">
        <v>0</v>
      </c>
      <c r="CB158" s="80" t="s">
        <v>51</v>
      </c>
    </row>
    <row r="159" spans="1:80" s="57" customFormat="1" ht="18.75" x14ac:dyDescent="0.3">
      <c r="A159" s="1">
        <v>158</v>
      </c>
      <c r="B159" s="69">
        <v>59</v>
      </c>
      <c r="C159" s="70" t="s">
        <v>52</v>
      </c>
      <c r="D159" s="57" t="s">
        <v>53</v>
      </c>
      <c r="E159" s="70" t="s">
        <v>76</v>
      </c>
      <c r="F159" s="5">
        <f>'[2]Removed Saddle Values'!G159*2.54</f>
        <v>170.18</v>
      </c>
      <c r="G159" s="79">
        <v>92.1</v>
      </c>
      <c r="H159" s="5">
        <f t="shared" si="5"/>
        <v>31.801132882729117</v>
      </c>
      <c r="I159" s="57">
        <v>0</v>
      </c>
      <c r="J159" s="57">
        <v>1</v>
      </c>
      <c r="K159" s="57">
        <v>2</v>
      </c>
      <c r="L159" s="57">
        <v>0</v>
      </c>
      <c r="M159" s="57">
        <v>93</v>
      </c>
      <c r="N159" s="57">
        <v>0</v>
      </c>
      <c r="O159" s="57">
        <v>110</v>
      </c>
      <c r="P159" s="57">
        <v>0</v>
      </c>
      <c r="Q159" s="57">
        <v>18</v>
      </c>
      <c r="R159" s="57">
        <v>0</v>
      </c>
      <c r="S159" s="79">
        <v>97.6</v>
      </c>
      <c r="T159" s="57">
        <v>0</v>
      </c>
      <c r="U159" s="57">
        <v>93</v>
      </c>
      <c r="V159" s="57">
        <v>0</v>
      </c>
      <c r="W159" s="13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  <c r="AJ159" s="57">
        <v>0</v>
      </c>
      <c r="AK159" s="57">
        <v>1</v>
      </c>
      <c r="AL159" s="57">
        <v>0</v>
      </c>
      <c r="AM159" s="57">
        <v>0</v>
      </c>
      <c r="AN159" s="57">
        <v>0</v>
      </c>
      <c r="AO159" s="57">
        <v>0</v>
      </c>
      <c r="AP159" s="57" t="s">
        <v>48</v>
      </c>
      <c r="AQ159" s="57">
        <v>1</v>
      </c>
      <c r="AR159" s="57">
        <v>0</v>
      </c>
      <c r="AS159" s="57">
        <v>1</v>
      </c>
      <c r="AT159" s="57">
        <v>1</v>
      </c>
      <c r="AU159" s="10">
        <v>1</v>
      </c>
      <c r="AV159" s="57">
        <v>0</v>
      </c>
      <c r="AW159" s="57">
        <v>142</v>
      </c>
      <c r="AX159" s="71">
        <f>5.41/3.3</f>
        <v>1.6393939393939396</v>
      </c>
      <c r="AY159" s="77">
        <v>0</v>
      </c>
      <c r="AZ159" s="31">
        <v>0</v>
      </c>
      <c r="BA159" s="31">
        <v>1</v>
      </c>
      <c r="BB159" s="71">
        <f>3.03/2.92</f>
        <v>1.0376712328767124</v>
      </c>
      <c r="BC159" s="72">
        <v>6</v>
      </c>
      <c r="BD159" s="72">
        <v>1</v>
      </c>
      <c r="BE159" s="72"/>
      <c r="BF159" s="57">
        <v>0</v>
      </c>
      <c r="BG159" s="57" t="s">
        <v>48</v>
      </c>
      <c r="BH159" s="57">
        <v>1</v>
      </c>
      <c r="BI159" s="57">
        <v>0</v>
      </c>
      <c r="BJ159" s="57">
        <v>0</v>
      </c>
      <c r="BK159" s="57">
        <v>0</v>
      </c>
      <c r="BL159" s="57">
        <v>0</v>
      </c>
      <c r="BM159" s="57">
        <v>0</v>
      </c>
      <c r="BN159" s="57">
        <v>0</v>
      </c>
      <c r="BO159" s="57">
        <v>1</v>
      </c>
      <c r="BP159" s="57">
        <v>0</v>
      </c>
      <c r="BQ159" s="57">
        <v>1</v>
      </c>
      <c r="BR159" s="57">
        <v>0</v>
      </c>
      <c r="BS159" s="57" t="s">
        <v>48</v>
      </c>
      <c r="BT159" s="13">
        <v>0</v>
      </c>
      <c r="BU159" s="57">
        <v>0</v>
      </c>
      <c r="BV159" s="73" t="s">
        <v>50</v>
      </c>
      <c r="BW159" s="101">
        <v>1</v>
      </c>
      <c r="BX159" s="57">
        <v>1</v>
      </c>
      <c r="BY159" s="57">
        <v>0</v>
      </c>
      <c r="BZ159" s="57">
        <v>0</v>
      </c>
      <c r="CA159" s="57">
        <v>0</v>
      </c>
      <c r="CB159" s="80" t="s">
        <v>55</v>
      </c>
    </row>
    <row r="160" spans="1:80" s="57" customFormat="1" ht="18.75" x14ac:dyDescent="0.3">
      <c r="A160" s="1">
        <v>159</v>
      </c>
      <c r="B160" s="69">
        <v>67</v>
      </c>
      <c r="C160" s="70" t="s">
        <v>52</v>
      </c>
      <c r="D160" s="57" t="s">
        <v>47</v>
      </c>
      <c r="E160" s="70" t="s">
        <v>76</v>
      </c>
      <c r="F160" s="5">
        <f>'[2]Removed Saddle Values'!G160*2.54</f>
        <v>154.94</v>
      </c>
      <c r="G160" s="79">
        <v>89.8</v>
      </c>
      <c r="H160" s="5">
        <f t="shared" si="5"/>
        <v>37.406685939413272</v>
      </c>
      <c r="I160" s="57">
        <v>0</v>
      </c>
      <c r="J160" s="57">
        <v>2</v>
      </c>
      <c r="K160" s="57">
        <v>2</v>
      </c>
      <c r="L160" s="57">
        <v>0</v>
      </c>
      <c r="M160" s="57">
        <v>100</v>
      </c>
      <c r="N160" s="57">
        <v>0</v>
      </c>
      <c r="O160" s="57">
        <v>150</v>
      </c>
      <c r="P160" s="57">
        <v>0</v>
      </c>
      <c r="Q160" s="57">
        <v>16</v>
      </c>
      <c r="R160" s="57">
        <v>0</v>
      </c>
      <c r="S160" s="79">
        <v>98.4</v>
      </c>
      <c r="T160" s="57">
        <v>0</v>
      </c>
      <c r="U160" s="57">
        <v>98</v>
      </c>
      <c r="V160" s="57">
        <v>0</v>
      </c>
      <c r="W160" s="13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57">
        <v>0</v>
      </c>
      <c r="AJ160" s="57">
        <v>0</v>
      </c>
      <c r="AK160" s="57">
        <v>0</v>
      </c>
      <c r="AL160" s="57">
        <v>0</v>
      </c>
      <c r="AM160" s="57">
        <v>0</v>
      </c>
      <c r="AN160" s="57">
        <v>0</v>
      </c>
      <c r="AO160" s="57">
        <v>1</v>
      </c>
      <c r="AP160" s="57">
        <v>1</v>
      </c>
      <c r="AQ160" s="57" t="s">
        <v>48</v>
      </c>
      <c r="AR160" s="57">
        <v>1</v>
      </c>
      <c r="AS160" s="57">
        <v>0</v>
      </c>
      <c r="AT160" s="57">
        <v>1</v>
      </c>
      <c r="AU160" s="57">
        <v>0</v>
      </c>
      <c r="AV160" s="57">
        <v>0</v>
      </c>
      <c r="AW160" s="57" t="s">
        <v>175</v>
      </c>
      <c r="AX160" s="71">
        <f>4.45/3.35</f>
        <v>1.3283582089552239</v>
      </c>
      <c r="AY160" s="77">
        <v>0</v>
      </c>
      <c r="AZ160" s="31">
        <v>0</v>
      </c>
      <c r="BA160" s="31">
        <v>1</v>
      </c>
      <c r="BB160" s="71">
        <f>2.79/2.71</f>
        <v>1.0295202952029521</v>
      </c>
      <c r="BC160" s="72">
        <v>3</v>
      </c>
      <c r="BD160" s="72">
        <v>1</v>
      </c>
      <c r="BE160" s="72"/>
      <c r="BF160" s="57">
        <v>0</v>
      </c>
      <c r="BG160" s="57" t="s">
        <v>48</v>
      </c>
      <c r="BH160" s="57">
        <v>1</v>
      </c>
      <c r="BI160" s="57">
        <v>0</v>
      </c>
      <c r="BJ160" s="57">
        <v>0</v>
      </c>
      <c r="BK160" s="57">
        <v>0</v>
      </c>
      <c r="BL160" s="57">
        <v>0</v>
      </c>
      <c r="BM160" s="57">
        <v>0</v>
      </c>
      <c r="BN160" s="57">
        <v>1</v>
      </c>
      <c r="BO160" s="57">
        <v>0</v>
      </c>
      <c r="BP160" s="57">
        <v>1</v>
      </c>
      <c r="BQ160" s="57">
        <v>1</v>
      </c>
      <c r="BR160" s="57">
        <v>1</v>
      </c>
      <c r="BS160" s="57" t="s">
        <v>144</v>
      </c>
      <c r="BT160" s="13">
        <v>0</v>
      </c>
      <c r="BU160" s="57">
        <v>0</v>
      </c>
      <c r="BV160" s="73" t="s">
        <v>57</v>
      </c>
      <c r="BW160" s="101" t="s">
        <v>57</v>
      </c>
      <c r="BX160" s="57">
        <v>0</v>
      </c>
      <c r="BY160" s="57">
        <v>0</v>
      </c>
      <c r="BZ160" s="57">
        <v>0</v>
      </c>
      <c r="CA160" s="57">
        <v>0</v>
      </c>
      <c r="CB160" s="80" t="s">
        <v>54</v>
      </c>
    </row>
    <row r="161" spans="1:80" s="18" customFormat="1" ht="18.75" x14ac:dyDescent="0.3">
      <c r="A161" s="1">
        <v>160</v>
      </c>
      <c r="B161" s="74">
        <v>70</v>
      </c>
      <c r="C161" s="75" t="s">
        <v>46</v>
      </c>
      <c r="D161" s="75" t="s">
        <v>53</v>
      </c>
      <c r="E161" s="75" t="s">
        <v>109</v>
      </c>
      <c r="F161" s="5">
        <f>'[2]Removed Saddle Values'!G161*2.54</f>
        <v>175.26</v>
      </c>
      <c r="G161" s="5">
        <v>90</v>
      </c>
      <c r="H161" s="5">
        <f t="shared" si="5"/>
        <v>29.300625709001892</v>
      </c>
      <c r="I161" s="13">
        <v>0</v>
      </c>
      <c r="J161" s="13">
        <v>2</v>
      </c>
      <c r="K161" s="13">
        <v>2</v>
      </c>
      <c r="L161" s="13">
        <v>0</v>
      </c>
      <c r="M161" s="13">
        <v>88</v>
      </c>
      <c r="N161" s="13">
        <v>0</v>
      </c>
      <c r="O161" s="13">
        <v>140</v>
      </c>
      <c r="P161" s="13">
        <v>0</v>
      </c>
      <c r="Q161" s="13">
        <v>17</v>
      </c>
      <c r="R161" s="13">
        <v>0</v>
      </c>
      <c r="S161" s="5">
        <v>97.5</v>
      </c>
      <c r="T161" s="13">
        <v>0</v>
      </c>
      <c r="U161" s="13">
        <v>96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1</v>
      </c>
      <c r="AP161" s="13">
        <v>1</v>
      </c>
      <c r="AQ161" s="13">
        <v>1</v>
      </c>
      <c r="AR161" s="13">
        <v>0</v>
      </c>
      <c r="AS161" s="13">
        <v>1</v>
      </c>
      <c r="AT161" s="13">
        <v>1</v>
      </c>
      <c r="AU161" s="10">
        <v>1</v>
      </c>
      <c r="AV161" s="13">
        <v>0</v>
      </c>
      <c r="AW161" s="13">
        <v>51.8</v>
      </c>
      <c r="AX161" s="76">
        <f>5.26/5.05</f>
        <v>1.0415841584158416</v>
      </c>
      <c r="AY161" s="77">
        <v>0</v>
      </c>
      <c r="AZ161" s="31">
        <v>0</v>
      </c>
      <c r="BA161" s="31">
        <v>1</v>
      </c>
      <c r="BB161" s="76">
        <f>3.94/3.86</f>
        <v>1.0207253886010363</v>
      </c>
      <c r="BC161" s="77">
        <v>3</v>
      </c>
      <c r="BD161" s="77">
        <v>1</v>
      </c>
      <c r="BE161" s="77"/>
      <c r="BF161" s="13">
        <v>0</v>
      </c>
      <c r="BG161" s="13" t="s">
        <v>48</v>
      </c>
      <c r="BH161" s="13">
        <v>1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 t="s">
        <v>48</v>
      </c>
      <c r="BQ161" s="13" t="s">
        <v>48</v>
      </c>
      <c r="BR161" s="13">
        <v>0</v>
      </c>
      <c r="BS161" s="13" t="s">
        <v>48</v>
      </c>
      <c r="BT161" s="13">
        <v>0</v>
      </c>
      <c r="BU161" s="13">
        <v>0</v>
      </c>
      <c r="BV161" s="78" t="s">
        <v>50</v>
      </c>
      <c r="BW161" s="100">
        <v>1</v>
      </c>
      <c r="BX161" s="13">
        <v>0</v>
      </c>
      <c r="BY161" s="13">
        <v>0</v>
      </c>
      <c r="BZ161" s="13">
        <v>0</v>
      </c>
      <c r="CA161" s="13">
        <v>0</v>
      </c>
      <c r="CB161" s="18" t="s">
        <v>54</v>
      </c>
    </row>
    <row r="162" spans="1:80" s="18" customFormat="1" ht="18.75" x14ac:dyDescent="0.3">
      <c r="A162" s="1">
        <v>161</v>
      </c>
      <c r="B162" s="74">
        <v>61</v>
      </c>
      <c r="C162" s="75" t="s">
        <v>46</v>
      </c>
      <c r="D162" s="75" t="s">
        <v>47</v>
      </c>
      <c r="E162" s="75">
        <v>5</v>
      </c>
      <c r="F162" s="5">
        <f>'[2]Removed Saddle Values'!G162*2.54</f>
        <v>185.42000000000002</v>
      </c>
      <c r="G162" s="5">
        <v>96.1</v>
      </c>
      <c r="H162" s="5">
        <f t="shared" si="5"/>
        <v>27.951829219477538</v>
      </c>
      <c r="I162" s="13">
        <v>1</v>
      </c>
      <c r="J162" s="13">
        <v>5</v>
      </c>
      <c r="K162" s="13">
        <v>2</v>
      </c>
      <c r="L162" s="13">
        <v>0</v>
      </c>
      <c r="M162" s="13">
        <v>75</v>
      </c>
      <c r="N162" s="13">
        <v>0</v>
      </c>
      <c r="O162" s="13">
        <v>126</v>
      </c>
      <c r="P162" s="13">
        <v>0</v>
      </c>
      <c r="Q162" s="13">
        <v>24</v>
      </c>
      <c r="R162" s="13">
        <v>0</v>
      </c>
      <c r="S162" s="5">
        <v>97.5</v>
      </c>
      <c r="T162" s="13">
        <v>1</v>
      </c>
      <c r="U162" s="13">
        <v>89</v>
      </c>
      <c r="V162" s="13">
        <v>1</v>
      </c>
      <c r="W162" s="13">
        <v>0</v>
      </c>
      <c r="X162" s="13">
        <v>0</v>
      </c>
      <c r="Y162" s="13">
        <v>0</v>
      </c>
      <c r="Z162" s="13">
        <v>0</v>
      </c>
      <c r="AA162" s="13">
        <v>1</v>
      </c>
      <c r="AB162" s="13">
        <v>0</v>
      </c>
      <c r="AC162" s="13">
        <v>1</v>
      </c>
      <c r="AD162" s="13">
        <v>1</v>
      </c>
      <c r="AE162" s="13">
        <v>1</v>
      </c>
      <c r="AF162" s="13">
        <v>0</v>
      </c>
      <c r="AG162" s="13">
        <v>0</v>
      </c>
      <c r="AH162" s="13">
        <v>0</v>
      </c>
      <c r="AI162" s="13">
        <v>0</v>
      </c>
      <c r="AJ162" s="13">
        <v>1</v>
      </c>
      <c r="AK162" s="13">
        <v>0</v>
      </c>
      <c r="AL162" s="13">
        <v>0</v>
      </c>
      <c r="AM162" s="13">
        <v>0</v>
      </c>
      <c r="AN162" s="13">
        <v>0</v>
      </c>
      <c r="AO162" s="13">
        <v>1</v>
      </c>
      <c r="AP162" s="13">
        <v>1</v>
      </c>
      <c r="AQ162" s="13">
        <v>1</v>
      </c>
      <c r="AR162" s="13">
        <v>1</v>
      </c>
      <c r="AS162" s="13">
        <v>1</v>
      </c>
      <c r="AT162" s="13">
        <v>0</v>
      </c>
      <c r="AU162" s="13">
        <v>0</v>
      </c>
      <c r="AV162" s="13">
        <v>0</v>
      </c>
      <c r="AW162" s="13" t="s">
        <v>192</v>
      </c>
      <c r="AX162" s="76">
        <f>3.91/5.27</f>
        <v>0.74193548387096786</v>
      </c>
      <c r="AY162" s="77">
        <v>0</v>
      </c>
      <c r="AZ162" s="31">
        <v>0</v>
      </c>
      <c r="BA162" s="31">
        <v>0</v>
      </c>
      <c r="BB162" s="76">
        <f>4.01/3.78</f>
        <v>1.0608465608465609</v>
      </c>
      <c r="BC162" s="77">
        <v>2</v>
      </c>
      <c r="BD162" s="77">
        <v>1</v>
      </c>
      <c r="BE162" s="77"/>
      <c r="BF162" s="13">
        <v>0</v>
      </c>
      <c r="BG162" s="13" t="s">
        <v>48</v>
      </c>
      <c r="BH162" s="13">
        <v>1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1</v>
      </c>
      <c r="BP162" s="13">
        <v>0</v>
      </c>
      <c r="BQ162" s="13">
        <v>1</v>
      </c>
      <c r="BR162" s="13">
        <v>0</v>
      </c>
      <c r="BS162" s="13" t="s">
        <v>48</v>
      </c>
      <c r="BT162" s="13">
        <v>0</v>
      </c>
      <c r="BU162" s="13">
        <v>1</v>
      </c>
      <c r="BV162" s="78" t="s">
        <v>50</v>
      </c>
      <c r="BW162" s="100">
        <v>0</v>
      </c>
      <c r="BX162" s="13">
        <v>1</v>
      </c>
      <c r="BY162" s="13">
        <v>1</v>
      </c>
      <c r="BZ162" s="13">
        <v>0</v>
      </c>
      <c r="CA162" s="13">
        <v>0</v>
      </c>
      <c r="CB162" s="18" t="s">
        <v>51</v>
      </c>
    </row>
    <row r="163" spans="1:80" s="18" customFormat="1" ht="18.75" x14ac:dyDescent="0.3">
      <c r="A163" s="1">
        <v>162</v>
      </c>
      <c r="B163" s="74">
        <v>48</v>
      </c>
      <c r="C163" s="75" t="s">
        <v>46</v>
      </c>
      <c r="D163" s="75" t="s">
        <v>47</v>
      </c>
      <c r="E163" s="75">
        <v>3</v>
      </c>
      <c r="F163" s="5">
        <f>'[2]Removed Saddle Values'!G163*2.54</f>
        <v>175.26</v>
      </c>
      <c r="G163" s="5">
        <v>123</v>
      </c>
      <c r="H163" s="5">
        <f t="shared" si="5"/>
        <v>40.044188468969253</v>
      </c>
      <c r="I163" s="13">
        <v>1</v>
      </c>
      <c r="J163" s="13">
        <v>2</v>
      </c>
      <c r="K163" s="13">
        <v>2</v>
      </c>
      <c r="L163" s="13">
        <v>1</v>
      </c>
      <c r="M163" s="13">
        <v>111</v>
      </c>
      <c r="N163" s="13">
        <v>0</v>
      </c>
      <c r="O163" s="13">
        <v>157</v>
      </c>
      <c r="P163" s="13">
        <v>0</v>
      </c>
      <c r="Q163" s="13">
        <v>22</v>
      </c>
      <c r="R163" s="13">
        <v>0</v>
      </c>
      <c r="S163" s="5">
        <v>97.8</v>
      </c>
      <c r="T163" s="13">
        <v>0</v>
      </c>
      <c r="U163" s="13">
        <v>94</v>
      </c>
      <c r="V163" s="13">
        <v>1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1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1</v>
      </c>
      <c r="AL163" s="13">
        <v>1</v>
      </c>
      <c r="AM163" s="13">
        <v>0</v>
      </c>
      <c r="AN163" s="13">
        <v>0</v>
      </c>
      <c r="AO163" s="13" t="s">
        <v>48</v>
      </c>
      <c r="AP163" s="13" t="s">
        <v>48</v>
      </c>
      <c r="AQ163" s="13">
        <v>0</v>
      </c>
      <c r="AR163" s="13">
        <v>1</v>
      </c>
      <c r="AS163" s="13">
        <v>1</v>
      </c>
      <c r="AT163" s="13">
        <v>1</v>
      </c>
      <c r="AU163" s="10">
        <v>1</v>
      </c>
      <c r="AV163" s="13">
        <v>0</v>
      </c>
      <c r="AW163" s="13">
        <v>30.5</v>
      </c>
      <c r="AX163" s="76">
        <f>5.26/3.8</f>
        <v>1.3842105263157896</v>
      </c>
      <c r="AY163" s="77">
        <v>0</v>
      </c>
      <c r="AZ163" s="31">
        <v>0</v>
      </c>
      <c r="BA163" s="31">
        <v>1</v>
      </c>
      <c r="BB163" s="76">
        <f>2.91/3.28</f>
        <v>0.88719512195121963</v>
      </c>
      <c r="BC163" s="77">
        <v>3</v>
      </c>
      <c r="BD163" s="77">
        <v>1</v>
      </c>
      <c r="BE163" s="77"/>
      <c r="BF163" s="13">
        <v>1</v>
      </c>
      <c r="BG163" s="13" t="s">
        <v>75</v>
      </c>
      <c r="BH163" s="13">
        <v>1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0</v>
      </c>
      <c r="BO163" s="13">
        <v>1</v>
      </c>
      <c r="BP163" s="13">
        <v>0</v>
      </c>
      <c r="BQ163" s="13">
        <v>1</v>
      </c>
      <c r="BR163" s="13">
        <v>0</v>
      </c>
      <c r="BS163" s="13">
        <v>0</v>
      </c>
      <c r="BT163" s="13">
        <v>0</v>
      </c>
      <c r="BU163" s="13">
        <v>0</v>
      </c>
      <c r="BV163" s="78" t="s">
        <v>50</v>
      </c>
      <c r="BW163" s="100">
        <v>0</v>
      </c>
      <c r="BX163" s="13">
        <v>0</v>
      </c>
      <c r="BY163" s="13">
        <v>0</v>
      </c>
      <c r="BZ163" s="13">
        <v>0</v>
      </c>
      <c r="CA163" s="13">
        <v>0</v>
      </c>
      <c r="CB163" s="18" t="s">
        <v>55</v>
      </c>
    </row>
    <row r="164" spans="1:80" s="82" customFormat="1" ht="18.75" x14ac:dyDescent="0.3">
      <c r="A164" s="1">
        <v>163</v>
      </c>
      <c r="B164" s="60">
        <v>75</v>
      </c>
      <c r="C164" s="13" t="s">
        <v>46</v>
      </c>
      <c r="D164" s="50" t="s">
        <v>47</v>
      </c>
      <c r="E164" s="13">
        <v>1</v>
      </c>
      <c r="F164" s="5">
        <f>'[2]Removed Saddle Values'!G164*2.54</f>
        <v>177.8</v>
      </c>
      <c r="G164" s="5">
        <v>73</v>
      </c>
      <c r="H164" s="5">
        <f t="shared" si="5"/>
        <v>23.091882918459714</v>
      </c>
      <c r="I164" s="13">
        <v>1</v>
      </c>
      <c r="J164" s="13">
        <v>5</v>
      </c>
      <c r="K164" s="13">
        <v>2</v>
      </c>
      <c r="L164" s="13">
        <v>1</v>
      </c>
      <c r="M164" s="13">
        <v>133</v>
      </c>
      <c r="N164" s="13">
        <v>0</v>
      </c>
      <c r="O164" s="13">
        <v>111</v>
      </c>
      <c r="P164" s="13">
        <v>0</v>
      </c>
      <c r="Q164" s="13">
        <v>20</v>
      </c>
      <c r="R164" s="13">
        <v>0</v>
      </c>
      <c r="S164" s="5">
        <v>98.6</v>
      </c>
      <c r="T164" s="13">
        <v>0</v>
      </c>
      <c r="U164" s="13">
        <v>98</v>
      </c>
      <c r="V164" s="13">
        <v>1</v>
      </c>
      <c r="W164" s="13">
        <v>0</v>
      </c>
      <c r="X164" s="13">
        <v>1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1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 t="s">
        <v>48</v>
      </c>
      <c r="AP164" s="13" t="s">
        <v>48</v>
      </c>
      <c r="AQ164" s="13">
        <v>0</v>
      </c>
      <c r="AR164" s="13">
        <v>1</v>
      </c>
      <c r="AS164" s="13">
        <v>1</v>
      </c>
      <c r="AT164" s="13">
        <v>1</v>
      </c>
      <c r="AU164" s="10">
        <v>1</v>
      </c>
      <c r="AV164" s="13">
        <v>0</v>
      </c>
      <c r="AW164" s="13">
        <v>26.3</v>
      </c>
      <c r="AX164" s="76">
        <f>5.14/3.98</f>
        <v>1.2914572864321607</v>
      </c>
      <c r="AY164" s="77">
        <v>0</v>
      </c>
      <c r="AZ164" s="31">
        <v>0</v>
      </c>
      <c r="BA164" s="31">
        <v>1</v>
      </c>
      <c r="BB164" s="76">
        <f>2.51/3.38</f>
        <v>0.74260355029585789</v>
      </c>
      <c r="BC164" s="77">
        <v>5</v>
      </c>
      <c r="BD164" s="77">
        <v>1</v>
      </c>
      <c r="BE164" s="77"/>
      <c r="BF164" s="13">
        <v>0</v>
      </c>
      <c r="BG164" s="13" t="s">
        <v>48</v>
      </c>
      <c r="BH164" s="13">
        <v>1</v>
      </c>
      <c r="BI164" s="13">
        <v>0</v>
      </c>
      <c r="BJ164" s="13">
        <v>0</v>
      </c>
      <c r="BK164" s="13">
        <v>0</v>
      </c>
      <c r="BL164" s="57">
        <v>0</v>
      </c>
      <c r="BM164" s="57">
        <v>0</v>
      </c>
      <c r="BN164" s="13">
        <v>0</v>
      </c>
      <c r="BO164" s="13">
        <v>0</v>
      </c>
      <c r="BP164" s="13" t="s">
        <v>48</v>
      </c>
      <c r="BQ164" s="13" t="s">
        <v>48</v>
      </c>
      <c r="BR164" s="13">
        <v>0</v>
      </c>
      <c r="BS164" s="13">
        <v>0</v>
      </c>
      <c r="BT164" s="13">
        <v>0</v>
      </c>
      <c r="BU164" s="13">
        <v>0</v>
      </c>
      <c r="BV164" s="81" t="s">
        <v>57</v>
      </c>
      <c r="BW164" s="99">
        <v>0</v>
      </c>
      <c r="BX164" s="13">
        <v>1</v>
      </c>
      <c r="BY164" s="13">
        <v>0</v>
      </c>
      <c r="BZ164" s="13">
        <v>0</v>
      </c>
      <c r="CA164" s="13">
        <v>0</v>
      </c>
      <c r="CB164" s="34" t="s">
        <v>61</v>
      </c>
    </row>
    <row r="165" spans="1:80" s="82" customFormat="1" ht="18.75" x14ac:dyDescent="0.3">
      <c r="A165" s="1">
        <v>164</v>
      </c>
      <c r="B165" s="60">
        <v>62</v>
      </c>
      <c r="C165" s="13" t="s">
        <v>46</v>
      </c>
      <c r="D165" s="50" t="s">
        <v>47</v>
      </c>
      <c r="E165" s="13">
        <v>4</v>
      </c>
      <c r="F165" s="5">
        <f>'[2]Removed Saddle Values'!G165*2.54</f>
        <v>193.04</v>
      </c>
      <c r="G165" s="5">
        <v>94.2</v>
      </c>
      <c r="H165" s="5">
        <f t="shared" si="5"/>
        <v>25.278790169768708</v>
      </c>
      <c r="I165" s="13">
        <v>1</v>
      </c>
      <c r="J165" s="13">
        <v>4</v>
      </c>
      <c r="K165" s="13">
        <v>2</v>
      </c>
      <c r="L165" s="13">
        <v>1</v>
      </c>
      <c r="M165" s="13">
        <v>134</v>
      </c>
      <c r="N165" s="13">
        <v>0</v>
      </c>
      <c r="O165" s="13">
        <v>109</v>
      </c>
      <c r="P165" s="13">
        <v>0</v>
      </c>
      <c r="Q165" s="13">
        <v>20</v>
      </c>
      <c r="R165" s="13">
        <v>0</v>
      </c>
      <c r="S165" s="5">
        <v>98.8</v>
      </c>
      <c r="T165" s="13">
        <v>0</v>
      </c>
      <c r="U165" s="13">
        <v>95</v>
      </c>
      <c r="V165" s="13">
        <v>0</v>
      </c>
      <c r="W165" s="13">
        <v>0</v>
      </c>
      <c r="X165" s="13">
        <v>0</v>
      </c>
      <c r="Y165" s="13">
        <v>0</v>
      </c>
      <c r="Z165" s="13">
        <v>1</v>
      </c>
      <c r="AA165" s="13">
        <v>0</v>
      </c>
      <c r="AB165" s="13">
        <v>0</v>
      </c>
      <c r="AC165" s="13">
        <v>0</v>
      </c>
      <c r="AD165" s="13">
        <v>0</v>
      </c>
      <c r="AE165" s="13">
        <v>1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1</v>
      </c>
      <c r="AL165" s="13">
        <v>0</v>
      </c>
      <c r="AM165" s="13">
        <v>0</v>
      </c>
      <c r="AN165" s="13">
        <v>0</v>
      </c>
      <c r="AO165" s="13">
        <v>1</v>
      </c>
      <c r="AP165" s="13">
        <v>1</v>
      </c>
      <c r="AQ165" s="13">
        <v>0</v>
      </c>
      <c r="AR165" s="13">
        <v>1</v>
      </c>
      <c r="AS165" s="13">
        <v>1</v>
      </c>
      <c r="AT165" s="13">
        <v>0</v>
      </c>
      <c r="AU165" s="13">
        <v>0</v>
      </c>
      <c r="AV165" s="13">
        <v>0</v>
      </c>
      <c r="AW165" s="13">
        <v>32.5</v>
      </c>
      <c r="AX165" s="76">
        <f>5.78/3.42</f>
        <v>1.6900584795321638</v>
      </c>
      <c r="AY165" s="77">
        <v>0</v>
      </c>
      <c r="AZ165" s="31">
        <v>0</v>
      </c>
      <c r="BA165" s="31">
        <v>1</v>
      </c>
      <c r="BB165" s="76">
        <f>3.25/3.5</f>
        <v>0.9285714285714286</v>
      </c>
      <c r="BC165" s="77">
        <v>3</v>
      </c>
      <c r="BD165" s="77">
        <v>1</v>
      </c>
      <c r="BE165" s="77"/>
      <c r="BF165" s="13">
        <v>0</v>
      </c>
      <c r="BG165" s="13" t="s">
        <v>48</v>
      </c>
      <c r="BH165" s="13">
        <v>1</v>
      </c>
      <c r="BI165" s="13">
        <v>0</v>
      </c>
      <c r="BJ165" s="13">
        <v>0</v>
      </c>
      <c r="BK165" s="13">
        <v>0</v>
      </c>
      <c r="BL165" s="13">
        <v>0</v>
      </c>
      <c r="BM165" s="57">
        <v>0</v>
      </c>
      <c r="BN165" s="13">
        <v>0</v>
      </c>
      <c r="BO165" s="13">
        <v>0</v>
      </c>
      <c r="BP165" s="13" t="s">
        <v>48</v>
      </c>
      <c r="BQ165" s="13" t="s">
        <v>48</v>
      </c>
      <c r="BR165" s="13">
        <v>0</v>
      </c>
      <c r="BS165" s="13">
        <v>0</v>
      </c>
      <c r="BT165" s="13">
        <v>0</v>
      </c>
      <c r="BU165" s="13">
        <v>0</v>
      </c>
      <c r="BV165" s="81" t="s">
        <v>50</v>
      </c>
      <c r="BW165" s="99">
        <v>0</v>
      </c>
      <c r="BX165" s="13">
        <v>0</v>
      </c>
      <c r="BY165" s="13">
        <v>0</v>
      </c>
      <c r="BZ165" s="13">
        <v>0</v>
      </c>
      <c r="CA165" s="13">
        <v>0</v>
      </c>
      <c r="CB165" s="34" t="s">
        <v>60</v>
      </c>
    </row>
    <row r="166" spans="1:80" s="82" customFormat="1" ht="18.75" x14ac:dyDescent="0.3">
      <c r="A166" s="1">
        <v>165</v>
      </c>
      <c r="B166" s="60">
        <v>68</v>
      </c>
      <c r="C166" s="13" t="s">
        <v>46</v>
      </c>
      <c r="D166" s="50" t="s">
        <v>47</v>
      </c>
      <c r="E166" s="13">
        <v>2</v>
      </c>
      <c r="F166" s="5">
        <f>'[2]Removed Saddle Values'!G166*2.54</f>
        <v>172.72</v>
      </c>
      <c r="G166" s="5">
        <v>95.3</v>
      </c>
      <c r="H166" s="5">
        <f t="shared" si="5"/>
        <v>31.945349357826739</v>
      </c>
      <c r="I166" s="13">
        <v>0</v>
      </c>
      <c r="J166" s="13">
        <v>2</v>
      </c>
      <c r="K166" s="13">
        <v>2</v>
      </c>
      <c r="L166" s="13">
        <v>0</v>
      </c>
      <c r="M166" s="13">
        <v>100</v>
      </c>
      <c r="N166" s="13">
        <v>0</v>
      </c>
      <c r="O166" s="13">
        <v>150</v>
      </c>
      <c r="P166" s="13">
        <v>0</v>
      </c>
      <c r="Q166" s="13">
        <v>24</v>
      </c>
      <c r="R166" s="13">
        <v>0</v>
      </c>
      <c r="S166" s="5">
        <v>98.1</v>
      </c>
      <c r="T166" s="13" t="s">
        <v>48</v>
      </c>
      <c r="U166" s="13" t="s">
        <v>48</v>
      </c>
      <c r="V166" s="13">
        <v>1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1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 t="s">
        <v>48</v>
      </c>
      <c r="AQ166" s="13">
        <v>0</v>
      </c>
      <c r="AR166" s="13">
        <v>1</v>
      </c>
      <c r="AS166" s="13">
        <v>1</v>
      </c>
      <c r="AT166" s="13">
        <v>1</v>
      </c>
      <c r="AU166" s="10">
        <v>1</v>
      </c>
      <c r="AV166" s="13">
        <v>0</v>
      </c>
      <c r="AW166" s="13" t="s">
        <v>192</v>
      </c>
      <c r="AX166" s="76">
        <f>4.79/4.26</f>
        <v>1.1244131455399062</v>
      </c>
      <c r="AY166" s="77">
        <v>0</v>
      </c>
      <c r="AZ166" s="31">
        <v>0</v>
      </c>
      <c r="BA166" s="31">
        <v>1</v>
      </c>
      <c r="BB166" s="76">
        <f>3.07/4.09</f>
        <v>0.75061124694376524</v>
      </c>
      <c r="BC166" s="77">
        <v>4</v>
      </c>
      <c r="BD166" s="77">
        <v>1</v>
      </c>
      <c r="BE166" s="77"/>
      <c r="BF166" s="13">
        <v>1</v>
      </c>
      <c r="BG166" s="13" t="s">
        <v>75</v>
      </c>
      <c r="BH166" s="13">
        <v>1</v>
      </c>
      <c r="BI166" s="13">
        <v>0</v>
      </c>
      <c r="BJ166" s="13">
        <v>0</v>
      </c>
      <c r="BK166" s="13">
        <v>0</v>
      </c>
      <c r="BL166" s="57">
        <v>0</v>
      </c>
      <c r="BM166" s="57">
        <v>0</v>
      </c>
      <c r="BN166" s="13">
        <v>0</v>
      </c>
      <c r="BO166" s="13">
        <v>0</v>
      </c>
      <c r="BP166" s="13" t="s">
        <v>48</v>
      </c>
      <c r="BQ166" s="13" t="s">
        <v>48</v>
      </c>
      <c r="BR166" s="13">
        <v>0</v>
      </c>
      <c r="BS166" s="13">
        <v>0</v>
      </c>
      <c r="BT166" s="13">
        <v>0</v>
      </c>
      <c r="BU166" s="13">
        <v>0</v>
      </c>
      <c r="BV166" s="81" t="s">
        <v>149</v>
      </c>
      <c r="BW166" s="99">
        <v>0</v>
      </c>
      <c r="BX166" s="13">
        <v>0</v>
      </c>
      <c r="BY166" s="13">
        <v>0</v>
      </c>
      <c r="BZ166" s="13">
        <v>0</v>
      </c>
      <c r="CA166" s="13">
        <v>0</v>
      </c>
      <c r="CB166" s="34" t="s">
        <v>174</v>
      </c>
    </row>
    <row r="167" spans="1:80" s="82" customFormat="1" ht="18.75" x14ac:dyDescent="0.3">
      <c r="A167" s="1">
        <v>166</v>
      </c>
      <c r="B167" s="60">
        <v>55</v>
      </c>
      <c r="C167" s="13" t="s">
        <v>46</v>
      </c>
      <c r="D167" s="50" t="s">
        <v>53</v>
      </c>
      <c r="E167" s="13">
        <v>9</v>
      </c>
      <c r="F167" s="5">
        <f>'[2]Removed Saddle Values'!G167*2.54</f>
        <v>180.34</v>
      </c>
      <c r="G167" s="5">
        <v>116.6</v>
      </c>
      <c r="H167" s="5">
        <f t="shared" si="5"/>
        <v>35.852085193557407</v>
      </c>
      <c r="I167" s="13">
        <v>1</v>
      </c>
      <c r="J167" s="13">
        <v>2</v>
      </c>
      <c r="K167" s="13">
        <v>3</v>
      </c>
      <c r="L167" s="13">
        <v>0</v>
      </c>
      <c r="M167" s="13">
        <v>86</v>
      </c>
      <c r="N167" s="13">
        <v>0</v>
      </c>
      <c r="O167" s="13">
        <v>146</v>
      </c>
      <c r="P167" s="13">
        <v>0</v>
      </c>
      <c r="Q167" s="13">
        <v>18</v>
      </c>
      <c r="R167" s="13">
        <v>0</v>
      </c>
      <c r="S167" s="5">
        <v>98.1</v>
      </c>
      <c r="T167" s="13">
        <v>0</v>
      </c>
      <c r="U167" s="13">
        <v>97</v>
      </c>
      <c r="V167" s="13">
        <v>1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1</v>
      </c>
      <c r="AC167" s="13">
        <v>0</v>
      </c>
      <c r="AD167" s="13">
        <v>0</v>
      </c>
      <c r="AE167" s="13">
        <v>1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1</v>
      </c>
      <c r="AP167" s="13">
        <v>1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61</v>
      </c>
      <c r="AX167" s="76">
        <f>4.16/4.62</f>
        <v>0.90043290043290047</v>
      </c>
      <c r="AY167" s="77">
        <v>1</v>
      </c>
      <c r="AZ167" s="31">
        <v>0</v>
      </c>
      <c r="BA167" s="31">
        <v>0</v>
      </c>
      <c r="BB167" s="76">
        <f>2.65/3.19</f>
        <v>0.83072100313479624</v>
      </c>
      <c r="BC167" s="77">
        <v>1</v>
      </c>
      <c r="BD167" s="77">
        <v>0</v>
      </c>
      <c r="BE167" s="77"/>
      <c r="BF167" s="13">
        <v>0</v>
      </c>
      <c r="BG167" s="13" t="s">
        <v>48</v>
      </c>
      <c r="BH167" s="13">
        <v>1</v>
      </c>
      <c r="BI167" s="13">
        <v>0</v>
      </c>
      <c r="BJ167" s="13">
        <v>0</v>
      </c>
      <c r="BK167" s="13">
        <v>0</v>
      </c>
      <c r="BL167" s="57">
        <v>0</v>
      </c>
      <c r="BM167" s="57">
        <v>1</v>
      </c>
      <c r="BN167" s="13">
        <v>0</v>
      </c>
      <c r="BO167" s="13">
        <v>1</v>
      </c>
      <c r="BP167" s="13">
        <v>0</v>
      </c>
      <c r="BQ167" s="13">
        <v>1</v>
      </c>
      <c r="BR167" s="13">
        <v>0</v>
      </c>
      <c r="BS167" s="13">
        <v>0</v>
      </c>
      <c r="BT167" s="13">
        <v>0</v>
      </c>
      <c r="BU167" s="13">
        <v>0</v>
      </c>
      <c r="BV167" s="81" t="s">
        <v>50</v>
      </c>
      <c r="BW167" s="99">
        <v>0</v>
      </c>
      <c r="BX167" s="13">
        <v>1</v>
      </c>
      <c r="BY167" s="13">
        <v>0</v>
      </c>
      <c r="BZ167" s="13">
        <v>0</v>
      </c>
      <c r="CA167" s="13">
        <v>0</v>
      </c>
      <c r="CB167" s="34" t="s">
        <v>54</v>
      </c>
    </row>
    <row r="168" spans="1:80" s="82" customFormat="1" ht="18.75" x14ac:dyDescent="0.3">
      <c r="A168" s="1">
        <v>167</v>
      </c>
      <c r="B168" s="60">
        <v>59</v>
      </c>
      <c r="C168" s="13" t="s">
        <v>46</v>
      </c>
      <c r="D168" s="50" t="s">
        <v>47</v>
      </c>
      <c r="E168" s="13">
        <v>80</v>
      </c>
      <c r="F168" s="5">
        <f>'[2]Removed Saddle Values'!G168*2.54</f>
        <v>180.34</v>
      </c>
      <c r="G168" s="5">
        <v>105</v>
      </c>
      <c r="H168" s="5">
        <f t="shared" si="5"/>
        <v>32.285325431591147</v>
      </c>
      <c r="I168" s="13">
        <v>0</v>
      </c>
      <c r="J168" s="13">
        <v>2</v>
      </c>
      <c r="K168" s="13">
        <v>2</v>
      </c>
      <c r="L168" s="13">
        <v>0</v>
      </c>
      <c r="M168" s="13">
        <v>84</v>
      </c>
      <c r="N168" s="13">
        <v>0</v>
      </c>
      <c r="O168" s="13">
        <v>126</v>
      </c>
      <c r="P168" s="13">
        <v>0</v>
      </c>
      <c r="Q168" s="13">
        <v>16</v>
      </c>
      <c r="R168" s="13">
        <v>0</v>
      </c>
      <c r="S168" s="5">
        <v>97.2</v>
      </c>
      <c r="T168" s="13">
        <v>0</v>
      </c>
      <c r="U168" s="13">
        <v>95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1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1</v>
      </c>
      <c r="AP168" s="13">
        <v>1</v>
      </c>
      <c r="AQ168" s="13">
        <v>1</v>
      </c>
      <c r="AR168" s="13">
        <v>1</v>
      </c>
      <c r="AS168" s="13">
        <v>1</v>
      </c>
      <c r="AT168" s="13">
        <v>1</v>
      </c>
      <c r="AU168" s="10">
        <v>1</v>
      </c>
      <c r="AV168" s="13">
        <v>0</v>
      </c>
      <c r="AW168" s="13">
        <v>46.3</v>
      </c>
      <c r="AX168" s="76">
        <f>4.87/3.44</f>
        <v>1.4156976744186047</v>
      </c>
      <c r="AY168" s="77">
        <v>0</v>
      </c>
      <c r="AZ168" s="31">
        <v>0</v>
      </c>
      <c r="BA168" s="31">
        <v>1</v>
      </c>
      <c r="BB168" s="76">
        <f>2.44/3.36</f>
        <v>0.72619047619047616</v>
      </c>
      <c r="BC168" s="77">
        <v>2</v>
      </c>
      <c r="BD168" s="77">
        <v>1</v>
      </c>
      <c r="BE168" s="77"/>
      <c r="BF168" s="13">
        <v>0</v>
      </c>
      <c r="BG168" s="13" t="s">
        <v>48</v>
      </c>
      <c r="BH168" s="13">
        <v>1</v>
      </c>
      <c r="BI168" s="13">
        <v>0</v>
      </c>
      <c r="BJ168" s="13">
        <v>0</v>
      </c>
      <c r="BK168" s="13">
        <v>0</v>
      </c>
      <c r="BL168" s="57">
        <v>0</v>
      </c>
      <c r="BM168" s="57">
        <v>0</v>
      </c>
      <c r="BN168" s="13">
        <v>0</v>
      </c>
      <c r="BO168" s="13">
        <v>0</v>
      </c>
      <c r="BP168" s="13" t="s">
        <v>48</v>
      </c>
      <c r="BQ168" s="13" t="s">
        <v>48</v>
      </c>
      <c r="BR168" s="13">
        <v>1</v>
      </c>
      <c r="BS168" s="34" t="s">
        <v>176</v>
      </c>
      <c r="BT168" s="13">
        <v>0</v>
      </c>
      <c r="BU168" s="13">
        <v>0</v>
      </c>
      <c r="BV168" s="81" t="s">
        <v>57</v>
      </c>
      <c r="BW168" s="99" t="s">
        <v>57</v>
      </c>
      <c r="BX168" s="13">
        <v>0</v>
      </c>
      <c r="BY168" s="13">
        <v>0</v>
      </c>
      <c r="BZ168" s="13">
        <v>0</v>
      </c>
      <c r="CA168" s="13">
        <v>0</v>
      </c>
      <c r="CB168" s="34" t="s">
        <v>54</v>
      </c>
    </row>
    <row r="169" spans="1:80" s="82" customFormat="1" ht="18.75" x14ac:dyDescent="0.3">
      <c r="A169" s="1">
        <v>168</v>
      </c>
      <c r="B169" s="60">
        <v>79</v>
      </c>
      <c r="C169" s="13" t="s">
        <v>52</v>
      </c>
      <c r="D169" s="50" t="s">
        <v>47</v>
      </c>
      <c r="E169" s="13">
        <v>3</v>
      </c>
      <c r="F169" s="5">
        <f>'[2]Removed Saddle Values'!G169*2.54</f>
        <v>177.8</v>
      </c>
      <c r="G169" s="5">
        <v>117.9</v>
      </c>
      <c r="H169" s="5">
        <f t="shared" si="5"/>
        <v>37.294972549128772</v>
      </c>
      <c r="I169" s="13">
        <v>1</v>
      </c>
      <c r="J169" s="13">
        <v>2</v>
      </c>
      <c r="K169" s="13">
        <v>2</v>
      </c>
      <c r="L169" s="13">
        <v>0</v>
      </c>
      <c r="M169" s="13">
        <v>73</v>
      </c>
      <c r="N169" s="13">
        <v>0</v>
      </c>
      <c r="O169" s="13">
        <v>177</v>
      </c>
      <c r="P169" s="13">
        <v>0</v>
      </c>
      <c r="Q169" s="13">
        <v>22</v>
      </c>
      <c r="R169" s="13">
        <v>0</v>
      </c>
      <c r="S169" s="5">
        <v>97.6</v>
      </c>
      <c r="T169" s="13">
        <v>0</v>
      </c>
      <c r="U169" s="13">
        <v>96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1</v>
      </c>
      <c r="AJ169" s="13">
        <v>1</v>
      </c>
      <c r="AK169" s="13">
        <v>0</v>
      </c>
      <c r="AL169" s="13">
        <v>0</v>
      </c>
      <c r="AM169" s="13">
        <v>0</v>
      </c>
      <c r="AN169" s="13">
        <v>0</v>
      </c>
      <c r="AO169" s="13">
        <v>1</v>
      </c>
      <c r="AP169" s="13">
        <v>1</v>
      </c>
      <c r="AQ169" s="13">
        <v>0</v>
      </c>
      <c r="AR169" s="13">
        <v>0</v>
      </c>
      <c r="AS169" s="13">
        <v>1</v>
      </c>
      <c r="AT169" s="13">
        <v>0</v>
      </c>
      <c r="AU169" s="13">
        <v>0</v>
      </c>
      <c r="AV169" s="13">
        <v>0</v>
      </c>
      <c r="AW169" s="13">
        <v>20.399999999999999</v>
      </c>
      <c r="AX169" s="76">
        <f>4.45/4.37</f>
        <v>1.0183066361556063</v>
      </c>
      <c r="AY169" s="77">
        <v>0</v>
      </c>
      <c r="AZ169" s="31">
        <v>0</v>
      </c>
      <c r="BA169" s="31">
        <v>1</v>
      </c>
      <c r="BB169" s="76">
        <f>3.44/3.75</f>
        <v>0.91733333333333333</v>
      </c>
      <c r="BC169" s="77">
        <v>1</v>
      </c>
      <c r="BD169" s="77">
        <v>0</v>
      </c>
      <c r="BE169" s="77"/>
      <c r="BF169" s="13">
        <v>1</v>
      </c>
      <c r="BG169" s="34" t="s">
        <v>112</v>
      </c>
      <c r="BH169" s="13">
        <v>0</v>
      </c>
      <c r="BI169" s="13">
        <v>0</v>
      </c>
      <c r="BJ169" s="13">
        <v>0</v>
      </c>
      <c r="BK169" s="13">
        <v>0</v>
      </c>
      <c r="BL169" s="57">
        <v>0</v>
      </c>
      <c r="BM169" s="57">
        <v>0</v>
      </c>
      <c r="BN169" s="13">
        <v>0</v>
      </c>
      <c r="BO169" s="13">
        <v>0</v>
      </c>
      <c r="BP169" s="13" t="s">
        <v>48</v>
      </c>
      <c r="BQ169" s="13" t="s">
        <v>48</v>
      </c>
      <c r="BR169" s="13">
        <v>0</v>
      </c>
      <c r="BS169" s="13">
        <v>0</v>
      </c>
      <c r="BT169" s="13">
        <v>0</v>
      </c>
      <c r="BU169" s="13">
        <v>0</v>
      </c>
      <c r="BV169" s="81" t="s">
        <v>50</v>
      </c>
      <c r="BW169" s="99">
        <v>0</v>
      </c>
      <c r="BX169" s="13">
        <v>0</v>
      </c>
      <c r="BY169" s="13">
        <v>0</v>
      </c>
      <c r="BZ169" s="13">
        <v>0</v>
      </c>
      <c r="CA169" s="13">
        <v>0</v>
      </c>
      <c r="CB169" s="34" t="s">
        <v>56</v>
      </c>
    </row>
    <row r="170" spans="1:80" s="82" customFormat="1" ht="18.75" x14ac:dyDescent="0.3">
      <c r="A170" s="1">
        <v>169</v>
      </c>
      <c r="B170" s="60">
        <v>58</v>
      </c>
      <c r="C170" s="13" t="s">
        <v>177</v>
      </c>
      <c r="D170" s="50" t="s">
        <v>53</v>
      </c>
      <c r="E170" s="13">
        <v>4</v>
      </c>
      <c r="F170" s="5">
        <f>'[2]Removed Saddle Values'!G170*2.54</f>
        <v>187.96</v>
      </c>
      <c r="G170" s="5">
        <v>128.80000000000001</v>
      </c>
      <c r="H170" s="5">
        <f t="shared" si="5"/>
        <v>36.457340993571684</v>
      </c>
      <c r="I170" s="13">
        <v>1</v>
      </c>
      <c r="J170" s="13">
        <v>2</v>
      </c>
      <c r="K170" s="13">
        <v>2</v>
      </c>
      <c r="L170" s="13">
        <v>0</v>
      </c>
      <c r="M170" s="13">
        <v>75</v>
      </c>
      <c r="N170" s="13">
        <v>0</v>
      </c>
      <c r="O170" s="13">
        <v>163</v>
      </c>
      <c r="P170" s="13">
        <v>0</v>
      </c>
      <c r="Q170" s="13">
        <v>19</v>
      </c>
      <c r="R170" s="13">
        <v>1</v>
      </c>
      <c r="S170" s="5">
        <v>96</v>
      </c>
      <c r="T170" s="13">
        <v>0</v>
      </c>
      <c r="U170" s="13">
        <v>97</v>
      </c>
      <c r="V170" s="13">
        <v>0</v>
      </c>
      <c r="W170" s="13">
        <v>0</v>
      </c>
      <c r="X170" s="13">
        <v>0</v>
      </c>
      <c r="Y170" s="13">
        <v>1</v>
      </c>
      <c r="Z170" s="13">
        <v>0</v>
      </c>
      <c r="AA170" s="13">
        <v>0</v>
      </c>
      <c r="AB170" s="13">
        <v>1</v>
      </c>
      <c r="AC170" s="13">
        <v>0</v>
      </c>
      <c r="AD170" s="13">
        <v>0</v>
      </c>
      <c r="AE170" s="13">
        <v>0</v>
      </c>
      <c r="AF170" s="13">
        <v>0</v>
      </c>
      <c r="AG170" s="13">
        <v>1</v>
      </c>
      <c r="AH170" s="13">
        <v>0</v>
      </c>
      <c r="AI170" s="13">
        <v>0</v>
      </c>
      <c r="AJ170" s="13">
        <v>0</v>
      </c>
      <c r="AK170" s="13">
        <v>1</v>
      </c>
      <c r="AL170" s="13">
        <v>0</v>
      </c>
      <c r="AM170" s="13">
        <v>0</v>
      </c>
      <c r="AN170" s="13">
        <v>0</v>
      </c>
      <c r="AO170" s="13">
        <v>1</v>
      </c>
      <c r="AP170" s="13">
        <v>1</v>
      </c>
      <c r="AQ170" s="13">
        <v>1</v>
      </c>
      <c r="AR170" s="13">
        <v>1</v>
      </c>
      <c r="AS170" s="13">
        <v>1</v>
      </c>
      <c r="AT170" s="13">
        <v>0</v>
      </c>
      <c r="AU170" s="13">
        <v>0</v>
      </c>
      <c r="AV170" s="13">
        <v>0</v>
      </c>
      <c r="AW170" s="13">
        <v>93.7</v>
      </c>
      <c r="AX170" s="76">
        <f>5.86/4.34</f>
        <v>1.3502304147465438</v>
      </c>
      <c r="AY170" s="77">
        <v>0</v>
      </c>
      <c r="AZ170" s="31">
        <v>0</v>
      </c>
      <c r="BA170" s="31">
        <v>1</v>
      </c>
      <c r="BB170" s="76">
        <f>4.24/3.11</f>
        <v>1.3633440514469455</v>
      </c>
      <c r="BC170" s="77">
        <v>1</v>
      </c>
      <c r="BD170" s="77">
        <v>1</v>
      </c>
      <c r="BE170" s="77"/>
      <c r="BF170" s="13">
        <v>1</v>
      </c>
      <c r="BG170" s="34" t="s">
        <v>112</v>
      </c>
      <c r="BH170" s="13">
        <v>1</v>
      </c>
      <c r="BI170" s="13">
        <v>0</v>
      </c>
      <c r="BJ170" s="13">
        <v>0</v>
      </c>
      <c r="BK170" s="13">
        <v>0</v>
      </c>
      <c r="BL170" s="57">
        <v>0</v>
      </c>
      <c r="BM170" s="57">
        <v>0</v>
      </c>
      <c r="BN170" s="13">
        <v>0</v>
      </c>
      <c r="BO170" s="13">
        <v>1</v>
      </c>
      <c r="BP170" s="13">
        <v>0</v>
      </c>
      <c r="BQ170" s="13">
        <v>1</v>
      </c>
      <c r="BR170" s="13">
        <v>0</v>
      </c>
      <c r="BS170" s="13">
        <v>0</v>
      </c>
      <c r="BT170" s="13">
        <v>0</v>
      </c>
      <c r="BU170" s="13">
        <v>0</v>
      </c>
      <c r="BV170" s="81" t="s">
        <v>57</v>
      </c>
      <c r="BW170" s="99" t="s">
        <v>57</v>
      </c>
      <c r="BX170" s="13">
        <v>0</v>
      </c>
      <c r="BY170" s="13">
        <v>1</v>
      </c>
      <c r="BZ170" s="13">
        <v>0</v>
      </c>
      <c r="CA170" s="13">
        <v>0</v>
      </c>
      <c r="CB170" s="34" t="s">
        <v>55</v>
      </c>
    </row>
    <row r="171" spans="1:80" s="82" customFormat="1" ht="18.75" x14ac:dyDescent="0.3">
      <c r="A171" s="1">
        <v>170</v>
      </c>
      <c r="B171" s="60">
        <v>71</v>
      </c>
      <c r="C171" s="13" t="s">
        <v>52</v>
      </c>
      <c r="D171" s="50" t="s">
        <v>47</v>
      </c>
      <c r="E171" s="13">
        <v>7</v>
      </c>
      <c r="F171" s="5">
        <f>'[2]Removed Saddle Values'!G171*2.54</f>
        <v>170.18</v>
      </c>
      <c r="G171" s="5">
        <v>90.7</v>
      </c>
      <c r="H171" s="5">
        <f t="shared" si="5"/>
        <v>31.317728039777755</v>
      </c>
      <c r="I171" s="13">
        <v>1</v>
      </c>
      <c r="J171" s="13">
        <v>3</v>
      </c>
      <c r="K171" s="13">
        <v>2</v>
      </c>
      <c r="L171" s="13">
        <v>1</v>
      </c>
      <c r="M171" s="13">
        <v>118</v>
      </c>
      <c r="N171" s="13">
        <v>0</v>
      </c>
      <c r="O171" s="13">
        <v>108</v>
      </c>
      <c r="P171" s="13">
        <v>0</v>
      </c>
      <c r="Q171" s="13">
        <v>24</v>
      </c>
      <c r="R171" s="13">
        <v>0</v>
      </c>
      <c r="S171" s="5">
        <v>97.4</v>
      </c>
      <c r="T171" s="13">
        <v>0</v>
      </c>
      <c r="U171" s="13">
        <v>98</v>
      </c>
      <c r="V171" s="13">
        <v>1</v>
      </c>
      <c r="W171" s="13">
        <v>0</v>
      </c>
      <c r="X171" s="13">
        <v>1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1</v>
      </c>
      <c r="AH171" s="13">
        <v>0</v>
      </c>
      <c r="AI171" s="13">
        <v>1</v>
      </c>
      <c r="AJ171" s="13">
        <v>0</v>
      </c>
      <c r="AK171" s="13">
        <v>0</v>
      </c>
      <c r="AL171" s="13">
        <v>0</v>
      </c>
      <c r="AM171" s="13">
        <v>0</v>
      </c>
      <c r="AN171" s="13">
        <v>1</v>
      </c>
      <c r="AO171" s="13">
        <v>1</v>
      </c>
      <c r="AP171" s="13">
        <v>1</v>
      </c>
      <c r="AQ171" s="13">
        <v>1</v>
      </c>
      <c r="AR171" s="13">
        <v>1</v>
      </c>
      <c r="AS171" s="13" t="s">
        <v>48</v>
      </c>
      <c r="AT171" s="13" t="s">
        <v>48</v>
      </c>
      <c r="AU171" s="13" t="s">
        <v>48</v>
      </c>
      <c r="AV171" s="13" t="s">
        <v>48</v>
      </c>
      <c r="AW171" s="13" t="s">
        <v>48</v>
      </c>
      <c r="AX171" s="76">
        <f>4.09/3.54</f>
        <v>1.155367231638418</v>
      </c>
      <c r="AY171" s="77">
        <v>0</v>
      </c>
      <c r="AZ171" s="31">
        <v>0</v>
      </c>
      <c r="BA171" s="31">
        <v>1</v>
      </c>
      <c r="BB171" s="76">
        <f>2.95/2.92</f>
        <v>1.0102739726027399</v>
      </c>
      <c r="BC171" s="77">
        <v>4</v>
      </c>
      <c r="BD171" s="77">
        <v>1</v>
      </c>
      <c r="BE171" s="77"/>
      <c r="BF171" s="13">
        <v>1</v>
      </c>
      <c r="BG171" s="13" t="s">
        <v>94</v>
      </c>
      <c r="BH171" s="13">
        <v>1</v>
      </c>
      <c r="BI171" s="13">
        <v>0</v>
      </c>
      <c r="BJ171" s="13">
        <v>0</v>
      </c>
      <c r="BK171" s="13">
        <v>0</v>
      </c>
      <c r="BL171" s="57">
        <v>0</v>
      </c>
      <c r="BM171" s="57">
        <v>0</v>
      </c>
      <c r="BN171" s="13">
        <v>0</v>
      </c>
      <c r="BO171" s="13">
        <v>1</v>
      </c>
      <c r="BP171" s="13">
        <v>1</v>
      </c>
      <c r="BQ171" s="13">
        <v>1</v>
      </c>
      <c r="BR171" s="13">
        <v>0</v>
      </c>
      <c r="BS171" s="13">
        <v>0</v>
      </c>
      <c r="BT171" s="13">
        <v>0</v>
      </c>
      <c r="BU171" s="13">
        <v>0</v>
      </c>
      <c r="BV171" s="81" t="s">
        <v>57</v>
      </c>
      <c r="BW171" s="99" t="s">
        <v>57</v>
      </c>
      <c r="BX171" s="13">
        <v>0</v>
      </c>
      <c r="BY171" s="13">
        <v>1</v>
      </c>
      <c r="BZ171" s="13">
        <v>0</v>
      </c>
      <c r="CA171" s="13">
        <v>0</v>
      </c>
      <c r="CB171" s="34" t="s">
        <v>178</v>
      </c>
    </row>
    <row r="172" spans="1:80" s="82" customFormat="1" ht="18.75" x14ac:dyDescent="0.3">
      <c r="A172" s="1">
        <v>171</v>
      </c>
      <c r="B172" s="60">
        <v>52</v>
      </c>
      <c r="C172" s="13" t="s">
        <v>52</v>
      </c>
      <c r="D172" s="50" t="s">
        <v>47</v>
      </c>
      <c r="E172" s="13">
        <v>4</v>
      </c>
      <c r="F172" s="5">
        <f>'[2]Removed Saddle Values'!G172*2.54</f>
        <v>175.26</v>
      </c>
      <c r="G172" s="5">
        <v>122.5</v>
      </c>
      <c r="H172" s="5">
        <f t="shared" si="5"/>
        <v>39.88140721503035</v>
      </c>
      <c r="I172" s="13">
        <v>1</v>
      </c>
      <c r="J172" s="13">
        <v>1</v>
      </c>
      <c r="K172" s="13">
        <v>2</v>
      </c>
      <c r="L172" s="13">
        <v>0</v>
      </c>
      <c r="M172" s="13">
        <v>109</v>
      </c>
      <c r="N172" s="13">
        <v>0</v>
      </c>
      <c r="O172" s="13">
        <v>137</v>
      </c>
      <c r="P172" s="13">
        <v>0</v>
      </c>
      <c r="Q172" s="13">
        <v>17</v>
      </c>
      <c r="R172" s="13">
        <v>0</v>
      </c>
      <c r="S172" s="5">
        <v>99.6</v>
      </c>
      <c r="T172" s="13">
        <v>0</v>
      </c>
      <c r="U172" s="13">
        <v>92</v>
      </c>
      <c r="V172" s="13">
        <v>0</v>
      </c>
      <c r="W172" s="13">
        <v>0</v>
      </c>
      <c r="X172" s="13">
        <v>0</v>
      </c>
      <c r="Y172" s="13">
        <v>1</v>
      </c>
      <c r="Z172" s="13">
        <v>0</v>
      </c>
      <c r="AA172" s="13">
        <v>0</v>
      </c>
      <c r="AB172" s="13">
        <v>1</v>
      </c>
      <c r="AC172" s="13">
        <v>0</v>
      </c>
      <c r="AD172" s="13">
        <v>0</v>
      </c>
      <c r="AE172" s="13">
        <v>1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1</v>
      </c>
      <c r="AP172" s="13">
        <v>1</v>
      </c>
      <c r="AQ172" s="13" t="s">
        <v>48</v>
      </c>
      <c r="AR172" s="13" t="s">
        <v>48</v>
      </c>
      <c r="AS172" s="13">
        <v>1</v>
      </c>
      <c r="AT172" s="13">
        <v>1</v>
      </c>
      <c r="AU172" s="10">
        <v>1</v>
      </c>
      <c r="AV172" s="13">
        <v>0</v>
      </c>
      <c r="AW172" s="13">
        <v>49.9</v>
      </c>
      <c r="AX172" s="76">
        <f>4.72/4.51</f>
        <v>1.0465631929046564</v>
      </c>
      <c r="AY172" s="77">
        <v>0</v>
      </c>
      <c r="AZ172" s="31">
        <v>0</v>
      </c>
      <c r="BA172" s="31">
        <v>1</v>
      </c>
      <c r="BB172" s="76">
        <f>3.22/3.77</f>
        <v>0.85411140583554379</v>
      </c>
      <c r="BC172" s="77">
        <v>2</v>
      </c>
      <c r="BD172" s="77">
        <v>1</v>
      </c>
      <c r="BE172" s="77"/>
      <c r="BF172" s="13" t="s">
        <v>48</v>
      </c>
      <c r="BG172" s="13" t="s">
        <v>48</v>
      </c>
      <c r="BH172" s="13">
        <v>0</v>
      </c>
      <c r="BI172" s="13">
        <v>0</v>
      </c>
      <c r="BJ172" s="13">
        <v>0</v>
      </c>
      <c r="BK172" s="13">
        <v>0</v>
      </c>
      <c r="BL172" s="57">
        <v>0</v>
      </c>
      <c r="BM172" s="57">
        <v>0</v>
      </c>
      <c r="BN172" s="13">
        <v>0</v>
      </c>
      <c r="BO172" s="13">
        <v>0</v>
      </c>
      <c r="BP172" s="13" t="s">
        <v>48</v>
      </c>
      <c r="BQ172" s="13" t="s">
        <v>48</v>
      </c>
      <c r="BR172" s="13">
        <v>0</v>
      </c>
      <c r="BS172" s="13">
        <v>0</v>
      </c>
      <c r="BT172" s="13">
        <v>0</v>
      </c>
      <c r="BU172" s="13">
        <v>0</v>
      </c>
      <c r="BV172" s="81" t="s">
        <v>57</v>
      </c>
      <c r="BW172" s="99">
        <v>1</v>
      </c>
      <c r="BX172" s="13">
        <v>0</v>
      </c>
      <c r="BY172" s="13">
        <v>0</v>
      </c>
      <c r="BZ172" s="13">
        <v>0</v>
      </c>
      <c r="CA172" s="13">
        <v>0</v>
      </c>
      <c r="CB172" s="34" t="s">
        <v>54</v>
      </c>
    </row>
    <row r="173" spans="1:80" s="82" customFormat="1" ht="18.75" x14ac:dyDescent="0.3">
      <c r="A173" s="1">
        <v>172</v>
      </c>
      <c r="B173" s="60">
        <v>56</v>
      </c>
      <c r="C173" s="13" t="s">
        <v>52</v>
      </c>
      <c r="D173" s="50" t="s">
        <v>47</v>
      </c>
      <c r="E173" s="13">
        <v>1</v>
      </c>
      <c r="F173" s="5">
        <f>'[2]Removed Saddle Values'!G173*2.54</f>
        <v>165.1</v>
      </c>
      <c r="G173" s="5">
        <v>130.6</v>
      </c>
      <c r="H173" s="5">
        <f t="shared" si="5"/>
        <v>47.912521860546676</v>
      </c>
      <c r="I173" s="13">
        <v>1</v>
      </c>
      <c r="J173" s="13">
        <v>5</v>
      </c>
      <c r="K173" s="13">
        <v>3</v>
      </c>
      <c r="L173" s="13">
        <v>1</v>
      </c>
      <c r="M173" s="13">
        <v>132</v>
      </c>
      <c r="N173" s="13">
        <v>0</v>
      </c>
      <c r="O173" s="13">
        <v>121</v>
      </c>
      <c r="P173" s="13">
        <v>0</v>
      </c>
      <c r="Q173" s="13">
        <v>26</v>
      </c>
      <c r="R173" s="13">
        <v>0</v>
      </c>
      <c r="S173" s="5">
        <v>96.8</v>
      </c>
      <c r="T173" s="13" t="s">
        <v>48</v>
      </c>
      <c r="U173" s="13" t="s">
        <v>48</v>
      </c>
      <c r="V173" s="13">
        <v>1</v>
      </c>
      <c r="W173" s="13">
        <v>0</v>
      </c>
      <c r="X173" s="13">
        <v>1</v>
      </c>
      <c r="Y173" s="13">
        <v>0</v>
      </c>
      <c r="Z173" s="13">
        <v>0</v>
      </c>
      <c r="AA173" s="13">
        <v>0</v>
      </c>
      <c r="AB173" s="13">
        <v>0</v>
      </c>
      <c r="AC173" s="13">
        <v>1</v>
      </c>
      <c r="AD173" s="13">
        <v>0</v>
      </c>
      <c r="AE173" s="13">
        <v>1</v>
      </c>
      <c r="AF173" s="13">
        <v>1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1</v>
      </c>
      <c r="AO173" s="13" t="s">
        <v>48</v>
      </c>
      <c r="AP173" s="13" t="s">
        <v>48</v>
      </c>
      <c r="AQ173" s="13">
        <v>1</v>
      </c>
      <c r="AR173" s="13">
        <v>1</v>
      </c>
      <c r="AS173" s="13">
        <v>1</v>
      </c>
      <c r="AT173" s="13">
        <v>1</v>
      </c>
      <c r="AU173" s="10">
        <v>1</v>
      </c>
      <c r="AV173" s="13">
        <v>0</v>
      </c>
      <c r="AW173" s="13" t="s">
        <v>192</v>
      </c>
      <c r="AX173" s="76">
        <f>4.78/3.85</f>
        <v>1.2415584415584415</v>
      </c>
      <c r="AY173" s="77">
        <v>0</v>
      </c>
      <c r="AZ173" s="31">
        <v>0</v>
      </c>
      <c r="BA173" s="31">
        <v>1</v>
      </c>
      <c r="BB173" s="76">
        <f>2.98/3.41</f>
        <v>0.87390029325513197</v>
      </c>
      <c r="BC173" s="77">
        <v>2</v>
      </c>
      <c r="BD173" s="77">
        <v>1</v>
      </c>
      <c r="BE173" s="77"/>
      <c r="BF173" s="13">
        <v>1</v>
      </c>
      <c r="BG173" s="13" t="s">
        <v>75</v>
      </c>
      <c r="BH173" s="13">
        <v>1</v>
      </c>
      <c r="BI173" s="13">
        <v>0</v>
      </c>
      <c r="BJ173" s="13">
        <v>1</v>
      </c>
      <c r="BK173" s="13">
        <v>0</v>
      </c>
      <c r="BL173" s="57">
        <v>0</v>
      </c>
      <c r="BM173" s="57">
        <v>0</v>
      </c>
      <c r="BN173" s="13">
        <v>1</v>
      </c>
      <c r="BO173" s="13">
        <v>0</v>
      </c>
      <c r="BP173" s="13">
        <v>0</v>
      </c>
      <c r="BQ173" s="13">
        <v>1</v>
      </c>
      <c r="BR173" s="13">
        <v>0</v>
      </c>
      <c r="BS173" s="13">
        <v>0</v>
      </c>
      <c r="BT173" s="13">
        <v>0</v>
      </c>
      <c r="BU173" s="13">
        <v>0</v>
      </c>
      <c r="BV173" s="81" t="s">
        <v>82</v>
      </c>
      <c r="BW173" s="99" t="s">
        <v>48</v>
      </c>
      <c r="BX173" s="13" t="s">
        <v>48</v>
      </c>
      <c r="BY173" s="13" t="s">
        <v>48</v>
      </c>
      <c r="BZ173" s="13" t="s">
        <v>48</v>
      </c>
      <c r="CA173" s="13" t="s">
        <v>48</v>
      </c>
      <c r="CB173" s="34" t="s">
        <v>179</v>
      </c>
    </row>
    <row r="174" spans="1:80" s="82" customFormat="1" ht="18.75" x14ac:dyDescent="0.3">
      <c r="A174" s="1">
        <v>173</v>
      </c>
      <c r="B174" s="60">
        <v>76</v>
      </c>
      <c r="C174" s="13" t="s">
        <v>46</v>
      </c>
      <c r="D174" s="50" t="s">
        <v>162</v>
      </c>
      <c r="E174" s="13">
        <v>4</v>
      </c>
      <c r="F174" s="5">
        <f>'[2]Removed Saddle Values'!G174*2.54</f>
        <v>172.72</v>
      </c>
      <c r="G174" s="5">
        <v>77.099999999999994</v>
      </c>
      <c r="H174" s="5">
        <f t="shared" si="5"/>
        <v>25.844558609532438</v>
      </c>
      <c r="I174" s="13">
        <v>1</v>
      </c>
      <c r="J174" s="13">
        <v>5</v>
      </c>
      <c r="K174" s="13">
        <v>2</v>
      </c>
      <c r="L174" s="13">
        <v>1</v>
      </c>
      <c r="M174" s="13">
        <v>125</v>
      </c>
      <c r="N174" s="13">
        <v>0</v>
      </c>
      <c r="O174" s="13">
        <v>135</v>
      </c>
      <c r="P174" s="13">
        <v>0</v>
      </c>
      <c r="Q174" s="13">
        <v>20</v>
      </c>
      <c r="R174" s="13">
        <v>0</v>
      </c>
      <c r="S174" s="5">
        <v>97.1</v>
      </c>
      <c r="T174" s="13">
        <v>0</v>
      </c>
      <c r="U174" s="13">
        <v>94</v>
      </c>
      <c r="V174" s="13">
        <v>1</v>
      </c>
      <c r="W174" s="13">
        <v>0</v>
      </c>
      <c r="X174" s="13">
        <v>0</v>
      </c>
      <c r="Y174" s="13">
        <v>0</v>
      </c>
      <c r="Z174" s="13">
        <v>0</v>
      </c>
      <c r="AA174" s="13">
        <v>1</v>
      </c>
      <c r="AB174" s="13">
        <v>1</v>
      </c>
      <c r="AC174" s="13">
        <v>1</v>
      </c>
      <c r="AD174" s="13">
        <v>0</v>
      </c>
      <c r="AE174" s="13">
        <v>1</v>
      </c>
      <c r="AF174" s="13">
        <v>0</v>
      </c>
      <c r="AG174" s="13">
        <v>1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1</v>
      </c>
      <c r="AO174" s="13">
        <v>1</v>
      </c>
      <c r="AP174" s="13">
        <v>1</v>
      </c>
      <c r="AQ174" s="13">
        <v>1</v>
      </c>
      <c r="AR174" s="13">
        <v>1</v>
      </c>
      <c r="AS174" s="13">
        <v>0</v>
      </c>
      <c r="AT174" s="13">
        <v>0</v>
      </c>
      <c r="AU174" s="13">
        <v>0</v>
      </c>
      <c r="AV174" s="13">
        <v>0</v>
      </c>
      <c r="AW174" s="13">
        <v>40.700000000000003</v>
      </c>
      <c r="AX174" s="76">
        <f>4.86/3.59</f>
        <v>1.3537604456824515</v>
      </c>
      <c r="AY174" s="77">
        <v>0</v>
      </c>
      <c r="AZ174" s="31">
        <v>0</v>
      </c>
      <c r="BA174" s="31">
        <v>1</v>
      </c>
      <c r="BB174" s="76">
        <f>2.6/3.56</f>
        <v>0.7303370786516854</v>
      </c>
      <c r="BC174" s="77">
        <v>5</v>
      </c>
      <c r="BD174" s="77">
        <v>1</v>
      </c>
      <c r="BE174" s="77"/>
      <c r="BF174" s="13">
        <v>0</v>
      </c>
      <c r="BG174" s="13" t="s">
        <v>48</v>
      </c>
      <c r="BH174" s="13">
        <v>1</v>
      </c>
      <c r="BI174" s="13">
        <v>0</v>
      </c>
      <c r="BJ174" s="13">
        <v>0</v>
      </c>
      <c r="BK174" s="13">
        <v>0</v>
      </c>
      <c r="BL174" s="57">
        <v>0</v>
      </c>
      <c r="BM174" s="57">
        <v>0</v>
      </c>
      <c r="BN174" s="13">
        <v>0</v>
      </c>
      <c r="BO174" s="13">
        <v>1</v>
      </c>
      <c r="BP174" s="13">
        <v>0</v>
      </c>
      <c r="BQ174" s="13">
        <v>1</v>
      </c>
      <c r="BR174" s="13">
        <v>0</v>
      </c>
      <c r="BS174" s="13">
        <v>0</v>
      </c>
      <c r="BT174" s="13">
        <v>0</v>
      </c>
      <c r="BU174" s="13">
        <v>0</v>
      </c>
      <c r="BV174" s="81" t="s">
        <v>57</v>
      </c>
      <c r="BW174" s="99" t="s">
        <v>57</v>
      </c>
      <c r="BX174" s="13">
        <v>0</v>
      </c>
      <c r="BY174" s="13">
        <v>0</v>
      </c>
      <c r="BZ174" s="13">
        <v>0</v>
      </c>
      <c r="CA174" s="13">
        <v>0</v>
      </c>
      <c r="CB174" s="34" t="s">
        <v>61</v>
      </c>
    </row>
    <row r="175" spans="1:80" s="82" customFormat="1" ht="18.75" x14ac:dyDescent="0.3">
      <c r="A175" s="13">
        <v>174</v>
      </c>
      <c r="B175" s="60">
        <v>87</v>
      </c>
      <c r="C175" s="13" t="s">
        <v>46</v>
      </c>
      <c r="D175" s="50" t="s">
        <v>47</v>
      </c>
      <c r="E175" s="13">
        <v>3</v>
      </c>
      <c r="F175" s="5">
        <f>'[2]Removed Saddle Values'!G175*2.54</f>
        <v>182.88</v>
      </c>
      <c r="G175" s="5">
        <v>93</v>
      </c>
      <c r="H175" s="5">
        <f t="shared" si="5"/>
        <v>27.806768576500115</v>
      </c>
      <c r="I175" s="13">
        <v>1</v>
      </c>
      <c r="J175" s="13">
        <v>5</v>
      </c>
      <c r="K175" s="94">
        <v>2</v>
      </c>
      <c r="L175" s="13">
        <v>0</v>
      </c>
      <c r="M175" s="13">
        <v>94</v>
      </c>
      <c r="N175" s="13">
        <v>1</v>
      </c>
      <c r="O175" s="13">
        <v>85</v>
      </c>
      <c r="P175" s="13">
        <v>0</v>
      </c>
      <c r="Q175" s="13">
        <v>20</v>
      </c>
      <c r="R175" s="13">
        <v>0</v>
      </c>
      <c r="S175" s="5">
        <v>98.3</v>
      </c>
      <c r="T175" s="13">
        <v>1</v>
      </c>
      <c r="U175" s="13">
        <v>80</v>
      </c>
      <c r="V175" s="13">
        <v>1</v>
      </c>
      <c r="W175" s="13">
        <v>0</v>
      </c>
      <c r="X175" s="13">
        <v>0</v>
      </c>
      <c r="Y175" s="13">
        <v>0</v>
      </c>
      <c r="Z175" s="13">
        <v>1</v>
      </c>
      <c r="AA175" s="13">
        <v>0</v>
      </c>
      <c r="AB175" s="13">
        <v>0</v>
      </c>
      <c r="AC175" s="13">
        <v>0</v>
      </c>
      <c r="AD175" s="13">
        <v>0</v>
      </c>
      <c r="AE175" s="13">
        <v>1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1</v>
      </c>
      <c r="AO175" s="13" t="s">
        <v>48</v>
      </c>
      <c r="AP175" s="13" t="s">
        <v>48</v>
      </c>
      <c r="AQ175" s="13">
        <v>0</v>
      </c>
      <c r="AR175" s="13">
        <v>1</v>
      </c>
      <c r="AS175" s="13" t="s">
        <v>48</v>
      </c>
      <c r="AT175" s="13" t="s">
        <v>48</v>
      </c>
      <c r="AU175" s="13" t="s">
        <v>48</v>
      </c>
      <c r="AV175" s="13" t="s">
        <v>48</v>
      </c>
      <c r="AW175" s="13" t="s">
        <v>48</v>
      </c>
      <c r="AX175" s="76">
        <f>6.25/3.41</f>
        <v>1.8328445747800586</v>
      </c>
      <c r="AY175" s="77">
        <v>0</v>
      </c>
      <c r="AZ175" s="31">
        <v>0</v>
      </c>
      <c r="BA175" s="31">
        <v>1</v>
      </c>
      <c r="BB175" s="76">
        <f>3.88/3.73</f>
        <v>1.0402144772117963</v>
      </c>
      <c r="BC175" s="77">
        <v>2</v>
      </c>
      <c r="BD175" s="77">
        <v>1</v>
      </c>
      <c r="BE175" s="77"/>
      <c r="BF175" s="13">
        <v>1</v>
      </c>
      <c r="BG175" s="13" t="s">
        <v>75</v>
      </c>
      <c r="BH175" s="13">
        <v>0</v>
      </c>
      <c r="BI175" s="13">
        <v>1</v>
      </c>
      <c r="BJ175" s="13">
        <v>0</v>
      </c>
      <c r="BK175" s="13">
        <v>0</v>
      </c>
      <c r="BL175" s="57">
        <v>0</v>
      </c>
      <c r="BM175" s="57">
        <v>0</v>
      </c>
      <c r="BN175" s="13">
        <v>0</v>
      </c>
      <c r="BO175" s="13">
        <v>0</v>
      </c>
      <c r="BP175" s="13" t="s">
        <v>48</v>
      </c>
      <c r="BQ175" s="13" t="s">
        <v>48</v>
      </c>
      <c r="BR175" s="13">
        <v>0</v>
      </c>
      <c r="BS175" s="13">
        <v>0</v>
      </c>
      <c r="BT175" s="13">
        <v>0</v>
      </c>
      <c r="BU175" s="13">
        <v>0</v>
      </c>
      <c r="BV175" s="81" t="s">
        <v>57</v>
      </c>
      <c r="BW175" s="99" t="s">
        <v>57</v>
      </c>
      <c r="BX175" s="13">
        <v>0</v>
      </c>
      <c r="BY175" s="13">
        <v>0</v>
      </c>
      <c r="BZ175" s="13">
        <v>0</v>
      </c>
      <c r="CA175" s="13">
        <v>0</v>
      </c>
      <c r="CB175" s="34" t="s">
        <v>60</v>
      </c>
    </row>
    <row r="176" spans="1:80" s="82" customFormat="1" ht="18.75" x14ac:dyDescent="0.3">
      <c r="A176" s="13">
        <v>175</v>
      </c>
      <c r="B176" s="60">
        <v>66</v>
      </c>
      <c r="C176" s="13" t="s">
        <v>52</v>
      </c>
      <c r="D176" s="50" t="s">
        <v>47</v>
      </c>
      <c r="E176" s="13">
        <v>6</v>
      </c>
      <c r="F176" s="5">
        <f>'[2]Removed Saddle Values'!G176*2.54</f>
        <v>167.64000000000001</v>
      </c>
      <c r="G176" s="5">
        <v>36.299999999999997</v>
      </c>
      <c r="H176" s="5">
        <f t="shared" si="5"/>
        <v>12.916692500051665</v>
      </c>
      <c r="I176" s="13">
        <v>1</v>
      </c>
      <c r="J176" s="13">
        <v>3</v>
      </c>
      <c r="K176" s="94">
        <v>1</v>
      </c>
      <c r="L176" s="13">
        <v>0</v>
      </c>
      <c r="M176" s="13">
        <v>71</v>
      </c>
      <c r="N176" s="13">
        <v>1</v>
      </c>
      <c r="O176" s="13">
        <v>88</v>
      </c>
      <c r="P176" s="13">
        <v>0</v>
      </c>
      <c r="Q176" s="13">
        <v>18</v>
      </c>
      <c r="R176" s="13">
        <v>0</v>
      </c>
      <c r="S176" s="5">
        <v>98.5</v>
      </c>
      <c r="T176" s="13">
        <v>0</v>
      </c>
      <c r="U176" s="13">
        <v>97</v>
      </c>
      <c r="V176" s="13">
        <v>0</v>
      </c>
      <c r="W176" s="13">
        <v>0</v>
      </c>
      <c r="X176" s="13">
        <v>0</v>
      </c>
      <c r="Y176" s="13">
        <v>1</v>
      </c>
      <c r="Z176" s="13">
        <v>1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1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1</v>
      </c>
      <c r="AP176" s="13">
        <v>1</v>
      </c>
      <c r="AQ176" s="13" t="s">
        <v>48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41.4</v>
      </c>
      <c r="AX176" s="76">
        <f>3.97/4.77</f>
        <v>0.8322851153039833</v>
      </c>
      <c r="AY176" s="77">
        <v>0</v>
      </c>
      <c r="AZ176" s="31">
        <v>0</v>
      </c>
      <c r="BA176" s="31">
        <v>0</v>
      </c>
      <c r="BB176" s="76">
        <f>3.29/3.28</f>
        <v>1.003048780487805</v>
      </c>
      <c r="BC176" s="77">
        <v>1</v>
      </c>
      <c r="BD176" s="77">
        <v>0</v>
      </c>
      <c r="BE176" s="77"/>
      <c r="BF176" s="13" t="s">
        <v>48</v>
      </c>
      <c r="BG176" s="13" t="s">
        <v>48</v>
      </c>
      <c r="BH176" s="13">
        <v>0</v>
      </c>
      <c r="BI176" s="13">
        <v>1</v>
      </c>
      <c r="BJ176" s="13">
        <v>0</v>
      </c>
      <c r="BK176" s="13">
        <v>0</v>
      </c>
      <c r="BL176" s="57">
        <v>0</v>
      </c>
      <c r="BM176" s="57">
        <v>0</v>
      </c>
      <c r="BN176" s="13">
        <v>0</v>
      </c>
      <c r="BO176" s="13">
        <v>0</v>
      </c>
      <c r="BP176" s="13" t="s">
        <v>48</v>
      </c>
      <c r="BQ176" s="13" t="s">
        <v>48</v>
      </c>
      <c r="BR176" s="13">
        <v>0</v>
      </c>
      <c r="BS176" s="13">
        <v>0</v>
      </c>
      <c r="BT176" s="13">
        <v>0</v>
      </c>
      <c r="BU176" s="13">
        <v>0</v>
      </c>
      <c r="BV176" s="81" t="s">
        <v>50</v>
      </c>
      <c r="BW176" s="99">
        <v>0</v>
      </c>
      <c r="BX176" s="13">
        <v>0</v>
      </c>
      <c r="BY176" s="13">
        <v>1</v>
      </c>
      <c r="BZ176" s="13">
        <v>0</v>
      </c>
      <c r="CA176" s="13">
        <v>0</v>
      </c>
      <c r="CB176" s="34" t="s">
        <v>61</v>
      </c>
    </row>
    <row r="177" spans="1:81" s="82" customFormat="1" ht="18.75" x14ac:dyDescent="0.3">
      <c r="A177" s="13">
        <v>176</v>
      </c>
      <c r="B177" s="60">
        <v>68</v>
      </c>
      <c r="C177" s="75" t="s">
        <v>46</v>
      </c>
      <c r="D177" s="75" t="s">
        <v>53</v>
      </c>
      <c r="E177" s="75" t="s">
        <v>98</v>
      </c>
      <c r="F177" s="5">
        <f>'[2]Removed Saddle Values'!G177*2.54</f>
        <v>172.72</v>
      </c>
      <c r="G177" s="5">
        <v>85.7</v>
      </c>
      <c r="H177" s="5">
        <f t="shared" si="5"/>
        <v>28.727349842242937</v>
      </c>
      <c r="I177" s="13">
        <v>0</v>
      </c>
      <c r="J177" s="13">
        <v>2</v>
      </c>
      <c r="K177" s="13">
        <v>1</v>
      </c>
      <c r="L177" s="13">
        <v>0</v>
      </c>
      <c r="M177" s="13">
        <v>90</v>
      </c>
      <c r="N177" s="13">
        <v>0</v>
      </c>
      <c r="O177" s="13">
        <v>116</v>
      </c>
      <c r="P177" s="13">
        <v>0</v>
      </c>
      <c r="Q177" s="13">
        <v>19</v>
      </c>
      <c r="R177" s="13">
        <v>0</v>
      </c>
      <c r="S177" s="5">
        <v>97.6</v>
      </c>
      <c r="T177" s="13">
        <v>0</v>
      </c>
      <c r="U177" s="13">
        <v>96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1</v>
      </c>
      <c r="AF177" s="13">
        <v>1</v>
      </c>
      <c r="AG177" s="13">
        <v>0</v>
      </c>
      <c r="AH177" s="13">
        <v>0</v>
      </c>
      <c r="AI177" s="13">
        <v>1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1</v>
      </c>
      <c r="AP177" s="13">
        <v>1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27.8</v>
      </c>
      <c r="AX177" s="76">
        <f>4.16/3.4</f>
        <v>1.223529411764706</v>
      </c>
      <c r="AY177" s="77">
        <v>0</v>
      </c>
      <c r="AZ177" s="31">
        <v>0</v>
      </c>
      <c r="BA177" s="31">
        <v>1</v>
      </c>
      <c r="BB177" s="76">
        <f>2.71/3.53</f>
        <v>0.76770538243626063</v>
      </c>
      <c r="BC177" s="77">
        <v>1</v>
      </c>
      <c r="BD177" s="77">
        <v>0</v>
      </c>
      <c r="BE177" s="77"/>
      <c r="BF177" s="13">
        <v>1</v>
      </c>
      <c r="BG177" s="13" t="s">
        <v>75</v>
      </c>
      <c r="BH177" s="13">
        <v>0</v>
      </c>
      <c r="BI177" s="13">
        <v>0</v>
      </c>
      <c r="BJ177" s="13">
        <v>0</v>
      </c>
      <c r="BK177" s="13">
        <v>0</v>
      </c>
      <c r="BL177" s="75">
        <v>0</v>
      </c>
      <c r="BM177" s="57">
        <v>0</v>
      </c>
      <c r="BN177" s="13">
        <v>0</v>
      </c>
      <c r="BO177" s="13">
        <v>0</v>
      </c>
      <c r="BP177" s="13" t="s">
        <v>48</v>
      </c>
      <c r="BQ177" s="13" t="s">
        <v>48</v>
      </c>
      <c r="BR177" s="13">
        <v>1</v>
      </c>
      <c r="BS177" s="34" t="s">
        <v>180</v>
      </c>
      <c r="BT177" s="13">
        <v>0</v>
      </c>
      <c r="BU177" s="13">
        <v>0</v>
      </c>
      <c r="BV177" s="81" t="s">
        <v>50</v>
      </c>
      <c r="BW177" s="99">
        <v>0</v>
      </c>
      <c r="BX177" s="13">
        <v>0</v>
      </c>
      <c r="BY177" s="13">
        <v>0</v>
      </c>
      <c r="BZ177" s="13">
        <v>0</v>
      </c>
      <c r="CA177" s="13">
        <v>0</v>
      </c>
      <c r="CB177" s="34" t="s">
        <v>56</v>
      </c>
    </row>
    <row r="178" spans="1:81" s="82" customFormat="1" ht="18.75" x14ac:dyDescent="0.3">
      <c r="A178" s="1">
        <v>177</v>
      </c>
      <c r="B178" s="60">
        <v>56</v>
      </c>
      <c r="C178" s="75" t="s">
        <v>46</v>
      </c>
      <c r="D178" s="75" t="s">
        <v>47</v>
      </c>
      <c r="E178" s="75" t="s">
        <v>83</v>
      </c>
      <c r="F178" s="5">
        <f>'[2]Removed Saddle Values'!G178*2.54</f>
        <v>185.42000000000002</v>
      </c>
      <c r="G178" s="5">
        <v>103</v>
      </c>
      <c r="H178" s="5">
        <f t="shared" si="5"/>
        <v>29.958776374674159</v>
      </c>
      <c r="I178" s="13">
        <v>1</v>
      </c>
      <c r="J178" s="13">
        <v>4</v>
      </c>
      <c r="K178" s="13">
        <v>1</v>
      </c>
      <c r="L178" s="13">
        <v>1</v>
      </c>
      <c r="M178" s="13">
        <v>114</v>
      </c>
      <c r="N178" s="13">
        <v>0</v>
      </c>
      <c r="O178" s="13">
        <v>117</v>
      </c>
      <c r="P178" s="13">
        <v>0</v>
      </c>
      <c r="Q178" s="13">
        <v>22</v>
      </c>
      <c r="R178" s="13">
        <v>0</v>
      </c>
      <c r="S178" s="5">
        <v>99.1</v>
      </c>
      <c r="T178" s="13">
        <v>0</v>
      </c>
      <c r="U178" s="13">
        <v>93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1</v>
      </c>
      <c r="AB178" s="13">
        <v>0</v>
      </c>
      <c r="AC178" s="13">
        <v>0</v>
      </c>
      <c r="AD178" s="13">
        <v>0</v>
      </c>
      <c r="AE178" s="13">
        <v>1</v>
      </c>
      <c r="AF178" s="13">
        <v>1</v>
      </c>
      <c r="AG178" s="13">
        <v>0</v>
      </c>
      <c r="AH178" s="13">
        <v>0</v>
      </c>
      <c r="AI178" s="13">
        <v>1</v>
      </c>
      <c r="AJ178" s="13">
        <v>1</v>
      </c>
      <c r="AK178" s="13">
        <v>1</v>
      </c>
      <c r="AL178" s="13">
        <v>0</v>
      </c>
      <c r="AM178" s="13">
        <v>0</v>
      </c>
      <c r="AN178" s="13">
        <v>0</v>
      </c>
      <c r="AO178" s="13">
        <v>1</v>
      </c>
      <c r="AP178" s="13">
        <v>1</v>
      </c>
      <c r="AQ178" s="13" t="s">
        <v>48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31.2</v>
      </c>
      <c r="AX178" s="76">
        <f>5.94/4.63</f>
        <v>1.2829373650107994</v>
      </c>
      <c r="AY178" s="77">
        <v>0</v>
      </c>
      <c r="AZ178" s="31">
        <v>0</v>
      </c>
      <c r="BA178" s="31">
        <v>1</v>
      </c>
      <c r="BB178" s="76">
        <f>3.29/3.56</f>
        <v>0.9241573033707865</v>
      </c>
      <c r="BC178" s="77">
        <v>1</v>
      </c>
      <c r="BD178" s="77">
        <v>1</v>
      </c>
      <c r="BE178" s="77"/>
      <c r="BF178" s="13" t="s">
        <v>48</v>
      </c>
      <c r="BG178" s="13" t="s">
        <v>48</v>
      </c>
      <c r="BH178" s="13">
        <v>0</v>
      </c>
      <c r="BI178" s="13">
        <v>0</v>
      </c>
      <c r="BJ178" s="13">
        <v>0</v>
      </c>
      <c r="BK178" s="13">
        <v>0</v>
      </c>
      <c r="BL178" s="75">
        <v>0</v>
      </c>
      <c r="BM178" s="57">
        <v>0</v>
      </c>
      <c r="BN178" s="13">
        <v>0</v>
      </c>
      <c r="BO178" s="13">
        <v>0</v>
      </c>
      <c r="BP178" s="13" t="s">
        <v>48</v>
      </c>
      <c r="BQ178" s="13" t="s">
        <v>48</v>
      </c>
      <c r="BR178" s="13">
        <v>0</v>
      </c>
      <c r="BS178" s="13">
        <v>0</v>
      </c>
      <c r="BT178" s="13">
        <v>0</v>
      </c>
      <c r="BU178" s="13">
        <v>1</v>
      </c>
      <c r="BV178" s="81" t="s">
        <v>50</v>
      </c>
      <c r="BW178" s="99">
        <v>0</v>
      </c>
      <c r="BX178" s="13">
        <v>0</v>
      </c>
      <c r="BY178" s="13">
        <v>1</v>
      </c>
      <c r="BZ178" s="13">
        <v>0</v>
      </c>
      <c r="CA178" s="13">
        <v>0</v>
      </c>
      <c r="CB178" s="34" t="s">
        <v>60</v>
      </c>
    </row>
    <row r="179" spans="1:81" s="82" customFormat="1" ht="18.75" x14ac:dyDescent="0.3">
      <c r="A179" s="1">
        <v>178</v>
      </c>
      <c r="B179" s="60">
        <v>35</v>
      </c>
      <c r="C179" s="75" t="s">
        <v>52</v>
      </c>
      <c r="D179" s="75" t="s">
        <v>53</v>
      </c>
      <c r="E179" s="75" t="s">
        <v>85</v>
      </c>
      <c r="F179" s="5">
        <f>'[2]Removed Saddle Values'!G179*2.54</f>
        <v>152.4</v>
      </c>
      <c r="G179" s="5">
        <v>73.8</v>
      </c>
      <c r="H179" s="5">
        <f t="shared" si="5"/>
        <v>31.775063550127097</v>
      </c>
      <c r="I179" s="13">
        <v>1</v>
      </c>
      <c r="J179" s="13">
        <v>1</v>
      </c>
      <c r="K179" s="13">
        <v>1</v>
      </c>
      <c r="L179" s="13">
        <v>1</v>
      </c>
      <c r="M179" s="13">
        <v>117</v>
      </c>
      <c r="N179" s="13">
        <v>0</v>
      </c>
      <c r="O179" s="13">
        <v>145</v>
      </c>
      <c r="P179" s="13">
        <v>0</v>
      </c>
      <c r="Q179" s="13">
        <v>16</v>
      </c>
      <c r="R179" s="13">
        <v>0</v>
      </c>
      <c r="S179" s="5">
        <v>98.9</v>
      </c>
      <c r="T179" s="13">
        <v>0</v>
      </c>
      <c r="U179" s="13">
        <v>99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1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1</v>
      </c>
      <c r="AM179" s="13">
        <v>0</v>
      </c>
      <c r="AN179" s="13">
        <v>0</v>
      </c>
      <c r="AO179" s="13">
        <v>1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35</v>
      </c>
      <c r="AX179" s="76">
        <f>4/4.37</f>
        <v>0.91533180778032031</v>
      </c>
      <c r="AY179" s="77">
        <v>0</v>
      </c>
      <c r="AZ179" s="31">
        <v>1</v>
      </c>
      <c r="BA179" s="31">
        <v>0</v>
      </c>
      <c r="BB179" s="76">
        <f>2.89/2.67</f>
        <v>1.0823970037453183</v>
      </c>
      <c r="BC179" s="77">
        <v>1</v>
      </c>
      <c r="BD179" s="77">
        <v>0</v>
      </c>
      <c r="BE179" s="77"/>
      <c r="BF179" s="13">
        <v>0</v>
      </c>
      <c r="BG179" s="13" t="s">
        <v>48</v>
      </c>
      <c r="BH179" s="13">
        <v>1</v>
      </c>
      <c r="BI179" s="13">
        <v>0</v>
      </c>
      <c r="BJ179" s="13">
        <v>0</v>
      </c>
      <c r="BK179" s="13">
        <v>0</v>
      </c>
      <c r="BL179" s="75">
        <v>0</v>
      </c>
      <c r="BM179" s="57">
        <v>0</v>
      </c>
      <c r="BN179" s="13">
        <v>0</v>
      </c>
      <c r="BO179" s="13">
        <v>0</v>
      </c>
      <c r="BP179" s="13" t="s">
        <v>48</v>
      </c>
      <c r="BQ179" s="13" t="s">
        <v>48</v>
      </c>
      <c r="BR179" s="13">
        <v>1</v>
      </c>
      <c r="BS179" s="34" t="s">
        <v>181</v>
      </c>
      <c r="BT179" s="13">
        <v>1</v>
      </c>
      <c r="BU179" s="13">
        <v>0</v>
      </c>
      <c r="BV179" s="81" t="s">
        <v>50</v>
      </c>
      <c r="BW179" s="99">
        <v>0</v>
      </c>
      <c r="BX179" s="13">
        <v>0</v>
      </c>
      <c r="BY179" s="13">
        <v>0</v>
      </c>
      <c r="BZ179" s="13">
        <v>0</v>
      </c>
      <c r="CA179" s="13">
        <v>0</v>
      </c>
      <c r="CB179" s="34" t="s">
        <v>142</v>
      </c>
    </row>
    <row r="180" spans="1:81" s="84" customFormat="1" ht="18.75" x14ac:dyDescent="0.3">
      <c r="A180" s="1">
        <v>179</v>
      </c>
      <c r="B180" s="2">
        <v>60</v>
      </c>
      <c r="C180" s="2" t="s">
        <v>46</v>
      </c>
      <c r="D180" s="10" t="s">
        <v>159</v>
      </c>
      <c r="E180" s="2" t="s">
        <v>100</v>
      </c>
      <c r="F180" s="16">
        <f>'[2]Removed Saddle Values'!G180*2.54</f>
        <v>172.72</v>
      </c>
      <c r="G180" s="16">
        <v>109.8</v>
      </c>
      <c r="H180" s="16">
        <f>G180/(('[1]Maya Saddle PE'!H180/100)^2)</f>
        <v>36.805869459489777</v>
      </c>
      <c r="I180" s="10">
        <v>1</v>
      </c>
      <c r="J180" s="10">
        <v>3</v>
      </c>
      <c r="K180" s="10">
        <v>2</v>
      </c>
      <c r="L180" s="10">
        <v>0</v>
      </c>
      <c r="M180" s="10">
        <v>82</v>
      </c>
      <c r="N180" s="10">
        <v>0</v>
      </c>
      <c r="O180" s="10">
        <v>123</v>
      </c>
      <c r="P180" s="10">
        <v>0</v>
      </c>
      <c r="Q180" s="10">
        <v>20</v>
      </c>
      <c r="R180" s="10">
        <v>0</v>
      </c>
      <c r="S180" s="16">
        <v>98.2</v>
      </c>
      <c r="T180" s="10">
        <v>0</v>
      </c>
      <c r="U180" s="10">
        <v>92</v>
      </c>
      <c r="V180" s="10">
        <v>1</v>
      </c>
      <c r="W180" s="13">
        <v>0</v>
      </c>
      <c r="X180" s="10">
        <v>0</v>
      </c>
      <c r="Y180" s="10">
        <v>0</v>
      </c>
      <c r="Z180" s="10">
        <v>1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1</v>
      </c>
      <c r="AG180" s="10">
        <v>1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1</v>
      </c>
      <c r="AP180" s="10">
        <v>1</v>
      </c>
      <c r="AQ180" s="10" t="s">
        <v>48</v>
      </c>
      <c r="AR180" s="10">
        <v>1</v>
      </c>
      <c r="AS180" s="10">
        <v>1</v>
      </c>
      <c r="AT180" s="10">
        <v>1</v>
      </c>
      <c r="AU180" s="10">
        <v>1</v>
      </c>
      <c r="AV180" s="10">
        <v>0</v>
      </c>
      <c r="AW180" s="10">
        <v>22.7</v>
      </c>
      <c r="AX180" s="9">
        <f>6.23/3.47</f>
        <v>1.7953890489913544</v>
      </c>
      <c r="AY180" s="77">
        <v>0</v>
      </c>
      <c r="AZ180" s="31">
        <v>0</v>
      </c>
      <c r="BA180" s="31">
        <v>1</v>
      </c>
      <c r="BB180" s="9">
        <f>2.7/3.37</f>
        <v>0.80118694362017806</v>
      </c>
      <c r="BC180" s="2">
        <v>2</v>
      </c>
      <c r="BD180" s="47">
        <v>1</v>
      </c>
      <c r="BE180" s="47"/>
      <c r="BF180" s="10">
        <v>1</v>
      </c>
      <c r="BG180" s="17" t="s">
        <v>182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 t="s">
        <v>48</v>
      </c>
      <c r="BQ180" s="10" t="s">
        <v>48</v>
      </c>
      <c r="BR180" s="10">
        <v>0</v>
      </c>
      <c r="BS180" s="10">
        <v>0</v>
      </c>
      <c r="BT180" s="10">
        <v>0</v>
      </c>
      <c r="BU180" s="10">
        <v>1</v>
      </c>
      <c r="BV180" s="2" t="s">
        <v>50</v>
      </c>
      <c r="BW180" s="98">
        <v>0</v>
      </c>
      <c r="BX180" s="10">
        <v>0</v>
      </c>
      <c r="BY180" s="10">
        <v>0</v>
      </c>
      <c r="BZ180" s="10">
        <v>0</v>
      </c>
      <c r="CA180" s="10">
        <v>0</v>
      </c>
      <c r="CB180" s="17" t="s">
        <v>60</v>
      </c>
      <c r="CC180" s="83"/>
    </row>
    <row r="181" spans="1:81" s="18" customFormat="1" ht="18.75" x14ac:dyDescent="0.3">
      <c r="A181" s="1">
        <v>180</v>
      </c>
      <c r="B181" s="13">
        <v>77</v>
      </c>
      <c r="C181" s="75" t="s">
        <v>46</v>
      </c>
      <c r="D181" s="85" t="s">
        <v>47</v>
      </c>
      <c r="E181" s="75">
        <v>1</v>
      </c>
      <c r="F181" s="5">
        <f>'[2]Removed Saddle Values'!G181*2.54</f>
        <v>177.8</v>
      </c>
      <c r="G181" s="86">
        <v>63.5</v>
      </c>
      <c r="H181" s="5">
        <f>G181/(('[1]Maya Saddle PE'!H181/100)^2)</f>
        <v>20.086774867427284</v>
      </c>
      <c r="I181" s="13">
        <v>1</v>
      </c>
      <c r="J181" s="13">
        <v>5</v>
      </c>
      <c r="K181" s="13">
        <v>2</v>
      </c>
      <c r="L181" s="13">
        <v>1</v>
      </c>
      <c r="M181" s="13">
        <v>123</v>
      </c>
      <c r="N181" s="13">
        <v>1</v>
      </c>
      <c r="O181" s="13">
        <v>91</v>
      </c>
      <c r="P181" s="13">
        <v>0</v>
      </c>
      <c r="Q181" s="13">
        <v>18</v>
      </c>
      <c r="R181" s="13">
        <v>0</v>
      </c>
      <c r="S181" s="5">
        <v>98.9</v>
      </c>
      <c r="T181" s="13">
        <v>0</v>
      </c>
      <c r="U181" s="13">
        <v>94</v>
      </c>
      <c r="V181" s="13">
        <v>1</v>
      </c>
      <c r="W181" s="13">
        <v>0</v>
      </c>
      <c r="X181" s="13">
        <v>0</v>
      </c>
      <c r="Y181" s="13">
        <v>1</v>
      </c>
      <c r="Z181" s="13">
        <v>1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1</v>
      </c>
      <c r="AP181" s="13">
        <v>1</v>
      </c>
      <c r="AQ181" s="13">
        <v>0</v>
      </c>
      <c r="AR181" s="13">
        <v>1</v>
      </c>
      <c r="AS181" s="13">
        <v>0</v>
      </c>
      <c r="AT181" s="13">
        <v>0</v>
      </c>
      <c r="AU181" s="13">
        <v>0</v>
      </c>
      <c r="AV181" s="13">
        <v>0</v>
      </c>
      <c r="AW181" s="13">
        <v>29.9</v>
      </c>
      <c r="AX181" s="76">
        <f>3.67/4.97</f>
        <v>0.7384305835010061</v>
      </c>
      <c r="AY181" s="77">
        <v>0</v>
      </c>
      <c r="AZ181" s="31">
        <v>0</v>
      </c>
      <c r="BA181" s="31">
        <v>0</v>
      </c>
      <c r="BB181" s="76">
        <f>2.14/3.21</f>
        <v>0.66666666666666674</v>
      </c>
      <c r="BC181" s="75">
        <v>1</v>
      </c>
      <c r="BD181" s="75">
        <v>0</v>
      </c>
      <c r="BE181" s="75"/>
      <c r="BF181" s="75">
        <v>0</v>
      </c>
      <c r="BG181" s="13" t="s">
        <v>48</v>
      </c>
      <c r="BH181" s="13">
        <v>0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13">
        <v>0</v>
      </c>
      <c r="BO181" s="13">
        <v>0</v>
      </c>
      <c r="BP181" s="13" t="s">
        <v>48</v>
      </c>
      <c r="BQ181" s="13" t="s">
        <v>48</v>
      </c>
      <c r="BR181" s="13">
        <v>0</v>
      </c>
      <c r="BS181" s="13">
        <v>0</v>
      </c>
      <c r="BT181" s="13">
        <v>0</v>
      </c>
      <c r="BU181" s="13">
        <v>0</v>
      </c>
      <c r="BV181" s="75" t="s">
        <v>57</v>
      </c>
      <c r="BW181" s="13">
        <v>0</v>
      </c>
      <c r="BX181" s="13">
        <v>0</v>
      </c>
      <c r="BY181" s="13">
        <v>1</v>
      </c>
      <c r="BZ181" s="13">
        <v>0</v>
      </c>
      <c r="CA181" s="13">
        <v>0</v>
      </c>
      <c r="CB181" s="34" t="s">
        <v>60</v>
      </c>
    </row>
    <row r="182" spans="1:81" x14ac:dyDescent="0.25">
      <c r="B182" s="53"/>
    </row>
    <row r="183" spans="1:81" x14ac:dyDescent="0.25">
      <c r="B183" s="53"/>
    </row>
    <row r="184" spans="1:81" x14ac:dyDescent="0.25">
      <c r="B184" s="53"/>
    </row>
    <row r="185" spans="1:81" x14ac:dyDescent="0.25">
      <c r="B185" s="53"/>
    </row>
    <row r="186" spans="1:81" x14ac:dyDescent="0.25">
      <c r="B186" s="53"/>
    </row>
    <row r="187" spans="1:81" x14ac:dyDescent="0.25">
      <c r="B187" s="53"/>
    </row>
    <row r="188" spans="1:81" x14ac:dyDescent="0.25">
      <c r="B188" s="53"/>
    </row>
    <row r="189" spans="1:81" x14ac:dyDescent="0.25">
      <c r="B189" s="53"/>
    </row>
    <row r="190" spans="1:81" x14ac:dyDescent="0.25">
      <c r="B190" s="53"/>
    </row>
    <row r="191" spans="1:81" x14ac:dyDescent="0.25">
      <c r="B191" s="53"/>
    </row>
    <row r="192" spans="1:81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</sheetData>
  <autoFilter ref="A1:DL18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81"/>
  <sheetViews>
    <sheetView tabSelected="1" workbookViewId="0">
      <pane ySplit="1" topLeftCell="A2" activePane="bottomLeft" state="frozen"/>
      <selection pane="bottomLeft" activeCell="BD6" sqref="BD6"/>
    </sheetView>
  </sheetViews>
  <sheetFormatPr defaultColWidth="8.85546875" defaultRowHeight="18.75" x14ac:dyDescent="0.3"/>
  <cols>
    <col min="1" max="1" width="15" style="52" customWidth="1"/>
    <col min="2" max="2" width="9.42578125" style="53" customWidth="1"/>
    <col min="3" max="3" width="10.28515625" customWidth="1"/>
    <col min="4" max="4" width="9.140625" style="52" customWidth="1"/>
    <col min="5" max="5" width="12.140625" customWidth="1"/>
    <col min="6" max="6" width="11" customWidth="1"/>
    <col min="7" max="7" width="10.7109375" style="54" customWidth="1"/>
    <col min="8" max="8" width="11.140625" customWidth="1"/>
    <col min="9" max="9" width="11" style="52" customWidth="1"/>
    <col min="10" max="10" width="12.140625" style="52" customWidth="1"/>
    <col min="11" max="11" width="13" style="52" customWidth="1"/>
    <col min="12" max="12" width="12.85546875" style="52" customWidth="1"/>
    <col min="13" max="13" width="10.140625" style="52" customWidth="1"/>
    <col min="14" max="14" width="12.5703125" style="52" customWidth="1"/>
    <col min="15" max="15" width="10.28515625" style="52" customWidth="1"/>
    <col min="16" max="16" width="12.42578125" style="52" customWidth="1"/>
    <col min="17" max="17" width="8.42578125" style="52" customWidth="1"/>
    <col min="18" max="18" width="13" style="52" customWidth="1"/>
    <col min="19" max="19" width="11.140625" style="54" customWidth="1"/>
    <col min="20" max="20" width="12.85546875" style="52" customWidth="1"/>
    <col min="21" max="21" width="12.7109375" style="52" customWidth="1"/>
    <col min="22" max="22" width="15.28515625" style="52" customWidth="1"/>
    <col min="23" max="23" width="10.42578125" style="52" customWidth="1"/>
    <col min="24" max="24" width="11.28515625" style="52" customWidth="1"/>
    <col min="25" max="25" width="17.28515625" style="52" bestFit="1" customWidth="1"/>
    <col min="26" max="26" width="14.7109375" style="52" customWidth="1"/>
    <col min="27" max="27" width="16.5703125" style="52" customWidth="1"/>
    <col min="28" max="28" width="10.42578125" style="52" customWidth="1"/>
    <col min="29" max="29" width="15.5703125" style="52" customWidth="1"/>
    <col min="30" max="30" width="14.5703125" style="52" customWidth="1"/>
    <col min="31" max="31" width="10.42578125" style="52" customWidth="1"/>
    <col min="32" max="32" width="11.42578125" style="52" customWidth="1"/>
    <col min="33" max="33" width="16.42578125" style="52" customWidth="1"/>
    <col min="34" max="34" width="16" style="52" customWidth="1"/>
    <col min="35" max="35" width="16.140625" style="52" customWidth="1"/>
    <col min="36" max="36" width="14.42578125" style="52" customWidth="1"/>
    <col min="37" max="37" width="17.85546875" style="52" customWidth="1"/>
    <col min="38" max="38" width="11.42578125" style="52" customWidth="1"/>
    <col min="39" max="39" width="15.7109375" style="52" bestFit="1" customWidth="1"/>
    <col min="40" max="40" width="10.85546875" style="52" customWidth="1"/>
    <col min="41" max="41" width="13.42578125" style="52" customWidth="1"/>
    <col min="42" max="42" width="21.42578125" style="52" customWidth="1"/>
    <col min="43" max="43" width="16.7109375" style="52" bestFit="1" customWidth="1"/>
    <col min="44" max="44" width="19.42578125" style="52" customWidth="1"/>
    <col min="45" max="45" width="14" customWidth="1"/>
    <col min="46" max="46" width="28.140625" bestFit="1" customWidth="1"/>
    <col min="47" max="47" width="28.140625" customWidth="1"/>
    <col min="48" max="48" width="25.7109375" customWidth="1"/>
    <col min="49" max="49" width="17.7109375" style="52" customWidth="1"/>
    <col min="50" max="50" width="13.28515625" style="55" customWidth="1"/>
    <col min="51" max="51" width="21.85546875" style="55" customWidth="1"/>
    <col min="52" max="52" width="19.28515625" style="18" customWidth="1"/>
    <col min="53" max="53" width="23.140625" style="18" customWidth="1"/>
    <col min="54" max="54" width="15.28515625" style="55" customWidth="1"/>
    <col min="55" max="55" width="16.85546875" style="18" customWidth="1"/>
    <col min="56" max="56" width="16.7109375" style="18" customWidth="1"/>
    <col min="57" max="57" width="16.140625" style="18" customWidth="1"/>
    <col min="58" max="58" width="14.7109375" style="52" customWidth="1"/>
    <col min="59" max="59" width="18.42578125" style="52" customWidth="1"/>
    <col min="60" max="60" width="11.140625" style="52" customWidth="1"/>
    <col min="61" max="61" width="9.7109375" style="52" customWidth="1"/>
    <col min="62" max="62" width="10.42578125" style="52" customWidth="1"/>
    <col min="63" max="63" width="10.85546875" style="52" customWidth="1"/>
    <col min="64" max="64" width="12.140625" style="52" customWidth="1"/>
    <col min="65" max="65" width="14.7109375" style="52" customWidth="1"/>
    <col min="66" max="66" width="10.7109375" style="52" customWidth="1"/>
    <col min="67" max="67" width="12.140625" style="52" customWidth="1"/>
    <col min="68" max="68" width="20.28515625" style="129" customWidth="1"/>
    <col min="69" max="69" width="21" style="129" customWidth="1"/>
    <col min="70" max="71" width="13.28515625" style="52" customWidth="1"/>
    <col min="72" max="72" width="15.140625" style="52" customWidth="1"/>
    <col min="73" max="73" width="9.42578125" style="52" customWidth="1"/>
    <col min="74" max="74" width="13.5703125" style="53" customWidth="1"/>
    <col min="75" max="75" width="15.85546875" style="13" customWidth="1"/>
    <col min="76" max="76" width="18.7109375" style="52" customWidth="1"/>
    <col min="77" max="77" width="17.140625" style="52" customWidth="1"/>
    <col min="78" max="78" width="11.140625" style="52" customWidth="1"/>
    <col min="79" max="79" width="13.42578125" style="52" customWidth="1"/>
    <col min="80" max="80" width="34.85546875" style="56" customWidth="1"/>
  </cols>
  <sheetData>
    <row r="1" spans="1:80" s="116" customFormat="1" ht="52.5" customHeight="1" x14ac:dyDescent="0.25">
      <c r="A1" s="116" t="s">
        <v>0</v>
      </c>
      <c r="B1" s="117" t="s">
        <v>1</v>
      </c>
      <c r="C1" s="118" t="s">
        <v>2</v>
      </c>
      <c r="D1" s="118" t="s">
        <v>3</v>
      </c>
      <c r="E1" s="118" t="s">
        <v>196</v>
      </c>
      <c r="F1" s="119" t="s">
        <v>4</v>
      </c>
      <c r="G1" s="118" t="s">
        <v>5</v>
      </c>
      <c r="H1" s="120" t="s">
        <v>6</v>
      </c>
      <c r="I1" s="120" t="s">
        <v>194</v>
      </c>
      <c r="J1" s="121" t="s">
        <v>193</v>
      </c>
      <c r="K1" s="120" t="s">
        <v>198</v>
      </c>
      <c r="L1" s="120" t="s">
        <v>7</v>
      </c>
      <c r="M1" s="120" t="s">
        <v>8</v>
      </c>
      <c r="N1" s="120" t="s">
        <v>9</v>
      </c>
      <c r="O1" s="120" t="s">
        <v>10</v>
      </c>
      <c r="P1" s="120" t="s">
        <v>11</v>
      </c>
      <c r="Q1" s="120" t="s">
        <v>12</v>
      </c>
      <c r="R1" s="120" t="s">
        <v>13</v>
      </c>
      <c r="S1" s="120" t="s">
        <v>14</v>
      </c>
      <c r="T1" s="120" t="s">
        <v>15</v>
      </c>
      <c r="U1" s="120" t="s">
        <v>16</v>
      </c>
      <c r="V1" s="120" t="s">
        <v>216</v>
      </c>
      <c r="W1" s="121" t="s">
        <v>206</v>
      </c>
      <c r="X1" s="118" t="s">
        <v>17</v>
      </c>
      <c r="Y1" s="120" t="s">
        <v>207</v>
      </c>
      <c r="Z1" s="120" t="s">
        <v>203</v>
      </c>
      <c r="AA1" s="120" t="s">
        <v>204</v>
      </c>
      <c r="AB1" s="120" t="s">
        <v>208</v>
      </c>
      <c r="AC1" s="120" t="s">
        <v>209</v>
      </c>
      <c r="AD1" s="120" t="s">
        <v>210</v>
      </c>
      <c r="AE1" s="120" t="s">
        <v>211</v>
      </c>
      <c r="AF1" s="120" t="s">
        <v>212</v>
      </c>
      <c r="AG1" s="120" t="s">
        <v>18</v>
      </c>
      <c r="AH1" s="120" t="s">
        <v>19</v>
      </c>
      <c r="AI1" s="120" t="s">
        <v>20</v>
      </c>
      <c r="AJ1" s="120" t="s">
        <v>21</v>
      </c>
      <c r="AK1" s="120" t="s">
        <v>22</v>
      </c>
      <c r="AL1" s="120" t="s">
        <v>23</v>
      </c>
      <c r="AM1" s="120" t="s">
        <v>213</v>
      </c>
      <c r="AN1" s="120" t="s">
        <v>214</v>
      </c>
      <c r="AO1" s="120" t="s">
        <v>218</v>
      </c>
      <c r="AP1" s="121" t="s">
        <v>215</v>
      </c>
      <c r="AQ1" s="120" t="s">
        <v>24</v>
      </c>
      <c r="AR1" s="120" t="s">
        <v>25</v>
      </c>
      <c r="AS1" s="122" t="s">
        <v>134</v>
      </c>
      <c r="AT1" s="122" t="s">
        <v>135</v>
      </c>
      <c r="AU1" s="122" t="s">
        <v>185</v>
      </c>
      <c r="AV1" s="122" t="s">
        <v>189</v>
      </c>
      <c r="AW1" s="120" t="s">
        <v>26</v>
      </c>
      <c r="AX1" s="117" t="s">
        <v>27</v>
      </c>
      <c r="AY1" s="114" t="s">
        <v>190</v>
      </c>
      <c r="AZ1" s="117" t="s">
        <v>184</v>
      </c>
      <c r="BA1" s="117" t="s">
        <v>183</v>
      </c>
      <c r="BB1" s="117" t="s">
        <v>28</v>
      </c>
      <c r="BC1" s="117" t="s">
        <v>29</v>
      </c>
      <c r="BD1" s="117" t="s">
        <v>30</v>
      </c>
      <c r="BE1" s="117" t="s">
        <v>223</v>
      </c>
      <c r="BF1" s="120" t="s">
        <v>31</v>
      </c>
      <c r="BG1" s="120" t="s">
        <v>32</v>
      </c>
      <c r="BH1" s="120" t="s">
        <v>33</v>
      </c>
      <c r="BI1" s="120" t="s">
        <v>200</v>
      </c>
      <c r="BJ1" s="120" t="s">
        <v>34</v>
      </c>
      <c r="BK1" s="120" t="s">
        <v>35</v>
      </c>
      <c r="BL1" s="120" t="s">
        <v>36</v>
      </c>
      <c r="BM1" s="130" t="s">
        <v>137</v>
      </c>
      <c r="BN1" s="121" t="s">
        <v>37</v>
      </c>
      <c r="BO1" s="121" t="s">
        <v>38</v>
      </c>
      <c r="BP1" s="115" t="s">
        <v>201</v>
      </c>
      <c r="BQ1" s="115" t="s">
        <v>202</v>
      </c>
      <c r="BR1" s="121" t="s">
        <v>39</v>
      </c>
      <c r="BS1" s="121" t="s">
        <v>40</v>
      </c>
      <c r="BT1" s="121" t="s">
        <v>41</v>
      </c>
      <c r="BU1" s="120" t="s">
        <v>222</v>
      </c>
      <c r="BV1" s="117" t="s">
        <v>42</v>
      </c>
      <c r="BW1" s="117" t="s">
        <v>191</v>
      </c>
      <c r="BX1" s="118" t="s">
        <v>221</v>
      </c>
      <c r="BY1" s="118" t="s">
        <v>220</v>
      </c>
      <c r="BZ1" s="118" t="s">
        <v>43</v>
      </c>
      <c r="CA1" s="118" t="s">
        <v>44</v>
      </c>
      <c r="CB1" s="118" t="s">
        <v>45</v>
      </c>
    </row>
    <row r="2" spans="1:80" s="12" customFormat="1" x14ac:dyDescent="0.3">
      <c r="A2" s="1">
        <v>1</v>
      </c>
      <c r="B2" s="2">
        <v>89</v>
      </c>
      <c r="C2" s="3" t="s">
        <v>46</v>
      </c>
      <c r="D2" s="4" t="s">
        <v>47</v>
      </c>
      <c r="E2" s="3">
        <v>0</v>
      </c>
      <c r="F2" s="103">
        <v>152.4</v>
      </c>
      <c r="G2" s="6">
        <v>56.2</v>
      </c>
      <c r="H2" s="5">
        <f>G2/(('[1]Maya Nonsaddle'!G2/100)^2)</f>
        <v>24.197270616763454</v>
      </c>
      <c r="I2" s="7">
        <v>1</v>
      </c>
      <c r="J2" s="7">
        <v>5</v>
      </c>
      <c r="K2" s="7">
        <v>4</v>
      </c>
      <c r="L2" s="7">
        <v>0</v>
      </c>
      <c r="M2" s="7">
        <v>82</v>
      </c>
      <c r="N2" s="7">
        <v>1</v>
      </c>
      <c r="O2" s="7">
        <v>89</v>
      </c>
      <c r="P2" s="7">
        <v>0</v>
      </c>
      <c r="Q2" s="7">
        <v>18</v>
      </c>
      <c r="R2" s="7">
        <v>0</v>
      </c>
      <c r="S2" s="8">
        <v>98.7</v>
      </c>
      <c r="T2" s="7">
        <v>1</v>
      </c>
      <c r="U2" s="7">
        <v>75</v>
      </c>
      <c r="V2" s="7">
        <v>1</v>
      </c>
      <c r="W2" s="7">
        <v>1</v>
      </c>
      <c r="X2" s="7">
        <v>0</v>
      </c>
      <c r="Y2" s="7">
        <v>0</v>
      </c>
      <c r="Z2" s="7">
        <v>0</v>
      </c>
      <c r="AA2" s="7">
        <v>1</v>
      </c>
      <c r="AB2" s="7">
        <v>0</v>
      </c>
      <c r="AC2" s="7">
        <v>0</v>
      </c>
      <c r="AD2" s="7">
        <v>1</v>
      </c>
      <c r="AE2" s="7">
        <v>1</v>
      </c>
      <c r="AF2" s="7">
        <v>0</v>
      </c>
      <c r="AG2" s="7">
        <v>1</v>
      </c>
      <c r="AH2" s="7">
        <v>0</v>
      </c>
      <c r="AI2" s="7">
        <v>0</v>
      </c>
      <c r="AJ2" s="7">
        <v>1</v>
      </c>
      <c r="AK2" s="7">
        <v>0</v>
      </c>
      <c r="AL2" s="7">
        <v>0</v>
      </c>
      <c r="AM2" s="7">
        <v>0</v>
      </c>
      <c r="AN2" s="7">
        <v>0</v>
      </c>
      <c r="AO2" s="7" t="s">
        <v>48</v>
      </c>
      <c r="AP2" s="7" t="s">
        <v>48</v>
      </c>
      <c r="AQ2" s="7" t="s">
        <v>48</v>
      </c>
      <c r="AR2" s="7" t="s">
        <v>48</v>
      </c>
      <c r="AS2" s="13" t="s">
        <v>48</v>
      </c>
      <c r="AT2" s="13" t="s">
        <v>48</v>
      </c>
      <c r="AU2" s="13" t="s">
        <v>48</v>
      </c>
      <c r="AV2" s="13" t="s">
        <v>48</v>
      </c>
      <c r="AW2" s="7" t="s">
        <v>48</v>
      </c>
      <c r="AX2" s="9">
        <f>4.36/4.76</f>
        <v>0.91596638655462193</v>
      </c>
      <c r="AY2" s="47">
        <v>0</v>
      </c>
      <c r="AZ2" s="2">
        <v>1</v>
      </c>
      <c r="BA2" s="2">
        <v>0</v>
      </c>
      <c r="BB2" s="9">
        <f>2.96/3.67</f>
        <v>0.80653950953678477</v>
      </c>
      <c r="BC2" s="2">
        <v>3</v>
      </c>
      <c r="BD2" s="2">
        <v>0</v>
      </c>
      <c r="BE2" s="2">
        <v>0</v>
      </c>
      <c r="BF2" s="7">
        <v>1</v>
      </c>
      <c r="BG2" s="7" t="s">
        <v>49</v>
      </c>
      <c r="BH2" s="7">
        <v>0</v>
      </c>
      <c r="BI2" s="7">
        <v>1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1" t="s">
        <v>48</v>
      </c>
      <c r="BQ2" s="1" t="s">
        <v>48</v>
      </c>
      <c r="BR2" s="7">
        <v>0</v>
      </c>
      <c r="BS2" s="7">
        <v>0</v>
      </c>
      <c r="BT2" s="7">
        <v>0</v>
      </c>
      <c r="BU2" s="7">
        <v>0</v>
      </c>
      <c r="BV2" s="2" t="s">
        <v>50</v>
      </c>
      <c r="BW2" s="10">
        <v>0</v>
      </c>
      <c r="BX2" s="7">
        <v>0</v>
      </c>
      <c r="BY2" s="7">
        <v>0</v>
      </c>
      <c r="BZ2" s="7">
        <v>0</v>
      </c>
      <c r="CA2" s="7">
        <v>0</v>
      </c>
      <c r="CB2" s="11" t="s">
        <v>51</v>
      </c>
    </row>
    <row r="3" spans="1:80" s="12" customFormat="1" x14ac:dyDescent="0.3">
      <c r="A3" s="1">
        <v>2</v>
      </c>
      <c r="B3" s="2">
        <v>84</v>
      </c>
      <c r="C3" s="3" t="s">
        <v>52</v>
      </c>
      <c r="D3" s="4" t="s">
        <v>53</v>
      </c>
      <c r="E3" s="3">
        <v>4</v>
      </c>
      <c r="F3" s="103">
        <v>157.5</v>
      </c>
      <c r="G3" s="6">
        <v>100.4</v>
      </c>
      <c r="H3" s="5">
        <f>G3/(('[1]Maya Nonsaddle'!G3/100)^2)</f>
        <v>40.483951935645813</v>
      </c>
      <c r="I3" s="7">
        <v>1</v>
      </c>
      <c r="J3" s="7">
        <v>3</v>
      </c>
      <c r="K3" s="7">
        <v>2</v>
      </c>
      <c r="L3" s="7">
        <v>0</v>
      </c>
      <c r="M3" s="7">
        <v>86</v>
      </c>
      <c r="N3" s="7">
        <v>0</v>
      </c>
      <c r="O3" s="7">
        <v>161</v>
      </c>
      <c r="P3" s="7">
        <v>0</v>
      </c>
      <c r="Q3" s="7">
        <v>20</v>
      </c>
      <c r="R3" s="7">
        <v>0</v>
      </c>
      <c r="S3" s="8">
        <v>97.5</v>
      </c>
      <c r="T3" s="7">
        <v>0</v>
      </c>
      <c r="U3" s="7">
        <v>94</v>
      </c>
      <c r="V3" s="7">
        <v>1</v>
      </c>
      <c r="W3" s="13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1</v>
      </c>
      <c r="AF3" s="7">
        <v>0</v>
      </c>
      <c r="AG3" s="7">
        <v>1</v>
      </c>
      <c r="AH3" s="7">
        <v>0</v>
      </c>
      <c r="AI3" s="7">
        <v>1</v>
      </c>
      <c r="AJ3" s="7">
        <v>1</v>
      </c>
      <c r="AK3" s="7">
        <v>1</v>
      </c>
      <c r="AL3" s="7">
        <v>0</v>
      </c>
      <c r="AM3" s="7">
        <v>0</v>
      </c>
      <c r="AN3" s="7">
        <v>0</v>
      </c>
      <c r="AO3" s="7">
        <v>1</v>
      </c>
      <c r="AP3" s="7">
        <v>1</v>
      </c>
      <c r="AQ3" s="7">
        <v>1</v>
      </c>
      <c r="AR3" s="7">
        <v>0</v>
      </c>
      <c r="AS3" s="13">
        <v>1</v>
      </c>
      <c r="AT3" s="13">
        <v>1</v>
      </c>
      <c r="AU3" s="13">
        <v>1</v>
      </c>
      <c r="AV3" s="13">
        <v>0</v>
      </c>
      <c r="AW3" s="7">
        <v>61.8</v>
      </c>
      <c r="AX3" s="9">
        <f>3.46/4.07</f>
        <v>0.85012285012285005</v>
      </c>
      <c r="AY3" s="47">
        <v>1</v>
      </c>
      <c r="AZ3" s="2">
        <v>0</v>
      </c>
      <c r="BA3" s="2">
        <v>0</v>
      </c>
      <c r="BB3" s="9">
        <f>3.75/3.13</f>
        <v>1.1980830670926519</v>
      </c>
      <c r="BC3" s="2">
        <v>4</v>
      </c>
      <c r="BD3" s="2">
        <v>1</v>
      </c>
      <c r="BE3" s="2">
        <v>0</v>
      </c>
      <c r="BF3" s="7">
        <v>0</v>
      </c>
      <c r="BG3" s="7" t="s">
        <v>48</v>
      </c>
      <c r="BH3" s="7">
        <v>0</v>
      </c>
      <c r="BI3" s="1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1" t="s">
        <v>48</v>
      </c>
      <c r="BQ3" s="1" t="s">
        <v>48</v>
      </c>
      <c r="BR3" s="7">
        <v>0</v>
      </c>
      <c r="BS3" s="7">
        <v>0</v>
      </c>
      <c r="BT3" s="7">
        <v>0</v>
      </c>
      <c r="BU3" s="7">
        <v>0</v>
      </c>
      <c r="BV3" s="2" t="s">
        <v>50</v>
      </c>
      <c r="BW3" s="10">
        <v>0</v>
      </c>
      <c r="BX3" s="7">
        <v>0</v>
      </c>
      <c r="BY3" s="7">
        <v>0</v>
      </c>
      <c r="BZ3" s="7">
        <v>0</v>
      </c>
      <c r="CA3" s="7">
        <v>0</v>
      </c>
      <c r="CB3" s="11" t="s">
        <v>55</v>
      </c>
    </row>
    <row r="4" spans="1:80" s="12" customFormat="1" x14ac:dyDescent="0.3">
      <c r="A4" s="1">
        <v>3</v>
      </c>
      <c r="B4" s="2">
        <v>72</v>
      </c>
      <c r="C4" s="3" t="s">
        <v>46</v>
      </c>
      <c r="D4" s="4" t="s">
        <v>47</v>
      </c>
      <c r="E4" s="3">
        <v>2</v>
      </c>
      <c r="F4" s="103">
        <v>170.2</v>
      </c>
      <c r="G4" s="6">
        <v>77.599999999999994</v>
      </c>
      <c r="H4" s="5">
        <f>G4/(('[1]Maya Nonsaddle'!G4/100)^2)</f>
        <v>26.794439866447117</v>
      </c>
      <c r="I4" s="7">
        <v>0</v>
      </c>
      <c r="J4" s="7">
        <v>3</v>
      </c>
      <c r="K4" s="7">
        <v>1</v>
      </c>
      <c r="L4" s="7">
        <v>0</v>
      </c>
      <c r="M4" s="7">
        <v>71</v>
      </c>
      <c r="N4" s="7">
        <v>0</v>
      </c>
      <c r="O4" s="7">
        <v>178</v>
      </c>
      <c r="P4" s="7">
        <v>0</v>
      </c>
      <c r="Q4" s="7">
        <v>18</v>
      </c>
      <c r="R4" s="7">
        <v>0</v>
      </c>
      <c r="S4" s="8">
        <v>98.6</v>
      </c>
      <c r="T4" s="7">
        <v>0</v>
      </c>
      <c r="U4" s="7">
        <v>94</v>
      </c>
      <c r="V4" s="7">
        <v>0</v>
      </c>
      <c r="W4" s="13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1</v>
      </c>
      <c r="AP4" s="7">
        <v>0</v>
      </c>
      <c r="AQ4" s="7">
        <v>0</v>
      </c>
      <c r="AR4" s="7">
        <v>0</v>
      </c>
      <c r="AS4" s="13">
        <v>0</v>
      </c>
      <c r="AT4" s="13">
        <v>0</v>
      </c>
      <c r="AU4" s="13">
        <v>0</v>
      </c>
      <c r="AV4" s="13">
        <v>0</v>
      </c>
      <c r="AW4" s="7">
        <v>45</v>
      </c>
      <c r="AX4" s="9">
        <f>3.43/4.8</f>
        <v>0.71458333333333335</v>
      </c>
      <c r="AY4" s="47">
        <v>0</v>
      </c>
      <c r="AZ4" s="2">
        <v>0</v>
      </c>
      <c r="BA4" s="2">
        <v>0</v>
      </c>
      <c r="BB4" s="9">
        <f>3.23/3.22</f>
        <v>1.0031055900621118</v>
      </c>
      <c r="BC4" s="2">
        <v>2</v>
      </c>
      <c r="BD4" s="2">
        <v>0</v>
      </c>
      <c r="BE4" s="2">
        <v>0</v>
      </c>
      <c r="BF4" s="7">
        <v>0</v>
      </c>
      <c r="BG4" s="7" t="s">
        <v>48</v>
      </c>
      <c r="BH4" s="7">
        <v>0</v>
      </c>
      <c r="BI4" s="1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1" t="s">
        <v>48</v>
      </c>
      <c r="BQ4" s="1" t="s">
        <v>48</v>
      </c>
      <c r="BR4" s="7">
        <v>0</v>
      </c>
      <c r="BS4" s="7">
        <v>0</v>
      </c>
      <c r="BT4" s="7">
        <v>0</v>
      </c>
      <c r="BU4" s="7">
        <v>0</v>
      </c>
      <c r="BV4" s="2" t="s">
        <v>50</v>
      </c>
      <c r="BW4" s="10">
        <v>0</v>
      </c>
      <c r="BX4" s="7">
        <v>0</v>
      </c>
      <c r="BY4" s="7">
        <v>0</v>
      </c>
      <c r="BZ4" s="7">
        <v>0</v>
      </c>
      <c r="CA4" s="7">
        <v>0</v>
      </c>
      <c r="CB4" s="11" t="s">
        <v>54</v>
      </c>
    </row>
    <row r="5" spans="1:80" s="12" customFormat="1" x14ac:dyDescent="0.3">
      <c r="A5" s="1">
        <v>4</v>
      </c>
      <c r="B5" s="2">
        <v>62</v>
      </c>
      <c r="C5" s="3" t="s">
        <v>46</v>
      </c>
      <c r="D5" s="4" t="s">
        <v>47</v>
      </c>
      <c r="E5" s="3">
        <v>2</v>
      </c>
      <c r="F5" s="103">
        <v>205.7</v>
      </c>
      <c r="G5" s="6">
        <v>86.4</v>
      </c>
      <c r="H5" s="5">
        <f>G5/(('[1]Maya Nonsaddle'!G5/100)^2)</f>
        <v>20.419502610222185</v>
      </c>
      <c r="I5" s="7">
        <v>0</v>
      </c>
      <c r="J5" s="7">
        <v>2</v>
      </c>
      <c r="K5" s="7">
        <v>4</v>
      </c>
      <c r="L5" s="7">
        <v>0</v>
      </c>
      <c r="M5" s="7">
        <v>88</v>
      </c>
      <c r="N5" s="7">
        <v>0</v>
      </c>
      <c r="O5" s="7">
        <v>137</v>
      </c>
      <c r="P5" s="7">
        <v>0</v>
      </c>
      <c r="Q5" s="7">
        <v>16</v>
      </c>
      <c r="R5" s="7">
        <v>0</v>
      </c>
      <c r="S5" s="8">
        <v>98.7</v>
      </c>
      <c r="T5" s="7">
        <v>0</v>
      </c>
      <c r="U5" s="7">
        <v>98</v>
      </c>
      <c r="V5" s="7">
        <v>0</v>
      </c>
      <c r="W5" s="13">
        <v>0</v>
      </c>
      <c r="X5" s="7">
        <v>0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1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1</v>
      </c>
      <c r="AP5" s="7">
        <v>0</v>
      </c>
      <c r="AQ5" s="7" t="s">
        <v>48</v>
      </c>
      <c r="AR5" s="7" t="s">
        <v>48</v>
      </c>
      <c r="AS5" s="13" t="s">
        <v>48</v>
      </c>
      <c r="AT5" s="13" t="s">
        <v>48</v>
      </c>
      <c r="AU5" s="13" t="s">
        <v>48</v>
      </c>
      <c r="AV5" s="13" t="s">
        <v>48</v>
      </c>
      <c r="AW5" s="7" t="s">
        <v>48</v>
      </c>
      <c r="AX5" s="9">
        <f>5.66/5.74</f>
        <v>0.98606271777003485</v>
      </c>
      <c r="AY5" s="47">
        <v>0</v>
      </c>
      <c r="AZ5" s="2">
        <v>0</v>
      </c>
      <c r="BA5" s="2">
        <v>1</v>
      </c>
      <c r="BB5" s="9">
        <f>2.22/3.86</f>
        <v>0.57512953367875652</v>
      </c>
      <c r="BC5" s="2">
        <v>3</v>
      </c>
      <c r="BD5" s="2">
        <v>0</v>
      </c>
      <c r="BE5" s="2">
        <v>0</v>
      </c>
      <c r="BF5" s="7">
        <v>0</v>
      </c>
      <c r="BG5" s="7" t="s">
        <v>48</v>
      </c>
      <c r="BH5" s="7">
        <v>0</v>
      </c>
      <c r="BI5" s="1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1" t="s">
        <v>48</v>
      </c>
      <c r="BQ5" s="1" t="s">
        <v>48</v>
      </c>
      <c r="BR5" s="7">
        <v>0</v>
      </c>
      <c r="BS5" s="7">
        <v>0</v>
      </c>
      <c r="BT5" s="7">
        <v>0</v>
      </c>
      <c r="BU5" s="7">
        <v>0</v>
      </c>
      <c r="BV5" s="2" t="s">
        <v>50</v>
      </c>
      <c r="BW5" s="10">
        <v>0</v>
      </c>
      <c r="BX5" s="7">
        <v>0</v>
      </c>
      <c r="BY5" s="7">
        <v>0</v>
      </c>
      <c r="BZ5" s="7">
        <v>0</v>
      </c>
      <c r="CA5" s="7">
        <v>0</v>
      </c>
      <c r="CB5" s="11" t="s">
        <v>54</v>
      </c>
    </row>
    <row r="6" spans="1:80" s="12" customFormat="1" x14ac:dyDescent="0.3">
      <c r="A6" s="1">
        <v>5</v>
      </c>
      <c r="B6" s="2">
        <v>65</v>
      </c>
      <c r="C6" s="3" t="s">
        <v>46</v>
      </c>
      <c r="D6" s="4" t="s">
        <v>47</v>
      </c>
      <c r="E6" s="3">
        <v>3</v>
      </c>
      <c r="F6" s="103">
        <v>198.1</v>
      </c>
      <c r="G6" s="6">
        <v>158</v>
      </c>
      <c r="H6" s="5">
        <f>G6/(('[1]Maya Nonsaddle'!G6/100)^2)</f>
        <v>40.253203451837535</v>
      </c>
      <c r="I6" s="7">
        <v>1</v>
      </c>
      <c r="J6" s="7">
        <v>4</v>
      </c>
      <c r="K6" s="7">
        <v>1</v>
      </c>
      <c r="L6" s="7">
        <v>0</v>
      </c>
      <c r="M6" s="7">
        <v>87</v>
      </c>
      <c r="N6" s="7">
        <v>0</v>
      </c>
      <c r="O6" s="7">
        <v>170</v>
      </c>
      <c r="P6" s="7">
        <v>0</v>
      </c>
      <c r="Q6" s="7">
        <v>22</v>
      </c>
      <c r="R6" s="7">
        <v>0</v>
      </c>
      <c r="S6" s="8">
        <v>97.8</v>
      </c>
      <c r="T6" s="7">
        <v>0</v>
      </c>
      <c r="U6" s="7">
        <v>95</v>
      </c>
      <c r="V6" s="7">
        <v>0</v>
      </c>
      <c r="W6" s="13">
        <v>0</v>
      </c>
      <c r="X6" s="7">
        <v>0</v>
      </c>
      <c r="Y6" s="7">
        <v>0</v>
      </c>
      <c r="Z6" s="7">
        <v>0</v>
      </c>
      <c r="AA6" s="7">
        <v>1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1</v>
      </c>
      <c r="AH6" s="7">
        <v>0</v>
      </c>
      <c r="AI6" s="7">
        <v>1</v>
      </c>
      <c r="AJ6" s="7">
        <v>0</v>
      </c>
      <c r="AK6" s="7">
        <v>1</v>
      </c>
      <c r="AL6" s="7">
        <v>0</v>
      </c>
      <c r="AM6" s="7">
        <v>0</v>
      </c>
      <c r="AN6" s="7">
        <v>0</v>
      </c>
      <c r="AO6" s="7">
        <v>1</v>
      </c>
      <c r="AP6" s="7">
        <v>1</v>
      </c>
      <c r="AQ6" s="7">
        <v>0</v>
      </c>
      <c r="AR6" s="7">
        <v>0</v>
      </c>
      <c r="AS6" s="1" t="s">
        <v>48</v>
      </c>
      <c r="AT6" s="1" t="s">
        <v>48</v>
      </c>
      <c r="AU6" s="1" t="s">
        <v>48</v>
      </c>
      <c r="AV6" s="13" t="s">
        <v>48</v>
      </c>
      <c r="AW6" s="7" t="s">
        <v>48</v>
      </c>
      <c r="AX6" s="9">
        <f>5.49/5.83</f>
        <v>0.94168096054888506</v>
      </c>
      <c r="AY6" s="47">
        <v>0</v>
      </c>
      <c r="AZ6" s="2">
        <v>1</v>
      </c>
      <c r="BA6" s="2">
        <v>0</v>
      </c>
      <c r="BB6" s="9">
        <f>3.16/4.15</f>
        <v>0.76144578313253009</v>
      </c>
      <c r="BC6" s="2">
        <v>2</v>
      </c>
      <c r="BD6" s="2">
        <v>0</v>
      </c>
      <c r="BE6" s="2">
        <v>0</v>
      </c>
      <c r="BF6" s="7">
        <v>0</v>
      </c>
      <c r="BG6" s="7" t="s">
        <v>48</v>
      </c>
      <c r="BH6" s="7">
        <v>0</v>
      </c>
      <c r="BI6" s="1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1" t="s">
        <v>48</v>
      </c>
      <c r="BQ6" s="1" t="s">
        <v>48</v>
      </c>
      <c r="BR6" s="7">
        <v>0</v>
      </c>
      <c r="BS6" s="7">
        <v>0</v>
      </c>
      <c r="BT6" s="7">
        <v>0</v>
      </c>
      <c r="BU6" s="7">
        <v>0</v>
      </c>
      <c r="BV6" s="2" t="s">
        <v>50</v>
      </c>
      <c r="BW6" s="10">
        <v>0</v>
      </c>
      <c r="BX6" s="7">
        <v>0</v>
      </c>
      <c r="BY6" s="7">
        <v>1</v>
      </c>
      <c r="BZ6" s="7">
        <v>0</v>
      </c>
      <c r="CA6" s="7">
        <v>0</v>
      </c>
      <c r="CB6" s="11" t="s">
        <v>55</v>
      </c>
    </row>
    <row r="7" spans="1:80" s="12" customFormat="1" x14ac:dyDescent="0.3">
      <c r="A7" s="1">
        <v>6</v>
      </c>
      <c r="B7" s="2">
        <v>58</v>
      </c>
      <c r="C7" s="3" t="s">
        <v>46</v>
      </c>
      <c r="D7" s="4" t="s">
        <v>47</v>
      </c>
      <c r="E7" s="3">
        <v>9</v>
      </c>
      <c r="F7" s="103">
        <v>182.9</v>
      </c>
      <c r="G7" s="6">
        <v>72.599999999999994</v>
      </c>
      <c r="H7" s="5">
        <f>G7/(('[1]Maya Nonsaddle'!G7/100)^2)</f>
        <v>21.707219340364606</v>
      </c>
      <c r="I7" s="7">
        <v>0</v>
      </c>
      <c r="J7" s="7">
        <v>2</v>
      </c>
      <c r="K7" s="7">
        <v>1</v>
      </c>
      <c r="L7" s="7">
        <v>0</v>
      </c>
      <c r="M7" s="7">
        <v>85</v>
      </c>
      <c r="N7" s="7">
        <v>0</v>
      </c>
      <c r="O7" s="7">
        <v>124</v>
      </c>
      <c r="P7" s="7">
        <v>0</v>
      </c>
      <c r="Q7" s="7">
        <v>18</v>
      </c>
      <c r="R7" s="7">
        <v>0</v>
      </c>
      <c r="S7" s="8">
        <v>98.5</v>
      </c>
      <c r="T7" s="7">
        <v>0</v>
      </c>
      <c r="U7" s="7">
        <v>95</v>
      </c>
      <c r="V7" s="7">
        <v>0</v>
      </c>
      <c r="W7" s="13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1</v>
      </c>
      <c r="AP7" s="7">
        <v>0</v>
      </c>
      <c r="AQ7" s="7" t="s">
        <v>48</v>
      </c>
      <c r="AR7" s="7">
        <v>0</v>
      </c>
      <c r="AS7" s="13">
        <v>0</v>
      </c>
      <c r="AT7" s="13">
        <v>0</v>
      </c>
      <c r="AU7" s="13">
        <v>0</v>
      </c>
      <c r="AV7" s="13">
        <v>0</v>
      </c>
      <c r="AW7" s="7">
        <v>40</v>
      </c>
      <c r="AX7" s="9">
        <f>4.65/5.46</f>
        <v>0.85164835164835173</v>
      </c>
      <c r="AY7" s="47">
        <v>1</v>
      </c>
      <c r="AZ7" s="2">
        <v>0</v>
      </c>
      <c r="BA7" s="2">
        <v>0</v>
      </c>
      <c r="BB7" s="9">
        <f>2.76/3.36</f>
        <v>0.8214285714285714</v>
      </c>
      <c r="BC7" s="2">
        <v>1</v>
      </c>
      <c r="BD7" s="2">
        <v>1</v>
      </c>
      <c r="BE7" s="2">
        <v>0</v>
      </c>
      <c r="BF7" s="7">
        <v>0</v>
      </c>
      <c r="BG7" s="7" t="s">
        <v>48</v>
      </c>
      <c r="BH7" s="7">
        <v>0</v>
      </c>
      <c r="BI7" s="1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1" t="s">
        <v>48</v>
      </c>
      <c r="BQ7" s="1" t="s">
        <v>48</v>
      </c>
      <c r="BR7" s="7">
        <v>0</v>
      </c>
      <c r="BS7" s="7">
        <v>0</v>
      </c>
      <c r="BT7" s="7">
        <v>0</v>
      </c>
      <c r="BU7" s="7">
        <v>0</v>
      </c>
      <c r="BV7" s="2" t="s">
        <v>50</v>
      </c>
      <c r="BW7" s="10">
        <v>0</v>
      </c>
      <c r="BX7" s="7">
        <v>0</v>
      </c>
      <c r="BY7" s="7">
        <v>1</v>
      </c>
      <c r="BZ7" s="7">
        <v>0</v>
      </c>
      <c r="CA7" s="7">
        <v>0</v>
      </c>
      <c r="CB7" s="11" t="s">
        <v>56</v>
      </c>
    </row>
    <row r="8" spans="1:80" s="12" customFormat="1" x14ac:dyDescent="0.3">
      <c r="A8" s="1">
        <v>7</v>
      </c>
      <c r="B8" s="2">
        <v>88</v>
      </c>
      <c r="C8" s="3" t="s">
        <v>52</v>
      </c>
      <c r="D8" s="4" t="s">
        <v>47</v>
      </c>
      <c r="E8" s="3">
        <v>3</v>
      </c>
      <c r="F8" s="103">
        <v>177.8</v>
      </c>
      <c r="G8" s="6">
        <v>46.4</v>
      </c>
      <c r="H8" s="5">
        <f>G8/(('[1]Maya Nonsaddle'!G8/100)^2)</f>
        <v>14.677580375568914</v>
      </c>
      <c r="I8" s="7">
        <v>1</v>
      </c>
      <c r="J8" s="7">
        <v>4</v>
      </c>
      <c r="K8" s="7">
        <v>2</v>
      </c>
      <c r="L8" s="7">
        <v>0</v>
      </c>
      <c r="M8" s="7">
        <v>86</v>
      </c>
      <c r="N8" s="7">
        <v>1</v>
      </c>
      <c r="O8" s="7">
        <v>97</v>
      </c>
      <c r="P8" s="7">
        <v>0</v>
      </c>
      <c r="Q8" s="7">
        <v>18</v>
      </c>
      <c r="R8" s="7">
        <v>0</v>
      </c>
      <c r="S8" s="8">
        <v>98.4</v>
      </c>
      <c r="T8" s="7">
        <v>0</v>
      </c>
      <c r="U8" s="7">
        <v>91</v>
      </c>
      <c r="V8" s="7">
        <v>1</v>
      </c>
      <c r="W8" s="13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</v>
      </c>
      <c r="AF8" s="7">
        <v>0</v>
      </c>
      <c r="AG8" s="7">
        <v>1</v>
      </c>
      <c r="AH8" s="7">
        <v>0</v>
      </c>
      <c r="AI8" s="7">
        <v>1</v>
      </c>
      <c r="AJ8" s="7">
        <v>0</v>
      </c>
      <c r="AK8" s="7">
        <v>1</v>
      </c>
      <c r="AL8" s="7">
        <v>0</v>
      </c>
      <c r="AM8" s="7">
        <v>0</v>
      </c>
      <c r="AN8" s="7">
        <v>0</v>
      </c>
      <c r="AO8" s="7">
        <v>1</v>
      </c>
      <c r="AP8" s="7">
        <v>1</v>
      </c>
      <c r="AQ8" s="7">
        <v>1</v>
      </c>
      <c r="AR8" s="7">
        <v>0</v>
      </c>
      <c r="AS8" s="13">
        <v>0</v>
      </c>
      <c r="AT8" s="13">
        <v>0</v>
      </c>
      <c r="AU8" s="13">
        <v>0</v>
      </c>
      <c r="AV8" s="13">
        <v>0</v>
      </c>
      <c r="AW8" s="7" t="s">
        <v>192</v>
      </c>
      <c r="AX8" s="9">
        <f>3.47/4</f>
        <v>0.86750000000000005</v>
      </c>
      <c r="AY8" s="47">
        <v>1</v>
      </c>
      <c r="AZ8" s="2">
        <v>0</v>
      </c>
      <c r="BA8" s="2">
        <v>0</v>
      </c>
      <c r="BB8" s="9">
        <f>2.56/3</f>
        <v>0.85333333333333339</v>
      </c>
      <c r="BC8" s="2">
        <v>3</v>
      </c>
      <c r="BD8" s="2">
        <v>0</v>
      </c>
      <c r="BE8" s="2">
        <v>0</v>
      </c>
      <c r="BF8" s="7">
        <v>0</v>
      </c>
      <c r="BG8" s="7" t="s">
        <v>48</v>
      </c>
      <c r="BH8" s="7">
        <v>0</v>
      </c>
      <c r="BI8" s="1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1" t="s">
        <v>48</v>
      </c>
      <c r="BQ8" s="1" t="s">
        <v>48</v>
      </c>
      <c r="BR8" s="7">
        <v>0</v>
      </c>
      <c r="BS8" s="7">
        <v>0</v>
      </c>
      <c r="BT8" s="7">
        <v>0</v>
      </c>
      <c r="BU8" s="7">
        <v>0</v>
      </c>
      <c r="BV8" s="2" t="s">
        <v>50</v>
      </c>
      <c r="BW8" s="10">
        <v>0</v>
      </c>
      <c r="BX8" s="7">
        <v>0</v>
      </c>
      <c r="BY8" s="7">
        <v>0</v>
      </c>
      <c r="BZ8" s="7">
        <v>0</v>
      </c>
      <c r="CA8" s="7">
        <v>0</v>
      </c>
      <c r="CB8" s="11" t="s">
        <v>55</v>
      </c>
    </row>
    <row r="9" spans="1:80" s="12" customFormat="1" x14ac:dyDescent="0.3">
      <c r="A9" s="1">
        <v>8</v>
      </c>
      <c r="B9" s="2">
        <v>75</v>
      </c>
      <c r="C9" s="3" t="s">
        <v>46</v>
      </c>
      <c r="D9" s="4" t="s">
        <v>47</v>
      </c>
      <c r="E9" s="3">
        <v>6</v>
      </c>
      <c r="F9" s="103">
        <v>182.9</v>
      </c>
      <c r="G9" s="6">
        <v>84.2</v>
      </c>
      <c r="H9" s="5">
        <f>G9/(('[1]Maya Nonsaddle'!G9/100)^2)</f>
        <v>25.17559047463774</v>
      </c>
      <c r="I9" s="7">
        <v>1</v>
      </c>
      <c r="J9" s="7">
        <v>4</v>
      </c>
      <c r="K9" s="7">
        <v>2</v>
      </c>
      <c r="L9" s="7">
        <v>0</v>
      </c>
      <c r="M9" s="7">
        <v>88</v>
      </c>
      <c r="N9" s="7">
        <v>0</v>
      </c>
      <c r="O9" s="7">
        <v>109</v>
      </c>
      <c r="P9" s="7">
        <v>0</v>
      </c>
      <c r="Q9" s="7">
        <v>20</v>
      </c>
      <c r="R9" s="7">
        <v>0</v>
      </c>
      <c r="S9" s="8">
        <v>98.4</v>
      </c>
      <c r="T9" s="7">
        <v>0</v>
      </c>
      <c r="U9" s="7">
        <v>97</v>
      </c>
      <c r="V9" s="7">
        <v>0</v>
      </c>
      <c r="W9" s="13">
        <v>0</v>
      </c>
      <c r="X9" s="7">
        <v>0</v>
      </c>
      <c r="Y9" s="7">
        <v>0</v>
      </c>
      <c r="Z9" s="7">
        <v>0</v>
      </c>
      <c r="AA9" s="7">
        <v>1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1</v>
      </c>
      <c r="AL9" s="7">
        <v>0</v>
      </c>
      <c r="AM9" s="7">
        <v>0</v>
      </c>
      <c r="AN9" s="7">
        <v>0</v>
      </c>
      <c r="AO9" s="7">
        <v>0</v>
      </c>
      <c r="AP9" s="7" t="s">
        <v>48</v>
      </c>
      <c r="AQ9" s="7" t="s">
        <v>48</v>
      </c>
      <c r="AR9" s="7">
        <v>0</v>
      </c>
      <c r="AS9" s="13">
        <v>1</v>
      </c>
      <c r="AT9" s="13">
        <v>0</v>
      </c>
      <c r="AU9" s="13">
        <v>0</v>
      </c>
      <c r="AV9" s="13">
        <v>0</v>
      </c>
      <c r="AW9" s="7">
        <v>21</v>
      </c>
      <c r="AX9" s="9">
        <f>4.1/4.7</f>
        <v>0.87234042553191482</v>
      </c>
      <c r="AY9" s="47">
        <v>1</v>
      </c>
      <c r="AZ9" s="2">
        <v>0</v>
      </c>
      <c r="BA9" s="2">
        <v>0</v>
      </c>
      <c r="BB9" s="9">
        <f>3.51/3.11</f>
        <v>1.1286173633440515</v>
      </c>
      <c r="BC9" s="2">
        <v>2</v>
      </c>
      <c r="BD9" s="2">
        <v>0</v>
      </c>
      <c r="BE9" s="2">
        <v>0</v>
      </c>
      <c r="BF9" s="7">
        <v>0</v>
      </c>
      <c r="BG9" s="7" t="s">
        <v>48</v>
      </c>
      <c r="BH9" s="7">
        <v>0</v>
      </c>
      <c r="BI9" s="1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1" t="s">
        <v>48</v>
      </c>
      <c r="BQ9" s="1" t="s">
        <v>48</v>
      </c>
      <c r="BR9" s="7">
        <v>0</v>
      </c>
      <c r="BS9" s="7">
        <v>0</v>
      </c>
      <c r="BT9" s="7">
        <v>0</v>
      </c>
      <c r="BU9" s="7">
        <v>0</v>
      </c>
      <c r="BV9" s="2" t="s">
        <v>50</v>
      </c>
      <c r="BW9" s="10">
        <v>0</v>
      </c>
      <c r="BX9" s="7">
        <v>0</v>
      </c>
      <c r="BY9" s="7">
        <v>0</v>
      </c>
      <c r="BZ9" s="7">
        <v>0</v>
      </c>
      <c r="CA9" s="7">
        <v>1</v>
      </c>
      <c r="CB9" s="11" t="s">
        <v>55</v>
      </c>
    </row>
    <row r="10" spans="1:80" s="12" customFormat="1" x14ac:dyDescent="0.3">
      <c r="A10" s="1">
        <v>9</v>
      </c>
      <c r="B10" s="2">
        <v>25</v>
      </c>
      <c r="C10" s="3" t="s">
        <v>52</v>
      </c>
      <c r="D10" s="4" t="s">
        <v>47</v>
      </c>
      <c r="E10" s="3">
        <v>2</v>
      </c>
      <c r="F10" s="103">
        <v>157.5</v>
      </c>
      <c r="G10" s="6">
        <v>94.3</v>
      </c>
      <c r="H10" s="5">
        <f>G10/(('[1]Maya Nonsaddle'!G10/100)^2)</f>
        <v>38.024269596926288</v>
      </c>
      <c r="I10" s="7">
        <v>0</v>
      </c>
      <c r="J10" s="7">
        <v>1</v>
      </c>
      <c r="K10" s="7">
        <v>1</v>
      </c>
      <c r="L10" s="7">
        <v>0</v>
      </c>
      <c r="M10" s="7">
        <v>109</v>
      </c>
      <c r="N10" s="7">
        <v>0</v>
      </c>
      <c r="O10" s="7">
        <v>121</v>
      </c>
      <c r="P10" s="7">
        <v>0</v>
      </c>
      <c r="Q10" s="7">
        <v>18</v>
      </c>
      <c r="R10" s="7">
        <v>0</v>
      </c>
      <c r="S10" s="8">
        <v>97.6</v>
      </c>
      <c r="T10" s="7">
        <v>0</v>
      </c>
      <c r="U10" s="7">
        <v>100</v>
      </c>
      <c r="V10" s="7">
        <v>1</v>
      </c>
      <c r="W10" s="13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1</v>
      </c>
      <c r="AL10" s="7">
        <v>0</v>
      </c>
      <c r="AM10" s="7">
        <v>0</v>
      </c>
      <c r="AN10" s="7">
        <v>0</v>
      </c>
      <c r="AO10" s="7">
        <v>0</v>
      </c>
      <c r="AP10" s="7" t="s">
        <v>48</v>
      </c>
      <c r="AQ10" s="7" t="s">
        <v>48</v>
      </c>
      <c r="AR10" s="7">
        <v>0</v>
      </c>
      <c r="AS10" s="13" t="s">
        <v>48</v>
      </c>
      <c r="AT10" s="13" t="s">
        <v>48</v>
      </c>
      <c r="AU10" s="13" t="s">
        <v>48</v>
      </c>
      <c r="AV10" s="13" t="s">
        <v>48</v>
      </c>
      <c r="AW10" s="7" t="s">
        <v>48</v>
      </c>
      <c r="AX10" s="9">
        <f>2.95/4.42</f>
        <v>0.66742081447963808</v>
      </c>
      <c r="AY10" s="47">
        <v>0</v>
      </c>
      <c r="AZ10" s="2">
        <v>0</v>
      </c>
      <c r="BA10" s="2">
        <v>0</v>
      </c>
      <c r="BB10" s="9">
        <f>2.53/3.07</f>
        <v>0.82410423452768733</v>
      </c>
      <c r="BC10" s="2">
        <v>1</v>
      </c>
      <c r="BD10" s="2">
        <v>0</v>
      </c>
      <c r="BE10" s="2">
        <v>0</v>
      </c>
      <c r="BF10" s="7">
        <v>0</v>
      </c>
      <c r="BG10" s="7" t="s">
        <v>48</v>
      </c>
      <c r="BH10" s="7">
        <v>0</v>
      </c>
      <c r="BI10" s="1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1" t="s">
        <v>48</v>
      </c>
      <c r="BQ10" s="1" t="s">
        <v>48</v>
      </c>
      <c r="BR10" s="7">
        <v>0</v>
      </c>
      <c r="BS10" s="7">
        <v>0</v>
      </c>
      <c r="BT10" s="7">
        <v>0</v>
      </c>
      <c r="BU10" s="7">
        <v>0</v>
      </c>
      <c r="BV10" s="2" t="s">
        <v>50</v>
      </c>
      <c r="BW10" s="10">
        <v>0</v>
      </c>
      <c r="BX10" s="7">
        <v>0</v>
      </c>
      <c r="BY10" s="7">
        <v>1</v>
      </c>
      <c r="BZ10" s="7">
        <v>0</v>
      </c>
      <c r="CA10" s="7">
        <v>0</v>
      </c>
      <c r="CB10" s="11" t="s">
        <v>55</v>
      </c>
    </row>
    <row r="11" spans="1:80" s="12" customFormat="1" x14ac:dyDescent="0.3">
      <c r="A11" s="1">
        <v>10</v>
      </c>
      <c r="B11" s="2">
        <v>78</v>
      </c>
      <c r="C11" s="3" t="s">
        <v>46</v>
      </c>
      <c r="D11" s="4" t="s">
        <v>47</v>
      </c>
      <c r="E11" s="3">
        <v>1</v>
      </c>
      <c r="F11" s="103">
        <v>170.2</v>
      </c>
      <c r="G11" s="6">
        <v>81.599999999999994</v>
      </c>
      <c r="H11" s="5">
        <f>G11/(('[1]Maya Nonsaddle'!G11/100)^2)</f>
        <v>28.175596560593874</v>
      </c>
      <c r="I11" s="7">
        <v>1</v>
      </c>
      <c r="J11" s="7">
        <v>2</v>
      </c>
      <c r="K11" s="7">
        <v>1</v>
      </c>
      <c r="L11" s="7">
        <v>0</v>
      </c>
      <c r="M11" s="7">
        <v>78</v>
      </c>
      <c r="N11" s="7">
        <v>0</v>
      </c>
      <c r="O11" s="7">
        <v>117</v>
      </c>
      <c r="P11" s="7">
        <v>0</v>
      </c>
      <c r="Q11" s="7">
        <v>20</v>
      </c>
      <c r="R11" s="7">
        <v>0</v>
      </c>
      <c r="S11" s="8">
        <v>98.1</v>
      </c>
      <c r="T11" s="7">
        <v>0</v>
      </c>
      <c r="U11" s="7">
        <v>96</v>
      </c>
      <c r="V11" s="7">
        <v>0</v>
      </c>
      <c r="W11" s="13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1</v>
      </c>
      <c r="AL11" s="7">
        <v>0</v>
      </c>
      <c r="AM11" s="7">
        <v>0</v>
      </c>
      <c r="AN11" s="7">
        <v>0</v>
      </c>
      <c r="AO11" s="7" t="s">
        <v>48</v>
      </c>
      <c r="AP11" s="7" t="s">
        <v>48</v>
      </c>
      <c r="AQ11" s="7" t="s">
        <v>48</v>
      </c>
      <c r="AR11" s="7">
        <v>0</v>
      </c>
      <c r="AS11" s="13" t="s">
        <v>48</v>
      </c>
      <c r="AT11" s="13" t="s">
        <v>48</v>
      </c>
      <c r="AU11" s="13" t="s">
        <v>48</v>
      </c>
      <c r="AV11" s="13" t="s">
        <v>48</v>
      </c>
      <c r="AW11" s="7" t="s">
        <v>48</v>
      </c>
      <c r="AX11" s="9">
        <f>2.56/5.14</f>
        <v>0.49805447470817127</v>
      </c>
      <c r="AY11" s="47">
        <v>0</v>
      </c>
      <c r="AZ11" s="2">
        <v>0</v>
      </c>
      <c r="BA11" s="2">
        <v>0</v>
      </c>
      <c r="BB11" s="9">
        <f>3.14/3.75</f>
        <v>0.83733333333333337</v>
      </c>
      <c r="BC11" s="2">
        <v>2</v>
      </c>
      <c r="BD11" s="2">
        <v>0</v>
      </c>
      <c r="BE11" s="2">
        <v>1</v>
      </c>
      <c r="BF11" s="7">
        <v>0</v>
      </c>
      <c r="BG11" s="7" t="s">
        <v>48</v>
      </c>
      <c r="BH11" s="7">
        <v>0</v>
      </c>
      <c r="BI11" s="1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1" t="s">
        <v>48</v>
      </c>
      <c r="BQ11" s="1" t="s">
        <v>48</v>
      </c>
      <c r="BR11" s="7">
        <v>0</v>
      </c>
      <c r="BS11" s="7">
        <v>0</v>
      </c>
      <c r="BT11" s="7">
        <v>0</v>
      </c>
      <c r="BU11" s="7">
        <v>0</v>
      </c>
      <c r="BV11" s="2" t="s">
        <v>57</v>
      </c>
      <c r="BW11" s="10" t="s">
        <v>57</v>
      </c>
      <c r="BX11" s="7">
        <v>0</v>
      </c>
      <c r="BY11" s="7">
        <v>0</v>
      </c>
      <c r="BZ11" s="7">
        <v>0</v>
      </c>
      <c r="CA11" s="7">
        <v>0</v>
      </c>
      <c r="CB11" s="11" t="s">
        <v>55</v>
      </c>
    </row>
    <row r="12" spans="1:80" s="12" customFormat="1" x14ac:dyDescent="0.3">
      <c r="A12" s="1">
        <v>11</v>
      </c>
      <c r="B12" s="2">
        <v>81</v>
      </c>
      <c r="C12" s="3" t="s">
        <v>46</v>
      </c>
      <c r="D12" s="4" t="s">
        <v>47</v>
      </c>
      <c r="E12" s="3">
        <v>3</v>
      </c>
      <c r="F12" s="103">
        <v>167.6</v>
      </c>
      <c r="G12" s="6">
        <v>70.3</v>
      </c>
      <c r="H12" s="5">
        <f>G12/(('[1]Maya Nonsaddle'!G12/100)^2)</f>
        <v>25.01497197668408</v>
      </c>
      <c r="I12" s="7">
        <v>1</v>
      </c>
      <c r="J12" s="7">
        <v>4</v>
      </c>
      <c r="K12" s="7">
        <v>1</v>
      </c>
      <c r="L12" s="7">
        <v>0</v>
      </c>
      <c r="M12" s="7">
        <v>69</v>
      </c>
      <c r="N12" s="7">
        <v>0</v>
      </c>
      <c r="O12" s="7">
        <v>115</v>
      </c>
      <c r="P12" s="7">
        <v>0</v>
      </c>
      <c r="Q12" s="7">
        <v>24</v>
      </c>
      <c r="R12" s="7">
        <v>0</v>
      </c>
      <c r="S12" s="8">
        <v>97.8</v>
      </c>
      <c r="T12" s="7">
        <v>0</v>
      </c>
      <c r="U12" s="7" t="s">
        <v>48</v>
      </c>
      <c r="V12" s="11" t="s">
        <v>58</v>
      </c>
      <c r="W12" s="13">
        <v>0</v>
      </c>
      <c r="X12" s="7">
        <v>0</v>
      </c>
      <c r="Y12" s="7">
        <v>0</v>
      </c>
      <c r="Z12" s="7">
        <v>1</v>
      </c>
      <c r="AA12" s="7">
        <v>0</v>
      </c>
      <c r="AB12" s="7">
        <v>0</v>
      </c>
      <c r="AC12" s="7">
        <v>1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</v>
      </c>
      <c r="AL12" s="7">
        <v>0</v>
      </c>
      <c r="AM12" s="7">
        <v>0</v>
      </c>
      <c r="AN12" s="7">
        <v>0</v>
      </c>
      <c r="AO12" s="7" t="s">
        <v>48</v>
      </c>
      <c r="AP12" s="7" t="s">
        <v>48</v>
      </c>
      <c r="AQ12" s="7" t="s">
        <v>48</v>
      </c>
      <c r="AR12" s="7">
        <v>0</v>
      </c>
      <c r="AS12" s="13" t="s">
        <v>48</v>
      </c>
      <c r="AT12" s="13" t="s">
        <v>48</v>
      </c>
      <c r="AU12" s="13" t="s">
        <v>48</v>
      </c>
      <c r="AV12" s="13" t="s">
        <v>48</v>
      </c>
      <c r="AW12" s="7" t="s">
        <v>48</v>
      </c>
      <c r="AX12" s="9">
        <f>3.54/4.92</f>
        <v>0.71951219512195119</v>
      </c>
      <c r="AY12" s="47">
        <v>0</v>
      </c>
      <c r="AZ12" s="2">
        <v>0</v>
      </c>
      <c r="BA12" s="2">
        <v>0</v>
      </c>
      <c r="BB12" s="9">
        <f>3.53/3.16</f>
        <v>1.1170886075949367</v>
      </c>
      <c r="BC12" s="2">
        <v>3</v>
      </c>
      <c r="BD12" s="2">
        <v>0</v>
      </c>
      <c r="BE12" s="2">
        <v>0</v>
      </c>
      <c r="BF12" s="7">
        <v>0</v>
      </c>
      <c r="BG12" s="7" t="s">
        <v>48</v>
      </c>
      <c r="BH12" s="7">
        <v>0</v>
      </c>
      <c r="BI12" s="1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1" t="s">
        <v>48</v>
      </c>
      <c r="BQ12" s="1" t="s">
        <v>48</v>
      </c>
      <c r="BR12" s="7">
        <v>0</v>
      </c>
      <c r="BS12" s="7">
        <v>0</v>
      </c>
      <c r="BT12" s="7">
        <v>0</v>
      </c>
      <c r="BU12" s="7">
        <v>1</v>
      </c>
      <c r="BV12" s="2" t="s">
        <v>50</v>
      </c>
      <c r="BW12" s="10">
        <v>0</v>
      </c>
      <c r="BX12" s="11" t="s">
        <v>59</v>
      </c>
      <c r="BY12" s="7">
        <v>0</v>
      </c>
      <c r="BZ12" s="7">
        <v>0</v>
      </c>
      <c r="CA12" s="7">
        <v>0</v>
      </c>
      <c r="CB12" s="11" t="s">
        <v>60</v>
      </c>
    </row>
    <row r="13" spans="1:80" s="12" customFormat="1" x14ac:dyDescent="0.3">
      <c r="A13" s="1">
        <v>12</v>
      </c>
      <c r="B13" s="2">
        <v>80</v>
      </c>
      <c r="C13" s="3" t="s">
        <v>46</v>
      </c>
      <c r="D13" s="4" t="s">
        <v>47</v>
      </c>
      <c r="E13" s="3">
        <v>9</v>
      </c>
      <c r="F13" s="103">
        <v>167.6</v>
      </c>
      <c r="G13" s="6">
        <v>70.3</v>
      </c>
      <c r="H13" s="5">
        <f>G13/(('[1]Maya Nonsaddle'!G13/100)^2)</f>
        <v>25.01497197668408</v>
      </c>
      <c r="I13" s="7">
        <v>1</v>
      </c>
      <c r="J13" s="7">
        <v>4</v>
      </c>
      <c r="K13" s="7">
        <v>1</v>
      </c>
      <c r="L13" s="7">
        <v>0</v>
      </c>
      <c r="M13" s="7">
        <v>81</v>
      </c>
      <c r="N13" s="7">
        <v>0</v>
      </c>
      <c r="O13" s="7">
        <v>130</v>
      </c>
      <c r="P13" s="7">
        <v>0</v>
      </c>
      <c r="Q13" s="7">
        <v>18</v>
      </c>
      <c r="R13" s="7">
        <v>0</v>
      </c>
      <c r="S13" s="8">
        <v>97.9</v>
      </c>
      <c r="T13" s="7">
        <v>0</v>
      </c>
      <c r="U13" s="7" t="s">
        <v>48</v>
      </c>
      <c r="V13" s="11" t="s">
        <v>58</v>
      </c>
      <c r="W13" s="13">
        <v>0</v>
      </c>
      <c r="X13" s="7">
        <v>0</v>
      </c>
      <c r="Y13" s="7">
        <v>0</v>
      </c>
      <c r="Z13" s="7">
        <v>1</v>
      </c>
      <c r="AA13" s="7">
        <v>0</v>
      </c>
      <c r="AB13" s="7">
        <v>0</v>
      </c>
      <c r="AC13" s="7">
        <v>1</v>
      </c>
      <c r="AD13" s="7">
        <v>0</v>
      </c>
      <c r="AE13" s="7">
        <v>0</v>
      </c>
      <c r="AF13" s="7">
        <v>0</v>
      </c>
      <c r="AG13" s="7">
        <v>1</v>
      </c>
      <c r="AH13" s="7">
        <v>0</v>
      </c>
      <c r="AI13" s="7">
        <v>0</v>
      </c>
      <c r="AJ13" s="7">
        <v>1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 t="s">
        <v>48</v>
      </c>
      <c r="AQ13" s="7">
        <v>0</v>
      </c>
      <c r="AR13" s="7">
        <v>0</v>
      </c>
      <c r="AS13" s="13">
        <v>0</v>
      </c>
      <c r="AT13" s="13">
        <v>0</v>
      </c>
      <c r="AU13" s="13">
        <v>0</v>
      </c>
      <c r="AV13" s="13">
        <v>0</v>
      </c>
      <c r="AW13" s="7">
        <v>30</v>
      </c>
      <c r="AX13" s="9">
        <f>4.21/4.57</f>
        <v>0.92122538293216627</v>
      </c>
      <c r="AY13" s="47">
        <v>0</v>
      </c>
      <c r="AZ13" s="2">
        <v>1</v>
      </c>
      <c r="BA13" s="2">
        <v>0</v>
      </c>
      <c r="BB13" s="9">
        <f>3.72/3.14</f>
        <v>1.1847133757961783</v>
      </c>
      <c r="BC13" s="2">
        <v>1</v>
      </c>
      <c r="BD13" s="2">
        <v>0</v>
      </c>
      <c r="BE13" s="2">
        <v>0</v>
      </c>
      <c r="BF13" s="7">
        <v>0</v>
      </c>
      <c r="BG13" s="7" t="s">
        <v>48</v>
      </c>
      <c r="BH13" s="7">
        <v>0</v>
      </c>
      <c r="BI13" s="1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1" t="s">
        <v>48</v>
      </c>
      <c r="BQ13" s="1" t="s">
        <v>48</v>
      </c>
      <c r="BR13" s="7">
        <v>0</v>
      </c>
      <c r="BS13" s="7">
        <v>0</v>
      </c>
      <c r="BT13" s="7">
        <v>0</v>
      </c>
      <c r="BU13" s="7">
        <v>0</v>
      </c>
      <c r="BV13" s="2" t="s">
        <v>50</v>
      </c>
      <c r="BW13" s="10">
        <v>0</v>
      </c>
      <c r="BX13" s="11" t="s">
        <v>59</v>
      </c>
      <c r="BY13" s="7">
        <v>0</v>
      </c>
      <c r="BZ13" s="7">
        <v>0</v>
      </c>
      <c r="CA13" s="7">
        <v>0</v>
      </c>
      <c r="CB13" s="11" t="s">
        <v>60</v>
      </c>
    </row>
    <row r="14" spans="1:80" s="12" customFormat="1" x14ac:dyDescent="0.3">
      <c r="A14" s="1">
        <v>13</v>
      </c>
      <c r="B14" s="2">
        <v>90</v>
      </c>
      <c r="C14" s="3" t="s">
        <v>52</v>
      </c>
      <c r="D14" s="4" t="s">
        <v>47</v>
      </c>
      <c r="E14" s="3">
        <v>5</v>
      </c>
      <c r="F14" s="103">
        <v>157.5</v>
      </c>
      <c r="G14" s="6">
        <v>80</v>
      </c>
      <c r="H14" s="5">
        <f>G14/(('[1]Maya Nonsaddle'!G14/100)^2)</f>
        <v>32.258129032387096</v>
      </c>
      <c r="I14" s="7">
        <v>1</v>
      </c>
      <c r="J14" s="7">
        <v>5</v>
      </c>
      <c r="K14" s="7">
        <v>2</v>
      </c>
      <c r="L14" s="7">
        <v>0</v>
      </c>
      <c r="M14" s="7">
        <v>72</v>
      </c>
      <c r="N14" s="7">
        <v>0</v>
      </c>
      <c r="O14" s="7">
        <v>124</v>
      </c>
      <c r="P14" s="7">
        <v>0</v>
      </c>
      <c r="Q14" s="7">
        <v>15</v>
      </c>
      <c r="R14" s="7">
        <v>0</v>
      </c>
      <c r="S14" s="8">
        <v>97.1</v>
      </c>
      <c r="T14" s="7">
        <v>1</v>
      </c>
      <c r="U14" s="7">
        <v>68</v>
      </c>
      <c r="V14" s="7">
        <v>1</v>
      </c>
      <c r="W14" s="13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1</v>
      </c>
      <c r="AO14" s="7">
        <v>0</v>
      </c>
      <c r="AP14" s="7" t="s">
        <v>48</v>
      </c>
      <c r="AQ14" s="7">
        <v>1</v>
      </c>
      <c r="AR14" s="7">
        <v>0</v>
      </c>
      <c r="AS14" s="13" t="s">
        <v>48</v>
      </c>
      <c r="AT14" s="13" t="s">
        <v>48</v>
      </c>
      <c r="AU14" s="13" t="s">
        <v>48</v>
      </c>
      <c r="AV14" s="13" t="s">
        <v>48</v>
      </c>
      <c r="AW14" s="7" t="s">
        <v>48</v>
      </c>
      <c r="AX14" s="9">
        <f>3.63/4.53</f>
        <v>0.80132450331125826</v>
      </c>
      <c r="AY14" s="47">
        <v>0</v>
      </c>
      <c r="AZ14" s="2">
        <v>0</v>
      </c>
      <c r="BA14" s="2">
        <v>0</v>
      </c>
      <c r="BB14" s="9">
        <f>3.72/3.52</f>
        <v>1.0568181818181819</v>
      </c>
      <c r="BC14" s="2">
        <v>3</v>
      </c>
      <c r="BD14" s="2">
        <v>0</v>
      </c>
      <c r="BE14" s="2">
        <v>0</v>
      </c>
      <c r="BF14" s="7">
        <v>0</v>
      </c>
      <c r="BG14" s="7" t="s">
        <v>48</v>
      </c>
      <c r="BH14" s="7">
        <v>0</v>
      </c>
      <c r="BI14" s="1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1" t="s">
        <v>48</v>
      </c>
      <c r="BQ14" s="1" t="s">
        <v>48</v>
      </c>
      <c r="BR14" s="7">
        <v>0</v>
      </c>
      <c r="BS14" s="7">
        <v>0</v>
      </c>
      <c r="BT14" s="7">
        <v>0</v>
      </c>
      <c r="BU14" s="7">
        <v>0</v>
      </c>
      <c r="BV14" s="2" t="s">
        <v>50</v>
      </c>
      <c r="BW14" s="10">
        <v>0</v>
      </c>
      <c r="BX14" s="7">
        <v>1</v>
      </c>
      <c r="BY14" s="7">
        <v>0</v>
      </c>
      <c r="BZ14" s="7">
        <v>0</v>
      </c>
      <c r="CA14" s="7">
        <v>0</v>
      </c>
      <c r="CB14" s="11" t="s">
        <v>54</v>
      </c>
    </row>
    <row r="15" spans="1:80" s="12" customFormat="1" x14ac:dyDescent="0.3">
      <c r="A15" s="1">
        <v>14</v>
      </c>
      <c r="B15" s="2">
        <v>59</v>
      </c>
      <c r="C15" s="3" t="s">
        <v>52</v>
      </c>
      <c r="D15" s="4" t="s">
        <v>47</v>
      </c>
      <c r="E15" s="3">
        <v>2</v>
      </c>
      <c r="F15" s="103">
        <v>154.9</v>
      </c>
      <c r="G15" s="6">
        <v>146.5</v>
      </c>
      <c r="H15" s="5">
        <f>G15/(('[1]Maya Nonsaddle'!G15/100)^2)</f>
        <v>61.025384077105166</v>
      </c>
      <c r="I15" s="7">
        <v>0</v>
      </c>
      <c r="J15" s="7">
        <v>1</v>
      </c>
      <c r="K15" s="7">
        <v>1</v>
      </c>
      <c r="L15" s="7">
        <v>0</v>
      </c>
      <c r="M15" s="7">
        <v>104</v>
      </c>
      <c r="N15" s="7">
        <v>0</v>
      </c>
      <c r="O15" s="7">
        <v>165</v>
      </c>
      <c r="P15" s="7">
        <v>0</v>
      </c>
      <c r="Q15" s="7">
        <v>20</v>
      </c>
      <c r="R15" s="7">
        <v>0</v>
      </c>
      <c r="S15" s="8">
        <v>97.7</v>
      </c>
      <c r="T15" s="7">
        <v>0</v>
      </c>
      <c r="U15" s="7">
        <v>98</v>
      </c>
      <c r="V15" s="7">
        <v>0</v>
      </c>
      <c r="W15" s="13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1</v>
      </c>
      <c r="AH15" s="7">
        <v>0</v>
      </c>
      <c r="AI15" s="7">
        <v>1</v>
      </c>
      <c r="AJ15" s="7">
        <v>1</v>
      </c>
      <c r="AK15" s="7">
        <v>1</v>
      </c>
      <c r="AL15" s="7">
        <v>0</v>
      </c>
      <c r="AM15" s="7">
        <v>0</v>
      </c>
      <c r="AN15" s="7">
        <v>0</v>
      </c>
      <c r="AO15" s="7">
        <v>1</v>
      </c>
      <c r="AP15" s="7">
        <v>1</v>
      </c>
      <c r="AQ15" s="7">
        <v>0</v>
      </c>
      <c r="AR15" s="7">
        <v>0</v>
      </c>
      <c r="AS15" s="13">
        <v>0</v>
      </c>
      <c r="AT15" s="13">
        <v>0</v>
      </c>
      <c r="AU15" s="13">
        <v>0</v>
      </c>
      <c r="AV15" s="13">
        <v>0</v>
      </c>
      <c r="AW15" s="7">
        <v>18.399999999999999</v>
      </c>
      <c r="AX15" s="9">
        <f>4.95/4.91</f>
        <v>1.0081466395112015</v>
      </c>
      <c r="AY15" s="47">
        <v>0</v>
      </c>
      <c r="AZ15" s="2">
        <v>0</v>
      </c>
      <c r="BA15" s="2">
        <v>1</v>
      </c>
      <c r="BB15" s="9">
        <f>3.49/3.42</f>
        <v>1.0204678362573101</v>
      </c>
      <c r="BC15" s="2">
        <v>1</v>
      </c>
      <c r="BD15" s="2">
        <v>0</v>
      </c>
      <c r="BE15" s="2">
        <v>0</v>
      </c>
      <c r="BF15" s="7">
        <v>0</v>
      </c>
      <c r="BG15" s="7" t="s">
        <v>48</v>
      </c>
      <c r="BH15" s="7">
        <v>0</v>
      </c>
      <c r="BI15" s="1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1" t="s">
        <v>48</v>
      </c>
      <c r="BQ15" s="1" t="s">
        <v>48</v>
      </c>
      <c r="BR15" s="7">
        <v>0</v>
      </c>
      <c r="BS15" s="7">
        <v>0</v>
      </c>
      <c r="BT15" s="7">
        <v>0</v>
      </c>
      <c r="BU15" s="7">
        <v>0</v>
      </c>
      <c r="BV15" s="2" t="s">
        <v>50</v>
      </c>
      <c r="BW15" s="10">
        <v>0</v>
      </c>
      <c r="BX15" s="7">
        <v>0</v>
      </c>
      <c r="BY15" s="7">
        <v>1</v>
      </c>
      <c r="BZ15" s="7">
        <v>0</v>
      </c>
      <c r="CA15" s="7">
        <v>0</v>
      </c>
      <c r="CB15" s="11" t="s">
        <v>55</v>
      </c>
    </row>
    <row r="16" spans="1:80" s="12" customFormat="1" x14ac:dyDescent="0.3">
      <c r="A16" s="1">
        <v>15</v>
      </c>
      <c r="B16" s="2">
        <v>74</v>
      </c>
      <c r="C16" s="3" t="s">
        <v>52</v>
      </c>
      <c r="D16" s="4" t="s">
        <v>47</v>
      </c>
      <c r="E16" s="3">
        <v>1</v>
      </c>
      <c r="F16" s="103">
        <v>152.4</v>
      </c>
      <c r="G16" s="6">
        <v>77.099999999999994</v>
      </c>
      <c r="H16" s="5">
        <f>G16/(('[1]Maya Nonsaddle'!G16/100)^2)</f>
        <v>33.195899725132776</v>
      </c>
      <c r="I16" s="7">
        <v>1</v>
      </c>
      <c r="J16" s="7">
        <v>2</v>
      </c>
      <c r="K16" s="7">
        <v>2</v>
      </c>
      <c r="L16" s="7">
        <v>1</v>
      </c>
      <c r="M16" s="7">
        <v>112</v>
      </c>
      <c r="N16" s="7">
        <v>0</v>
      </c>
      <c r="O16" s="7">
        <v>197</v>
      </c>
      <c r="P16" s="7">
        <v>0</v>
      </c>
      <c r="Q16" s="7">
        <v>23</v>
      </c>
      <c r="R16" s="7">
        <v>0</v>
      </c>
      <c r="S16" s="8">
        <v>97.8</v>
      </c>
      <c r="T16" s="7">
        <v>0</v>
      </c>
      <c r="U16" s="7">
        <v>95</v>
      </c>
      <c r="V16" s="7">
        <v>1</v>
      </c>
      <c r="W16" s="13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1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1</v>
      </c>
      <c r="AL16" s="7">
        <v>0</v>
      </c>
      <c r="AM16" s="7">
        <v>0</v>
      </c>
      <c r="AN16" s="7">
        <v>0</v>
      </c>
      <c r="AO16" s="7" t="s">
        <v>48</v>
      </c>
      <c r="AP16" s="7" t="s">
        <v>48</v>
      </c>
      <c r="AQ16" s="7">
        <v>0</v>
      </c>
      <c r="AR16" s="7">
        <v>1</v>
      </c>
      <c r="AS16" s="13" t="s">
        <v>48</v>
      </c>
      <c r="AT16" s="13" t="s">
        <v>48</v>
      </c>
      <c r="AU16" s="13" t="s">
        <v>48</v>
      </c>
      <c r="AV16" s="13" t="s">
        <v>48</v>
      </c>
      <c r="AW16" s="7" t="s">
        <v>48</v>
      </c>
      <c r="AX16" s="9">
        <f>3.4/4.13</f>
        <v>0.82324455205811142</v>
      </c>
      <c r="AY16" s="47">
        <v>0</v>
      </c>
      <c r="AZ16" s="2">
        <v>0</v>
      </c>
      <c r="BA16" s="2">
        <v>0</v>
      </c>
      <c r="BB16" s="9">
        <f>3.17/3.06</f>
        <v>1.0359477124183005</v>
      </c>
      <c r="BC16" s="2">
        <v>1</v>
      </c>
      <c r="BD16" s="2">
        <v>0</v>
      </c>
      <c r="BE16" s="2">
        <v>1</v>
      </c>
      <c r="BF16" s="7">
        <v>0</v>
      </c>
      <c r="BG16" s="7" t="s">
        <v>48</v>
      </c>
      <c r="BH16" s="7">
        <v>0</v>
      </c>
      <c r="BI16" s="1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1" t="s">
        <v>48</v>
      </c>
      <c r="BQ16" s="1" t="s">
        <v>48</v>
      </c>
      <c r="BR16" s="7">
        <v>0</v>
      </c>
      <c r="BS16" s="7">
        <v>0</v>
      </c>
      <c r="BT16" s="7">
        <v>0</v>
      </c>
      <c r="BU16" s="7">
        <v>0</v>
      </c>
      <c r="BV16" s="2" t="s">
        <v>50</v>
      </c>
      <c r="BW16" s="10">
        <v>0</v>
      </c>
      <c r="BX16" s="7">
        <v>0</v>
      </c>
      <c r="BY16" s="7">
        <v>1</v>
      </c>
      <c r="BZ16" s="7">
        <v>0</v>
      </c>
      <c r="CA16" s="7">
        <v>0</v>
      </c>
      <c r="CB16" s="11" t="s">
        <v>55</v>
      </c>
    </row>
    <row r="17" spans="1:80" s="12" customFormat="1" x14ac:dyDescent="0.3">
      <c r="A17" s="1">
        <v>16</v>
      </c>
      <c r="B17" s="2">
        <v>60</v>
      </c>
      <c r="C17" s="3" t="s">
        <v>52</v>
      </c>
      <c r="D17" s="4" t="s">
        <v>53</v>
      </c>
      <c r="E17" s="3">
        <v>2</v>
      </c>
      <c r="F17" s="103">
        <v>160</v>
      </c>
      <c r="G17" s="6">
        <v>112.1</v>
      </c>
      <c r="H17" s="5">
        <f>G17/(('[1]Maya Nonsaddle'!G17/100)^2)</f>
        <v>43.778117286645255</v>
      </c>
      <c r="I17" s="7">
        <v>1</v>
      </c>
      <c r="J17" s="7">
        <v>3</v>
      </c>
      <c r="K17" s="7">
        <v>2</v>
      </c>
      <c r="L17" s="7">
        <v>1</v>
      </c>
      <c r="M17" s="7">
        <v>118</v>
      </c>
      <c r="N17" s="7">
        <v>0</v>
      </c>
      <c r="O17" s="7">
        <v>142</v>
      </c>
      <c r="P17" s="7">
        <v>0</v>
      </c>
      <c r="Q17" s="7">
        <v>24</v>
      </c>
      <c r="R17" s="7">
        <v>0</v>
      </c>
      <c r="S17" s="8">
        <v>98.3</v>
      </c>
      <c r="T17" s="7">
        <v>0</v>
      </c>
      <c r="U17" s="7">
        <v>94</v>
      </c>
      <c r="V17" s="7">
        <v>1</v>
      </c>
      <c r="W17" s="13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7">
        <v>0</v>
      </c>
      <c r="AE17" s="7">
        <v>1</v>
      </c>
      <c r="AF17" s="7">
        <v>0</v>
      </c>
      <c r="AG17" s="7">
        <v>1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 t="s">
        <v>48</v>
      </c>
      <c r="AP17" s="7" t="s">
        <v>48</v>
      </c>
      <c r="AQ17" s="7">
        <v>1</v>
      </c>
      <c r="AR17" s="7">
        <v>1</v>
      </c>
      <c r="AS17" s="13">
        <v>0</v>
      </c>
      <c r="AT17" s="13">
        <v>0</v>
      </c>
      <c r="AU17" s="13">
        <v>0</v>
      </c>
      <c r="AV17" s="13">
        <v>0</v>
      </c>
      <c r="AW17" s="7">
        <v>39</v>
      </c>
      <c r="AX17" s="9">
        <f>3.55/4.27</f>
        <v>0.83138173302107732</v>
      </c>
      <c r="AY17" s="47">
        <v>0</v>
      </c>
      <c r="AZ17" s="2">
        <v>0</v>
      </c>
      <c r="BA17" s="2">
        <v>0</v>
      </c>
      <c r="BB17" s="9">
        <f>2.95/3.16</f>
        <v>0.93354430379746833</v>
      </c>
      <c r="BC17" s="2">
        <v>2</v>
      </c>
      <c r="BD17" s="2">
        <v>0</v>
      </c>
      <c r="BE17" s="2">
        <v>0</v>
      </c>
      <c r="BF17" s="7">
        <v>0</v>
      </c>
      <c r="BG17" s="7" t="s">
        <v>48</v>
      </c>
      <c r="BH17" s="7">
        <v>0</v>
      </c>
      <c r="BI17" s="1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1" t="s">
        <v>48</v>
      </c>
      <c r="BQ17" s="1" t="s">
        <v>48</v>
      </c>
      <c r="BR17" s="7">
        <v>0</v>
      </c>
      <c r="BS17" s="7">
        <v>0</v>
      </c>
      <c r="BT17" s="7">
        <v>0</v>
      </c>
      <c r="BU17" s="7">
        <v>0</v>
      </c>
      <c r="BV17" s="2" t="s">
        <v>50</v>
      </c>
      <c r="BW17" s="10">
        <v>0</v>
      </c>
      <c r="BX17" s="7">
        <v>0</v>
      </c>
      <c r="BY17" s="7">
        <v>0</v>
      </c>
      <c r="BZ17" s="7">
        <v>0</v>
      </c>
      <c r="CA17" s="7">
        <v>0</v>
      </c>
      <c r="CB17" s="11" t="s">
        <v>61</v>
      </c>
    </row>
    <row r="18" spans="1:80" s="12" customFormat="1" x14ac:dyDescent="0.3">
      <c r="A18" s="1">
        <v>17</v>
      </c>
      <c r="B18" s="2">
        <v>71</v>
      </c>
      <c r="C18" s="3" t="s">
        <v>52</v>
      </c>
      <c r="D18" s="4" t="s">
        <v>47</v>
      </c>
      <c r="E18" s="3">
        <v>1</v>
      </c>
      <c r="F18" s="103">
        <v>165.1</v>
      </c>
      <c r="G18" s="6">
        <v>63.5</v>
      </c>
      <c r="H18" s="5">
        <f>G18/(('[1]Maya Nonsaddle'!G18/100)^2)</f>
        <v>23.295904579974838</v>
      </c>
      <c r="I18" s="7">
        <v>1</v>
      </c>
      <c r="J18" s="7">
        <v>3</v>
      </c>
      <c r="K18" s="7">
        <v>1</v>
      </c>
      <c r="L18" s="7">
        <v>0</v>
      </c>
      <c r="M18" s="7">
        <v>75</v>
      </c>
      <c r="N18" s="7">
        <v>0</v>
      </c>
      <c r="O18" s="7">
        <v>119</v>
      </c>
      <c r="P18" s="7">
        <v>0</v>
      </c>
      <c r="Q18" s="7">
        <v>16</v>
      </c>
      <c r="R18" s="7">
        <v>0</v>
      </c>
      <c r="S18" s="8">
        <v>97.6</v>
      </c>
      <c r="T18" s="7">
        <v>0</v>
      </c>
      <c r="U18" s="7">
        <v>100</v>
      </c>
      <c r="V18" s="7">
        <v>0</v>
      </c>
      <c r="W18" s="13">
        <v>0</v>
      </c>
      <c r="X18" s="7">
        <v>0</v>
      </c>
      <c r="Y18" s="7">
        <v>0</v>
      </c>
      <c r="Z18" s="7">
        <v>1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1</v>
      </c>
      <c r="AP18" s="7">
        <v>0</v>
      </c>
      <c r="AQ18" s="7">
        <v>0</v>
      </c>
      <c r="AR18" s="7">
        <v>0</v>
      </c>
      <c r="AS18" s="13" t="s">
        <v>48</v>
      </c>
      <c r="AT18" s="13" t="s">
        <v>48</v>
      </c>
      <c r="AU18" s="13" t="s">
        <v>48</v>
      </c>
      <c r="AV18" s="13" t="s">
        <v>48</v>
      </c>
      <c r="AW18" s="7" t="s">
        <v>48</v>
      </c>
      <c r="AX18" s="9">
        <f>3.29/4.35</f>
        <v>0.7563218390804598</v>
      </c>
      <c r="AY18" s="47">
        <v>0</v>
      </c>
      <c r="AZ18" s="2">
        <v>0</v>
      </c>
      <c r="BA18" s="2">
        <v>0</v>
      </c>
      <c r="BB18" s="9">
        <f>2.21/2.72</f>
        <v>0.81249999999999989</v>
      </c>
      <c r="BC18" s="2">
        <v>1</v>
      </c>
      <c r="BD18" s="2">
        <v>0</v>
      </c>
      <c r="BE18" s="2">
        <v>0</v>
      </c>
      <c r="BF18" s="7">
        <v>0</v>
      </c>
      <c r="BG18" s="7" t="s">
        <v>48</v>
      </c>
      <c r="BH18" s="7">
        <v>0</v>
      </c>
      <c r="BI18" s="1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1" t="s">
        <v>48</v>
      </c>
      <c r="BQ18" s="1" t="s">
        <v>48</v>
      </c>
      <c r="BR18" s="7">
        <v>0</v>
      </c>
      <c r="BS18" s="7">
        <v>0</v>
      </c>
      <c r="BT18" s="7">
        <v>0</v>
      </c>
      <c r="BU18" s="7">
        <v>0</v>
      </c>
      <c r="BV18" s="2" t="s">
        <v>50</v>
      </c>
      <c r="BW18" s="10">
        <v>0</v>
      </c>
      <c r="BX18" s="7">
        <v>0</v>
      </c>
      <c r="BY18" s="7">
        <v>0</v>
      </c>
      <c r="BZ18" s="7">
        <v>0</v>
      </c>
      <c r="CA18" s="7">
        <v>0</v>
      </c>
      <c r="CB18" s="11" t="s">
        <v>60</v>
      </c>
    </row>
    <row r="19" spans="1:80" s="12" customFormat="1" x14ac:dyDescent="0.3">
      <c r="A19" s="1">
        <v>18</v>
      </c>
      <c r="B19" s="2">
        <v>40</v>
      </c>
      <c r="C19" s="3" t="s">
        <v>46</v>
      </c>
      <c r="D19" s="4" t="s">
        <v>53</v>
      </c>
      <c r="E19" s="3">
        <v>4</v>
      </c>
      <c r="F19" s="103">
        <v>185.4</v>
      </c>
      <c r="G19" s="6">
        <v>112.9</v>
      </c>
      <c r="H19" s="5">
        <f>G19/(('[1]Maya Nonsaddle'!G19/100)^2)</f>
        <v>32.83830924952148</v>
      </c>
      <c r="I19" s="7">
        <v>1</v>
      </c>
      <c r="J19" s="7">
        <v>2</v>
      </c>
      <c r="K19" s="7">
        <v>2</v>
      </c>
      <c r="L19" s="7">
        <v>0</v>
      </c>
      <c r="M19" s="7">
        <v>100</v>
      </c>
      <c r="N19" s="7">
        <v>1</v>
      </c>
      <c r="O19" s="7">
        <v>96</v>
      </c>
      <c r="P19" s="7">
        <v>0</v>
      </c>
      <c r="Q19" s="7">
        <v>24</v>
      </c>
      <c r="R19" s="7">
        <v>0</v>
      </c>
      <c r="S19" s="8">
        <v>97.9</v>
      </c>
      <c r="T19" s="7">
        <v>0</v>
      </c>
      <c r="U19" s="7">
        <v>96</v>
      </c>
      <c r="V19" s="7">
        <v>1</v>
      </c>
      <c r="W19" s="13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1</v>
      </c>
      <c r="AP19" s="7">
        <v>1</v>
      </c>
      <c r="AQ19" s="7">
        <v>1</v>
      </c>
      <c r="AR19" s="7">
        <v>0</v>
      </c>
      <c r="AS19" s="13">
        <v>1</v>
      </c>
      <c r="AT19" s="13">
        <v>0</v>
      </c>
      <c r="AU19" s="13">
        <v>0</v>
      </c>
      <c r="AV19" s="13">
        <v>0</v>
      </c>
      <c r="AW19" s="7">
        <v>94</v>
      </c>
      <c r="AX19" s="9">
        <f>5.24/3.99</f>
        <v>1.3132832080200501</v>
      </c>
      <c r="AY19" s="47">
        <v>0</v>
      </c>
      <c r="AZ19" s="2">
        <v>0</v>
      </c>
      <c r="BA19" s="2">
        <v>1</v>
      </c>
      <c r="BB19" s="9">
        <f>4.05/3.01</f>
        <v>1.345514950166113</v>
      </c>
      <c r="BC19" s="2">
        <v>4</v>
      </c>
      <c r="BD19" s="2">
        <v>1</v>
      </c>
      <c r="BE19" s="2">
        <v>1</v>
      </c>
      <c r="BF19" s="7">
        <v>0</v>
      </c>
      <c r="BG19" s="7" t="s">
        <v>48</v>
      </c>
      <c r="BH19" s="7">
        <v>1</v>
      </c>
      <c r="BI19" s="1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1</v>
      </c>
      <c r="BP19" s="1">
        <v>0</v>
      </c>
      <c r="BQ19" s="127">
        <v>1</v>
      </c>
      <c r="BR19" s="7">
        <v>0</v>
      </c>
      <c r="BS19" s="7">
        <v>0</v>
      </c>
      <c r="BT19" s="7">
        <v>0</v>
      </c>
      <c r="BU19" s="7">
        <v>0</v>
      </c>
      <c r="BV19" s="2" t="s">
        <v>50</v>
      </c>
      <c r="BW19" s="10">
        <v>0</v>
      </c>
      <c r="BX19" s="7">
        <v>0</v>
      </c>
      <c r="BY19" s="7">
        <v>1</v>
      </c>
      <c r="BZ19" s="7">
        <v>0</v>
      </c>
      <c r="CA19" s="7">
        <v>0</v>
      </c>
      <c r="CB19" s="11" t="s">
        <v>62</v>
      </c>
    </row>
    <row r="20" spans="1:80" s="12" customFormat="1" x14ac:dyDescent="0.3">
      <c r="A20" s="1">
        <v>19</v>
      </c>
      <c r="B20" s="2">
        <v>63</v>
      </c>
      <c r="C20" s="3" t="s">
        <v>46</v>
      </c>
      <c r="D20" s="4" t="s">
        <v>47</v>
      </c>
      <c r="E20" s="3">
        <v>7</v>
      </c>
      <c r="F20" s="103">
        <v>188</v>
      </c>
      <c r="G20" s="6">
        <v>145.19999999999999</v>
      </c>
      <c r="H20" s="5">
        <f>G20/(('[1]Maya Nonsaddle'!G20/100)^2)</f>
        <v>41.099424784678632</v>
      </c>
      <c r="I20" s="7">
        <v>1</v>
      </c>
      <c r="J20" s="7">
        <v>5</v>
      </c>
      <c r="K20" s="7">
        <v>4</v>
      </c>
      <c r="L20" s="7">
        <v>1</v>
      </c>
      <c r="M20" s="7">
        <v>130</v>
      </c>
      <c r="N20" s="7">
        <v>0</v>
      </c>
      <c r="O20" s="7">
        <v>114</v>
      </c>
      <c r="P20" s="7">
        <v>1</v>
      </c>
      <c r="Q20" s="7">
        <v>30</v>
      </c>
      <c r="R20" s="7">
        <v>0</v>
      </c>
      <c r="S20" s="8">
        <v>98.5</v>
      </c>
      <c r="T20" s="7">
        <v>0</v>
      </c>
      <c r="U20" s="7">
        <v>90</v>
      </c>
      <c r="V20" s="7">
        <v>1</v>
      </c>
      <c r="W20" s="13">
        <v>0</v>
      </c>
      <c r="X20" s="7">
        <v>0</v>
      </c>
      <c r="Y20" s="7">
        <v>0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1</v>
      </c>
      <c r="AF20" s="7">
        <v>0</v>
      </c>
      <c r="AG20" s="7">
        <v>1</v>
      </c>
      <c r="AH20" s="7">
        <v>0</v>
      </c>
      <c r="AI20" s="7">
        <v>0</v>
      </c>
      <c r="AJ20" s="7">
        <v>1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 t="s">
        <v>48</v>
      </c>
      <c r="AQ20" s="7" t="s">
        <v>48</v>
      </c>
      <c r="AR20" s="7" t="s">
        <v>48</v>
      </c>
      <c r="AS20" s="13" t="s">
        <v>48</v>
      </c>
      <c r="AT20" s="13" t="s">
        <v>48</v>
      </c>
      <c r="AU20" s="13" t="s">
        <v>48</v>
      </c>
      <c r="AV20" s="13" t="s">
        <v>48</v>
      </c>
      <c r="AW20" s="7" t="s">
        <v>48</v>
      </c>
      <c r="AX20" s="9">
        <f>4.99/5.13</f>
        <v>0.97270955165692019</v>
      </c>
      <c r="AY20" s="47">
        <v>0</v>
      </c>
      <c r="AZ20" s="2">
        <v>0</v>
      </c>
      <c r="BA20" s="2">
        <v>1</v>
      </c>
      <c r="BB20" s="9">
        <f>3.66/3.86</f>
        <v>0.94818652849740936</v>
      </c>
      <c r="BC20" s="2">
        <v>4</v>
      </c>
      <c r="BD20" s="2">
        <v>1</v>
      </c>
      <c r="BE20" s="2">
        <v>0</v>
      </c>
      <c r="BF20" s="7">
        <v>0</v>
      </c>
      <c r="BG20" s="7" t="s">
        <v>48</v>
      </c>
      <c r="BH20" s="7">
        <v>0</v>
      </c>
      <c r="BI20" s="1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1" t="s">
        <v>48</v>
      </c>
      <c r="BQ20" s="1" t="s">
        <v>48</v>
      </c>
      <c r="BR20" s="7">
        <v>0</v>
      </c>
      <c r="BS20" s="7">
        <v>0</v>
      </c>
      <c r="BT20" s="7">
        <v>0</v>
      </c>
      <c r="BU20" s="7">
        <v>0</v>
      </c>
      <c r="BV20" s="2" t="s">
        <v>50</v>
      </c>
      <c r="BW20" s="10">
        <v>1</v>
      </c>
      <c r="BX20" s="7">
        <v>0</v>
      </c>
      <c r="BY20" s="7">
        <v>0</v>
      </c>
      <c r="BZ20" s="7">
        <v>0</v>
      </c>
      <c r="CA20" s="7">
        <v>0</v>
      </c>
      <c r="CB20" s="11" t="s">
        <v>63</v>
      </c>
    </row>
    <row r="21" spans="1:80" s="12" customFormat="1" x14ac:dyDescent="0.3">
      <c r="A21" s="1">
        <v>20</v>
      </c>
      <c r="B21" s="2">
        <v>24</v>
      </c>
      <c r="C21" s="3" t="s">
        <v>46</v>
      </c>
      <c r="D21" s="4" t="s">
        <v>47</v>
      </c>
      <c r="E21" s="3">
        <v>1</v>
      </c>
      <c r="F21" s="103">
        <v>190.5</v>
      </c>
      <c r="G21" s="6">
        <v>106.6</v>
      </c>
      <c r="H21" s="5">
        <f>G21/(('[1]Maya Nonsaddle'!G21/100)^2)</f>
        <v>29.374280970784163</v>
      </c>
      <c r="I21" s="7">
        <v>0</v>
      </c>
      <c r="J21" s="7">
        <v>1</v>
      </c>
      <c r="K21" s="7">
        <v>1</v>
      </c>
      <c r="L21" s="7">
        <v>0</v>
      </c>
      <c r="M21" s="7">
        <v>83</v>
      </c>
      <c r="N21" s="7">
        <v>0</v>
      </c>
      <c r="O21" s="7">
        <v>120</v>
      </c>
      <c r="P21" s="7">
        <v>0</v>
      </c>
      <c r="Q21" s="7">
        <v>12</v>
      </c>
      <c r="R21" s="7">
        <v>0</v>
      </c>
      <c r="S21" s="8">
        <v>98.6</v>
      </c>
      <c r="T21" s="7">
        <v>0</v>
      </c>
      <c r="U21" s="7">
        <v>99</v>
      </c>
      <c r="V21" s="7">
        <v>0</v>
      </c>
      <c r="W21" s="13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1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 t="s">
        <v>48</v>
      </c>
      <c r="AQ21" s="7" t="s">
        <v>48</v>
      </c>
      <c r="AR21" s="7">
        <v>0</v>
      </c>
      <c r="AS21" s="13" t="s">
        <v>48</v>
      </c>
      <c r="AT21" s="13" t="s">
        <v>48</v>
      </c>
      <c r="AU21" s="13" t="s">
        <v>48</v>
      </c>
      <c r="AV21" s="13" t="s">
        <v>48</v>
      </c>
      <c r="AW21" s="7" t="s">
        <v>48</v>
      </c>
      <c r="AX21" s="9">
        <f>4.06/4.39</f>
        <v>0.9248291571753986</v>
      </c>
      <c r="AY21" s="47">
        <v>0</v>
      </c>
      <c r="AZ21" s="2">
        <v>1</v>
      </c>
      <c r="BA21" s="2">
        <v>0</v>
      </c>
      <c r="BB21" s="9">
        <f>2.7/2.5</f>
        <v>1.08</v>
      </c>
      <c r="BC21" s="2">
        <v>2</v>
      </c>
      <c r="BD21" s="2">
        <v>0</v>
      </c>
      <c r="BE21" s="2">
        <v>0</v>
      </c>
      <c r="BF21" s="7">
        <v>0</v>
      </c>
      <c r="BG21" s="7" t="s">
        <v>48</v>
      </c>
      <c r="BH21" s="7">
        <v>0</v>
      </c>
      <c r="BI21" s="1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1" t="s">
        <v>48</v>
      </c>
      <c r="BQ21" s="1" t="s">
        <v>48</v>
      </c>
      <c r="BR21" s="7">
        <v>0</v>
      </c>
      <c r="BS21" s="7">
        <v>0</v>
      </c>
      <c r="BT21" s="7">
        <v>0</v>
      </c>
      <c r="BU21" s="7">
        <v>0</v>
      </c>
      <c r="BV21" s="2" t="s">
        <v>50</v>
      </c>
      <c r="BW21" s="10">
        <v>0</v>
      </c>
      <c r="BX21" s="7">
        <v>0</v>
      </c>
      <c r="BY21" s="7">
        <v>0</v>
      </c>
      <c r="BZ21" s="7">
        <v>0</v>
      </c>
      <c r="CA21" s="7">
        <v>0</v>
      </c>
      <c r="CB21" s="11" t="s">
        <v>54</v>
      </c>
    </row>
    <row r="22" spans="1:80" s="12" customFormat="1" x14ac:dyDescent="0.3">
      <c r="A22" s="1">
        <v>21</v>
      </c>
      <c r="B22" s="2">
        <v>63</v>
      </c>
      <c r="C22" s="3" t="s">
        <v>52</v>
      </c>
      <c r="D22" s="4" t="s">
        <v>47</v>
      </c>
      <c r="E22" s="3">
        <v>1</v>
      </c>
      <c r="F22" s="103">
        <v>152.4</v>
      </c>
      <c r="G22" s="6">
        <v>122</v>
      </c>
      <c r="H22" s="5">
        <f>G22/(('[1]Maya Nonsaddle'!G22/100)^2)</f>
        <v>52.527882833543437</v>
      </c>
      <c r="I22" s="7">
        <v>1</v>
      </c>
      <c r="J22" s="7">
        <v>4</v>
      </c>
      <c r="K22" s="7">
        <v>1</v>
      </c>
      <c r="L22" s="7">
        <v>0</v>
      </c>
      <c r="M22" s="7">
        <v>79</v>
      </c>
      <c r="N22" s="7">
        <v>0</v>
      </c>
      <c r="O22" s="7">
        <v>164</v>
      </c>
      <c r="P22" s="7">
        <v>0</v>
      </c>
      <c r="Q22" s="7">
        <v>20</v>
      </c>
      <c r="R22" s="7">
        <v>0</v>
      </c>
      <c r="S22" s="8">
        <v>97.5</v>
      </c>
      <c r="T22" s="7">
        <v>1</v>
      </c>
      <c r="U22" s="7" t="s">
        <v>48</v>
      </c>
      <c r="V22" s="11" t="s">
        <v>64</v>
      </c>
      <c r="W22" s="13">
        <v>0</v>
      </c>
      <c r="X22" s="7">
        <v>0</v>
      </c>
      <c r="Y22" s="7">
        <v>0</v>
      </c>
      <c r="Z22" s="7">
        <v>0</v>
      </c>
      <c r="AA22" s="7">
        <v>1</v>
      </c>
      <c r="AB22" s="7">
        <v>0</v>
      </c>
      <c r="AC22" s="7">
        <v>1</v>
      </c>
      <c r="AD22" s="7">
        <v>0</v>
      </c>
      <c r="AE22" s="7">
        <v>1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 t="s">
        <v>48</v>
      </c>
      <c r="AQ22" s="7" t="s">
        <v>48</v>
      </c>
      <c r="AR22" s="7">
        <v>0</v>
      </c>
      <c r="AS22" s="13" t="s">
        <v>48</v>
      </c>
      <c r="AT22" s="13" t="s">
        <v>48</v>
      </c>
      <c r="AU22" s="13" t="s">
        <v>48</v>
      </c>
      <c r="AV22" s="13" t="s">
        <v>48</v>
      </c>
      <c r="AW22" s="7" t="s">
        <v>48</v>
      </c>
      <c r="AX22" s="9">
        <f>3.94/4.54</f>
        <v>0.86784140969162993</v>
      </c>
      <c r="AY22" s="47">
        <v>1</v>
      </c>
      <c r="AZ22" s="2">
        <v>0</v>
      </c>
      <c r="BA22" s="2">
        <v>0</v>
      </c>
      <c r="BB22" s="9">
        <f>3.7/3.34</f>
        <v>1.1077844311377247</v>
      </c>
      <c r="BC22" s="2">
        <v>2</v>
      </c>
      <c r="BD22" s="2">
        <v>0</v>
      </c>
      <c r="BE22" s="2">
        <v>0</v>
      </c>
      <c r="BF22" s="7">
        <v>0</v>
      </c>
      <c r="BG22" s="7" t="s">
        <v>48</v>
      </c>
      <c r="BH22" s="7">
        <v>0</v>
      </c>
      <c r="BI22" s="1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1" t="s">
        <v>48</v>
      </c>
      <c r="BQ22" s="1" t="s">
        <v>48</v>
      </c>
      <c r="BR22" s="7">
        <v>0</v>
      </c>
      <c r="BS22" s="7">
        <v>0</v>
      </c>
      <c r="BT22" s="7">
        <v>0</v>
      </c>
      <c r="BU22" s="7">
        <v>0</v>
      </c>
      <c r="BV22" s="2" t="s">
        <v>50</v>
      </c>
      <c r="BW22" s="10">
        <v>0</v>
      </c>
      <c r="BX22" s="7">
        <v>1</v>
      </c>
      <c r="BY22" s="7">
        <v>1</v>
      </c>
      <c r="BZ22" s="7">
        <v>0</v>
      </c>
      <c r="CA22" s="7">
        <v>0</v>
      </c>
      <c r="CB22" s="11" t="s">
        <v>60</v>
      </c>
    </row>
    <row r="23" spans="1:80" s="12" customFormat="1" x14ac:dyDescent="0.3">
      <c r="A23" s="1">
        <v>22</v>
      </c>
      <c r="B23" s="2">
        <v>49</v>
      </c>
      <c r="C23" s="3" t="s">
        <v>52</v>
      </c>
      <c r="D23" s="4" t="s">
        <v>47</v>
      </c>
      <c r="E23" s="3">
        <v>0</v>
      </c>
      <c r="F23" s="103">
        <v>160</v>
      </c>
      <c r="G23" s="6">
        <v>109.1</v>
      </c>
      <c r="H23" s="5">
        <f>G23/(('[1]Maya Nonsaddle'!G23/100)^2)</f>
        <v>42.60653520047277</v>
      </c>
      <c r="I23" s="7">
        <v>0</v>
      </c>
      <c r="J23" s="7">
        <v>2</v>
      </c>
      <c r="K23" s="7">
        <v>1</v>
      </c>
      <c r="L23" s="7">
        <v>0</v>
      </c>
      <c r="M23" s="7">
        <v>82</v>
      </c>
      <c r="N23" s="7">
        <v>0</v>
      </c>
      <c r="O23" s="7">
        <v>138</v>
      </c>
      <c r="P23" s="7">
        <v>0</v>
      </c>
      <c r="Q23" s="7">
        <v>20</v>
      </c>
      <c r="R23" s="7">
        <v>0</v>
      </c>
      <c r="S23" s="8">
        <v>98.4</v>
      </c>
      <c r="T23" s="7">
        <v>0</v>
      </c>
      <c r="U23" s="7">
        <v>98</v>
      </c>
      <c r="V23" s="7">
        <v>0</v>
      </c>
      <c r="W23" s="13">
        <v>0</v>
      </c>
      <c r="X23" s="7">
        <v>0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1</v>
      </c>
      <c r="AM23" s="7">
        <v>0</v>
      </c>
      <c r="AN23" s="7">
        <v>0</v>
      </c>
      <c r="AO23" s="7">
        <v>1</v>
      </c>
      <c r="AP23" s="7">
        <v>1</v>
      </c>
      <c r="AQ23" s="7" t="s">
        <v>48</v>
      </c>
      <c r="AR23" s="7">
        <v>0</v>
      </c>
      <c r="AS23" s="13" t="s">
        <v>48</v>
      </c>
      <c r="AT23" s="13" t="s">
        <v>48</v>
      </c>
      <c r="AU23" s="13" t="s">
        <v>48</v>
      </c>
      <c r="AV23" s="13" t="s">
        <v>48</v>
      </c>
      <c r="AW23" s="7" t="s">
        <v>48</v>
      </c>
      <c r="AX23" s="9">
        <f>5.02/5.28</f>
        <v>0.95075757575757558</v>
      </c>
      <c r="AY23" s="47">
        <v>0</v>
      </c>
      <c r="AZ23" s="2">
        <v>0</v>
      </c>
      <c r="BA23" s="2">
        <v>1</v>
      </c>
      <c r="BB23" s="9">
        <f>2.63/3.19</f>
        <v>0.82445141065830718</v>
      </c>
      <c r="BC23" s="2">
        <v>2</v>
      </c>
      <c r="BD23" s="2">
        <v>0</v>
      </c>
      <c r="BE23" s="2">
        <v>0</v>
      </c>
      <c r="BF23" s="7">
        <v>0</v>
      </c>
      <c r="BG23" s="7" t="s">
        <v>48</v>
      </c>
      <c r="BH23" s="7">
        <v>0</v>
      </c>
      <c r="BI23" s="1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1" t="s">
        <v>48</v>
      </c>
      <c r="BQ23" s="1" t="s">
        <v>48</v>
      </c>
      <c r="BR23" s="7">
        <v>0</v>
      </c>
      <c r="BS23" s="7">
        <v>0</v>
      </c>
      <c r="BT23" s="7">
        <v>0</v>
      </c>
      <c r="BU23" s="7">
        <v>0</v>
      </c>
      <c r="BV23" s="2" t="s">
        <v>50</v>
      </c>
      <c r="BW23" s="10">
        <v>0</v>
      </c>
      <c r="BX23" s="7">
        <v>0</v>
      </c>
      <c r="BY23" s="7">
        <v>0</v>
      </c>
      <c r="BZ23" s="7">
        <v>0</v>
      </c>
      <c r="CA23" s="7">
        <v>0</v>
      </c>
      <c r="CB23" s="11" t="s">
        <v>65</v>
      </c>
    </row>
    <row r="24" spans="1:80" s="12" customFormat="1" x14ac:dyDescent="0.3">
      <c r="A24" s="1">
        <v>23</v>
      </c>
      <c r="B24" s="2">
        <v>68</v>
      </c>
      <c r="C24" s="3" t="s">
        <v>52</v>
      </c>
      <c r="D24" s="4" t="s">
        <v>47</v>
      </c>
      <c r="E24" s="3">
        <v>6</v>
      </c>
      <c r="F24" s="103">
        <v>167.6</v>
      </c>
      <c r="G24" s="6">
        <v>145.19999999999999</v>
      </c>
      <c r="H24" s="5">
        <f>G24/(('[1]Maya Nonsaddle'!G24/100)^2)</f>
        <v>51.666770000206661</v>
      </c>
      <c r="I24" s="7">
        <v>1</v>
      </c>
      <c r="J24" s="7">
        <v>4</v>
      </c>
      <c r="K24" s="7">
        <v>1</v>
      </c>
      <c r="L24" s="7">
        <v>0</v>
      </c>
      <c r="M24" s="7">
        <v>107</v>
      </c>
      <c r="N24" s="7">
        <v>0</v>
      </c>
      <c r="O24" s="7">
        <v>165</v>
      </c>
      <c r="P24" s="7">
        <v>0</v>
      </c>
      <c r="Q24" s="7">
        <v>20</v>
      </c>
      <c r="R24" s="7">
        <v>0</v>
      </c>
      <c r="S24" s="8">
        <v>98.6</v>
      </c>
      <c r="T24" s="7">
        <v>0</v>
      </c>
      <c r="U24" s="7">
        <v>96</v>
      </c>
      <c r="V24" s="7">
        <v>1</v>
      </c>
      <c r="W24" s="13">
        <v>0</v>
      </c>
      <c r="X24" s="7">
        <v>0</v>
      </c>
      <c r="Y24" s="7">
        <v>0</v>
      </c>
      <c r="Z24" s="7">
        <v>0</v>
      </c>
      <c r="AA24" s="7">
        <v>1</v>
      </c>
      <c r="AB24" s="7">
        <v>0</v>
      </c>
      <c r="AC24" s="7">
        <v>1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1</v>
      </c>
      <c r="AL24" s="7">
        <v>0</v>
      </c>
      <c r="AM24" s="7">
        <v>0</v>
      </c>
      <c r="AN24" s="7">
        <v>0</v>
      </c>
      <c r="AO24" s="7">
        <v>1</v>
      </c>
      <c r="AP24" s="7">
        <v>1</v>
      </c>
      <c r="AQ24" s="7" t="s">
        <v>48</v>
      </c>
      <c r="AR24" s="7">
        <v>0</v>
      </c>
      <c r="AS24" s="13">
        <v>0</v>
      </c>
      <c r="AT24" s="13">
        <v>0</v>
      </c>
      <c r="AU24" s="13">
        <v>0</v>
      </c>
      <c r="AV24" s="13">
        <v>1</v>
      </c>
      <c r="AW24" s="7">
        <v>31</v>
      </c>
      <c r="AX24" s="9">
        <f>4.56/5.03</f>
        <v>0.9065606361829025</v>
      </c>
      <c r="AY24" s="47">
        <v>0</v>
      </c>
      <c r="AZ24" s="2">
        <v>1</v>
      </c>
      <c r="BA24" s="2">
        <v>0</v>
      </c>
      <c r="BB24" s="9">
        <f>3.56/3.64</f>
        <v>0.97802197802197799</v>
      </c>
      <c r="BC24" s="2">
        <v>1</v>
      </c>
      <c r="BD24" s="2">
        <v>0</v>
      </c>
      <c r="BE24" s="2">
        <v>1</v>
      </c>
      <c r="BF24" s="7">
        <v>1</v>
      </c>
      <c r="BG24" s="7" t="s">
        <v>66</v>
      </c>
      <c r="BH24" s="7">
        <v>0</v>
      </c>
      <c r="BI24" s="1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1" t="s">
        <v>48</v>
      </c>
      <c r="BQ24" s="1" t="s">
        <v>48</v>
      </c>
      <c r="BR24" s="7">
        <v>0</v>
      </c>
      <c r="BS24" s="7">
        <v>0</v>
      </c>
      <c r="BT24" s="7">
        <v>0</v>
      </c>
      <c r="BU24" s="7">
        <v>0</v>
      </c>
      <c r="BV24" s="2" t="s">
        <v>50</v>
      </c>
      <c r="BW24" s="10">
        <v>0</v>
      </c>
      <c r="BX24" s="7">
        <v>0</v>
      </c>
      <c r="BY24" s="7">
        <v>1</v>
      </c>
      <c r="BZ24" s="7">
        <v>0</v>
      </c>
      <c r="CA24" s="7">
        <v>0</v>
      </c>
      <c r="CB24" s="11" t="s">
        <v>55</v>
      </c>
    </row>
    <row r="25" spans="1:80" s="18" customFormat="1" x14ac:dyDescent="0.3">
      <c r="A25" s="1">
        <v>24</v>
      </c>
      <c r="B25" s="2">
        <v>52</v>
      </c>
      <c r="C25" s="2" t="s">
        <v>46</v>
      </c>
      <c r="D25" s="14" t="s">
        <v>47</v>
      </c>
      <c r="E25" s="2">
        <v>3</v>
      </c>
      <c r="F25" s="103">
        <v>188</v>
      </c>
      <c r="G25" s="15">
        <v>106.6</v>
      </c>
      <c r="H25" s="5">
        <f>G25/(('[1]Maya Nonsaddle'!G25/100)^2)</f>
        <v>30.173544642195196</v>
      </c>
      <c r="I25" s="10">
        <v>0</v>
      </c>
      <c r="J25" s="10">
        <v>2</v>
      </c>
      <c r="K25" s="10">
        <v>4</v>
      </c>
      <c r="L25" s="10">
        <v>0</v>
      </c>
      <c r="M25" s="10">
        <v>74</v>
      </c>
      <c r="N25" s="10">
        <v>0</v>
      </c>
      <c r="O25" s="10">
        <v>139</v>
      </c>
      <c r="P25" s="10">
        <v>0</v>
      </c>
      <c r="Q25" s="10">
        <v>20</v>
      </c>
      <c r="R25" s="10">
        <v>0</v>
      </c>
      <c r="S25" s="16">
        <v>97.7</v>
      </c>
      <c r="T25" s="10">
        <v>0</v>
      </c>
      <c r="U25" s="10">
        <v>97</v>
      </c>
      <c r="V25" s="10">
        <v>1</v>
      </c>
      <c r="W25" s="13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1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 t="s">
        <v>48</v>
      </c>
      <c r="AP25" s="10" t="s">
        <v>48</v>
      </c>
      <c r="AQ25" s="10" t="s">
        <v>48</v>
      </c>
      <c r="AR25" s="10" t="s">
        <v>48</v>
      </c>
      <c r="AS25" s="13" t="s">
        <v>48</v>
      </c>
      <c r="AT25" s="13" t="s">
        <v>48</v>
      </c>
      <c r="AU25" s="13" t="s">
        <v>48</v>
      </c>
      <c r="AV25" s="13" t="s">
        <v>48</v>
      </c>
      <c r="AW25" s="10" t="s">
        <v>48</v>
      </c>
      <c r="AX25" s="9">
        <f>5/5.08</f>
        <v>0.98425196850393704</v>
      </c>
      <c r="AY25" s="47">
        <v>0</v>
      </c>
      <c r="AZ25" s="2">
        <v>0</v>
      </c>
      <c r="BA25" s="2">
        <v>1</v>
      </c>
      <c r="BB25" s="9">
        <f>3.15/3.39</f>
        <v>0.92920353982300874</v>
      </c>
      <c r="BC25" s="2">
        <v>1</v>
      </c>
      <c r="BD25" s="2">
        <v>0</v>
      </c>
      <c r="BE25" s="2">
        <v>0</v>
      </c>
      <c r="BF25" s="10">
        <v>0</v>
      </c>
      <c r="BG25" s="10" t="s">
        <v>48</v>
      </c>
      <c r="BH25" s="10">
        <v>0</v>
      </c>
      <c r="BI25" s="1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3" t="s">
        <v>48</v>
      </c>
      <c r="BQ25" s="13" t="s">
        <v>48</v>
      </c>
      <c r="BR25" s="10">
        <v>0</v>
      </c>
      <c r="BS25" s="10">
        <v>0</v>
      </c>
      <c r="BT25" s="7">
        <v>0</v>
      </c>
      <c r="BU25" s="10">
        <v>0</v>
      </c>
      <c r="BV25" s="2" t="s">
        <v>50</v>
      </c>
      <c r="BW25" s="10">
        <v>0</v>
      </c>
      <c r="BX25" s="10">
        <v>0</v>
      </c>
      <c r="BY25" s="10">
        <v>1</v>
      </c>
      <c r="BZ25" s="10">
        <v>0</v>
      </c>
      <c r="CA25" s="10">
        <v>0</v>
      </c>
      <c r="CB25" s="17" t="s">
        <v>61</v>
      </c>
    </row>
    <row r="26" spans="1:80" s="12" customFormat="1" x14ac:dyDescent="0.3">
      <c r="A26" s="1">
        <v>25</v>
      </c>
      <c r="B26" s="2">
        <v>58</v>
      </c>
      <c r="C26" s="3" t="s">
        <v>46</v>
      </c>
      <c r="D26" s="4" t="s">
        <v>47</v>
      </c>
      <c r="E26" s="3">
        <v>1</v>
      </c>
      <c r="F26" s="103">
        <v>152.4</v>
      </c>
      <c r="G26" s="6">
        <v>103.9</v>
      </c>
      <c r="H26" s="5">
        <f>G26/(('[1]Maya Nonsaddle'!G26/100)^2)</f>
        <v>44.734811691845607</v>
      </c>
      <c r="I26" s="7">
        <v>0</v>
      </c>
      <c r="J26" s="7">
        <v>2</v>
      </c>
      <c r="K26" s="7">
        <v>1</v>
      </c>
      <c r="L26" s="7">
        <v>0</v>
      </c>
      <c r="M26" s="7">
        <v>67</v>
      </c>
      <c r="N26" s="7">
        <v>0</v>
      </c>
      <c r="O26" s="7">
        <v>132</v>
      </c>
      <c r="P26" s="7">
        <v>0</v>
      </c>
      <c r="Q26" s="7">
        <v>16</v>
      </c>
      <c r="R26" s="7">
        <v>0</v>
      </c>
      <c r="S26" s="8">
        <v>97.8</v>
      </c>
      <c r="T26" s="7">
        <v>0</v>
      </c>
      <c r="U26" s="7">
        <v>98</v>
      </c>
      <c r="V26" s="7">
        <v>1</v>
      </c>
      <c r="W26" s="13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  <c r="AJ26" s="7">
        <v>0</v>
      </c>
      <c r="AK26" s="7">
        <v>1</v>
      </c>
      <c r="AL26" s="7">
        <v>0</v>
      </c>
      <c r="AM26" s="7">
        <v>0</v>
      </c>
      <c r="AN26" s="7">
        <v>0</v>
      </c>
      <c r="AO26" s="7" t="s">
        <v>48</v>
      </c>
      <c r="AP26" s="7" t="s">
        <v>48</v>
      </c>
      <c r="AQ26" s="7" t="s">
        <v>48</v>
      </c>
      <c r="AR26" s="7">
        <v>0</v>
      </c>
      <c r="AS26" s="13" t="s">
        <v>48</v>
      </c>
      <c r="AT26" s="13" t="s">
        <v>48</v>
      </c>
      <c r="AU26" s="13" t="s">
        <v>48</v>
      </c>
      <c r="AV26" s="13" t="s">
        <v>48</v>
      </c>
      <c r="AW26" s="7" t="s">
        <v>48</v>
      </c>
      <c r="AX26" s="9">
        <f>5.32/4.93</f>
        <v>1.079107505070994</v>
      </c>
      <c r="AY26" s="47">
        <v>0</v>
      </c>
      <c r="AZ26" s="2">
        <v>0</v>
      </c>
      <c r="BA26" s="2">
        <v>1</v>
      </c>
      <c r="BB26" s="9">
        <f>3/3.69</f>
        <v>0.81300813008130079</v>
      </c>
      <c r="BC26" s="2">
        <v>2</v>
      </c>
      <c r="BD26" s="2">
        <v>0</v>
      </c>
      <c r="BE26" s="2">
        <v>0</v>
      </c>
      <c r="BF26" s="7">
        <v>0</v>
      </c>
      <c r="BG26" s="7" t="s">
        <v>48</v>
      </c>
      <c r="BH26" s="7">
        <v>0</v>
      </c>
      <c r="BI26" s="1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1" t="s">
        <v>48</v>
      </c>
      <c r="BQ26" s="1" t="s">
        <v>48</v>
      </c>
      <c r="BR26" s="7">
        <v>0</v>
      </c>
      <c r="BS26" s="7">
        <v>0</v>
      </c>
      <c r="BT26" s="7">
        <v>0</v>
      </c>
      <c r="BU26" s="7">
        <v>0</v>
      </c>
      <c r="BV26" s="2" t="s">
        <v>50</v>
      </c>
      <c r="BW26" s="10">
        <v>0</v>
      </c>
      <c r="BX26" s="7">
        <v>0</v>
      </c>
      <c r="BY26" s="7">
        <v>0</v>
      </c>
      <c r="BZ26" s="7">
        <v>0</v>
      </c>
      <c r="CA26" s="7">
        <v>0</v>
      </c>
      <c r="CB26" s="11" t="s">
        <v>67</v>
      </c>
    </row>
    <row r="27" spans="1:80" s="12" customFormat="1" x14ac:dyDescent="0.3">
      <c r="A27" s="1">
        <v>26</v>
      </c>
      <c r="B27" s="2">
        <v>73</v>
      </c>
      <c r="C27" s="3" t="s">
        <v>46</v>
      </c>
      <c r="D27" s="4" t="s">
        <v>47</v>
      </c>
      <c r="E27" s="3">
        <v>5</v>
      </c>
      <c r="F27" s="103">
        <v>182.9</v>
      </c>
      <c r="G27" s="6">
        <v>106.6</v>
      </c>
      <c r="H27" s="5">
        <f>G27/(('[1]Maya Nonsaddle'!G27/100)^2)</f>
        <v>31.873134733923788</v>
      </c>
      <c r="I27" s="7">
        <v>1</v>
      </c>
      <c r="J27" s="7">
        <v>3</v>
      </c>
      <c r="K27" s="7">
        <v>2</v>
      </c>
      <c r="L27" s="7">
        <v>1</v>
      </c>
      <c r="M27" s="7">
        <v>130</v>
      </c>
      <c r="N27" s="7">
        <v>0</v>
      </c>
      <c r="O27" s="7">
        <v>122</v>
      </c>
      <c r="P27" s="7">
        <v>0</v>
      </c>
      <c r="Q27" s="7">
        <v>22</v>
      </c>
      <c r="R27" s="7">
        <v>0</v>
      </c>
      <c r="S27" s="8">
        <v>97.1</v>
      </c>
      <c r="T27" s="7">
        <v>0</v>
      </c>
      <c r="U27" s="7">
        <v>93</v>
      </c>
      <c r="V27" s="7">
        <v>1</v>
      </c>
      <c r="W27" s="13">
        <v>0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1</v>
      </c>
      <c r="AP27" s="7">
        <v>1</v>
      </c>
      <c r="AQ27" s="7">
        <v>0</v>
      </c>
      <c r="AR27" s="7">
        <v>0</v>
      </c>
      <c r="AS27" s="13">
        <v>1</v>
      </c>
      <c r="AT27" s="13">
        <v>0</v>
      </c>
      <c r="AU27" s="13">
        <v>0</v>
      </c>
      <c r="AV27" s="13">
        <v>0</v>
      </c>
      <c r="AW27" s="7" t="s">
        <v>192</v>
      </c>
      <c r="AX27" s="9">
        <f>4.95/3.93</f>
        <v>1.2595419847328244</v>
      </c>
      <c r="AY27" s="47">
        <v>0</v>
      </c>
      <c r="AZ27" s="2">
        <v>0</v>
      </c>
      <c r="BA27" s="2">
        <v>1</v>
      </c>
      <c r="BB27" s="9">
        <f>3.11/3.62</f>
        <v>0.85911602209944748</v>
      </c>
      <c r="BC27" s="2">
        <v>3</v>
      </c>
      <c r="BD27" s="2">
        <v>1</v>
      </c>
      <c r="BE27" s="2">
        <v>1</v>
      </c>
      <c r="BF27" s="7">
        <v>0</v>
      </c>
      <c r="BG27" s="7" t="s">
        <v>48</v>
      </c>
      <c r="BH27" s="7">
        <v>1</v>
      </c>
      <c r="BI27" s="1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1</v>
      </c>
      <c r="BP27" s="1">
        <v>1</v>
      </c>
      <c r="BQ27" s="1">
        <v>1</v>
      </c>
      <c r="BR27" s="7">
        <v>0</v>
      </c>
      <c r="BS27" s="7">
        <v>0</v>
      </c>
      <c r="BT27" s="7">
        <v>0</v>
      </c>
      <c r="BU27" s="7">
        <v>0</v>
      </c>
      <c r="BV27" s="2" t="s">
        <v>50</v>
      </c>
      <c r="BW27" s="10">
        <v>0</v>
      </c>
      <c r="BX27" s="7">
        <v>0</v>
      </c>
      <c r="BY27" s="7">
        <v>0</v>
      </c>
      <c r="BZ27" s="7">
        <v>0</v>
      </c>
      <c r="CA27" s="7">
        <v>0</v>
      </c>
      <c r="CB27" s="11" t="s">
        <v>54</v>
      </c>
    </row>
    <row r="28" spans="1:80" s="12" customFormat="1" x14ac:dyDescent="0.3">
      <c r="A28" s="1">
        <v>27</v>
      </c>
      <c r="B28" s="2">
        <v>40</v>
      </c>
      <c r="C28" s="3" t="s">
        <v>52</v>
      </c>
      <c r="D28" s="4" t="s">
        <v>53</v>
      </c>
      <c r="E28" s="3">
        <v>4</v>
      </c>
      <c r="F28" s="103">
        <v>175.3</v>
      </c>
      <c r="G28" s="6">
        <v>140.19999999999999</v>
      </c>
      <c r="H28" s="5">
        <f>G28/(('[1]Maya Nonsaddle'!G28/100)^2)</f>
        <v>45.643863604467384</v>
      </c>
      <c r="I28" s="7">
        <v>1</v>
      </c>
      <c r="J28" s="7">
        <v>1</v>
      </c>
      <c r="K28" s="7">
        <v>2</v>
      </c>
      <c r="L28" s="7">
        <v>0</v>
      </c>
      <c r="M28" s="7">
        <v>82</v>
      </c>
      <c r="N28" s="7">
        <v>0</v>
      </c>
      <c r="O28" s="7">
        <v>178</v>
      </c>
      <c r="P28" s="7">
        <v>0</v>
      </c>
      <c r="Q28" s="7">
        <v>20</v>
      </c>
      <c r="R28" s="7">
        <v>0</v>
      </c>
      <c r="S28" s="8">
        <v>97.7</v>
      </c>
      <c r="T28" s="7">
        <v>0</v>
      </c>
      <c r="U28" s="7">
        <v>99</v>
      </c>
      <c r="V28" s="7">
        <v>1</v>
      </c>
      <c r="W28" s="13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1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1</v>
      </c>
      <c r="AL28" s="7">
        <v>0</v>
      </c>
      <c r="AM28" s="7">
        <v>0</v>
      </c>
      <c r="AN28" s="7">
        <v>0</v>
      </c>
      <c r="AO28" s="7">
        <v>0</v>
      </c>
      <c r="AP28" s="7" t="s">
        <v>48</v>
      </c>
      <c r="AQ28" s="7">
        <v>1</v>
      </c>
      <c r="AR28" s="7">
        <v>0</v>
      </c>
      <c r="AS28" s="13">
        <v>1</v>
      </c>
      <c r="AT28" s="13">
        <v>1</v>
      </c>
      <c r="AU28" s="13">
        <v>1</v>
      </c>
      <c r="AV28" s="13">
        <v>0</v>
      </c>
      <c r="AW28" s="7" t="s">
        <v>192</v>
      </c>
      <c r="AX28" s="9">
        <f>2.12/5.26</f>
        <v>0.40304182509505709</v>
      </c>
      <c r="AY28" s="47">
        <v>0</v>
      </c>
      <c r="AZ28" s="2">
        <v>0</v>
      </c>
      <c r="BA28" s="2">
        <v>0</v>
      </c>
      <c r="BB28" s="9">
        <f>3.27/3.51</f>
        <v>0.93162393162393164</v>
      </c>
      <c r="BC28" s="2">
        <v>1</v>
      </c>
      <c r="BD28" s="2">
        <v>0</v>
      </c>
      <c r="BE28" s="2">
        <v>0</v>
      </c>
      <c r="BF28" s="7">
        <v>0</v>
      </c>
      <c r="BG28" s="7" t="s">
        <v>48</v>
      </c>
      <c r="BH28" s="7">
        <v>0</v>
      </c>
      <c r="BI28" s="1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1" t="s">
        <v>48</v>
      </c>
      <c r="BQ28" s="1" t="s">
        <v>48</v>
      </c>
      <c r="BR28" s="7">
        <v>0</v>
      </c>
      <c r="BS28" s="7">
        <v>0</v>
      </c>
      <c r="BT28" s="7">
        <v>0</v>
      </c>
      <c r="BU28" s="7">
        <v>0</v>
      </c>
      <c r="BV28" s="2" t="s">
        <v>50</v>
      </c>
      <c r="BW28" s="10">
        <v>0</v>
      </c>
      <c r="BX28" s="7">
        <v>0</v>
      </c>
      <c r="BY28" s="7">
        <v>1</v>
      </c>
      <c r="BZ28" s="7">
        <v>0</v>
      </c>
      <c r="CA28" s="7">
        <v>0</v>
      </c>
      <c r="CB28" s="11" t="s">
        <v>55</v>
      </c>
    </row>
    <row r="29" spans="1:80" s="12" customFormat="1" x14ac:dyDescent="0.3">
      <c r="A29" s="1">
        <v>28</v>
      </c>
      <c r="B29" s="2">
        <v>32</v>
      </c>
      <c r="C29" s="3" t="s">
        <v>52</v>
      </c>
      <c r="D29" s="4" t="s">
        <v>53</v>
      </c>
      <c r="E29" s="3">
        <v>3</v>
      </c>
      <c r="F29" s="103">
        <v>157.5</v>
      </c>
      <c r="G29" s="6">
        <v>96</v>
      </c>
      <c r="H29" s="5">
        <f>G29/(('[1]Maya Nonsaddle'!G29/100)^2)</f>
        <v>38.709754838864519</v>
      </c>
      <c r="I29" s="7">
        <v>0</v>
      </c>
      <c r="J29" s="7">
        <v>1</v>
      </c>
      <c r="K29" s="7">
        <v>1</v>
      </c>
      <c r="L29" s="7">
        <v>0</v>
      </c>
      <c r="M29" s="7">
        <v>80</v>
      </c>
      <c r="N29" s="7">
        <v>0</v>
      </c>
      <c r="O29" s="7">
        <v>143</v>
      </c>
      <c r="P29" s="7">
        <v>0</v>
      </c>
      <c r="Q29" s="7">
        <v>16</v>
      </c>
      <c r="R29" s="7">
        <v>0</v>
      </c>
      <c r="S29" s="8">
        <v>98.3</v>
      </c>
      <c r="T29" s="7">
        <v>0</v>
      </c>
      <c r="U29" s="7">
        <v>100</v>
      </c>
      <c r="V29" s="7">
        <v>0</v>
      </c>
      <c r="W29" s="13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1</v>
      </c>
      <c r="AF29" s="7">
        <v>1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 t="s">
        <v>48</v>
      </c>
      <c r="AQ29" s="7" t="s">
        <v>48</v>
      </c>
      <c r="AR29" s="7" t="s">
        <v>48</v>
      </c>
      <c r="AS29" s="13">
        <v>0</v>
      </c>
      <c r="AT29" s="13">
        <v>0</v>
      </c>
      <c r="AU29" s="13">
        <v>0</v>
      </c>
      <c r="AV29" s="13">
        <v>0</v>
      </c>
      <c r="AW29" s="7" t="s">
        <v>192</v>
      </c>
      <c r="AX29" s="9">
        <f>3.82/4.06</f>
        <v>0.94088669950738923</v>
      </c>
      <c r="AY29" s="47">
        <v>0</v>
      </c>
      <c r="AZ29" s="2">
        <v>1</v>
      </c>
      <c r="BA29" s="2">
        <v>0</v>
      </c>
      <c r="BB29" s="9">
        <f>2.67/2.6</f>
        <v>1.0269230769230768</v>
      </c>
      <c r="BC29" s="2">
        <v>1</v>
      </c>
      <c r="BD29" s="2">
        <v>0</v>
      </c>
      <c r="BE29" s="2">
        <v>0</v>
      </c>
      <c r="BF29" s="7">
        <v>0</v>
      </c>
      <c r="BG29" s="7" t="s">
        <v>48</v>
      </c>
      <c r="BH29" s="7">
        <v>0</v>
      </c>
      <c r="BI29" s="1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1" t="s">
        <v>48</v>
      </c>
      <c r="BQ29" s="1" t="s">
        <v>48</v>
      </c>
      <c r="BR29" s="7">
        <v>1</v>
      </c>
      <c r="BS29" s="7" t="s">
        <v>68</v>
      </c>
      <c r="BT29" s="7">
        <v>1</v>
      </c>
      <c r="BU29" s="7">
        <v>0</v>
      </c>
      <c r="BV29" s="2" t="s">
        <v>50</v>
      </c>
      <c r="BW29" s="10">
        <v>0</v>
      </c>
      <c r="BX29" s="7">
        <v>0</v>
      </c>
      <c r="BY29" s="7">
        <v>1</v>
      </c>
      <c r="BZ29" s="7">
        <v>0</v>
      </c>
      <c r="CA29" s="7">
        <v>0</v>
      </c>
      <c r="CB29" s="11" t="s">
        <v>69</v>
      </c>
    </row>
    <row r="30" spans="1:80" s="12" customFormat="1" x14ac:dyDescent="0.3">
      <c r="A30" s="1">
        <v>29</v>
      </c>
      <c r="B30" s="2">
        <v>63</v>
      </c>
      <c r="C30" s="3" t="s">
        <v>52</v>
      </c>
      <c r="D30" s="4" t="s">
        <v>47</v>
      </c>
      <c r="E30" s="3">
        <v>2</v>
      </c>
      <c r="F30" s="103">
        <v>172.7</v>
      </c>
      <c r="G30" s="6">
        <v>78</v>
      </c>
      <c r="H30" s="5">
        <f>G30/(('[1]Maya Nonsaddle'!G30/100)^2)</f>
        <v>26.146246064118422</v>
      </c>
      <c r="I30" s="7">
        <v>1</v>
      </c>
      <c r="J30" s="7">
        <v>3</v>
      </c>
      <c r="K30" s="7">
        <v>1</v>
      </c>
      <c r="L30" s="7">
        <v>0</v>
      </c>
      <c r="M30" s="7">
        <v>109</v>
      </c>
      <c r="N30" s="7">
        <v>0</v>
      </c>
      <c r="O30" s="7">
        <v>114</v>
      </c>
      <c r="P30" s="7">
        <v>0</v>
      </c>
      <c r="Q30" s="7">
        <v>20</v>
      </c>
      <c r="R30" s="7">
        <v>0</v>
      </c>
      <c r="S30" s="8">
        <v>98.5</v>
      </c>
      <c r="T30" s="7">
        <v>0</v>
      </c>
      <c r="U30" s="7">
        <v>92</v>
      </c>
      <c r="V30" s="7">
        <v>1</v>
      </c>
      <c r="W30" s="13">
        <v>0</v>
      </c>
      <c r="X30" s="7">
        <v>0</v>
      </c>
      <c r="Y30" s="7">
        <v>0</v>
      </c>
      <c r="Z30" s="7">
        <v>1</v>
      </c>
      <c r="AA30" s="7">
        <v>1</v>
      </c>
      <c r="AB30" s="7">
        <v>0</v>
      </c>
      <c r="AC30" s="7">
        <v>0</v>
      </c>
      <c r="AD30" s="7">
        <v>0</v>
      </c>
      <c r="AE30" s="7">
        <v>0</v>
      </c>
      <c r="AF30" s="7">
        <v>1</v>
      </c>
      <c r="AG30" s="7">
        <v>0</v>
      </c>
      <c r="AH30" s="7">
        <v>0</v>
      </c>
      <c r="AI30" s="7">
        <v>0</v>
      </c>
      <c r="AJ30" s="7">
        <v>0</v>
      </c>
      <c r="AK30" s="7">
        <v>1</v>
      </c>
      <c r="AL30" s="7">
        <v>1</v>
      </c>
      <c r="AM30" s="7">
        <v>0</v>
      </c>
      <c r="AN30" s="7">
        <v>0</v>
      </c>
      <c r="AO30" s="7" t="s">
        <v>48</v>
      </c>
      <c r="AP30" s="7" t="s">
        <v>48</v>
      </c>
      <c r="AQ30" s="7">
        <v>0</v>
      </c>
      <c r="AR30" s="7">
        <v>0</v>
      </c>
      <c r="AS30" s="13">
        <v>0</v>
      </c>
      <c r="AT30" s="13">
        <v>0</v>
      </c>
      <c r="AU30" s="13">
        <v>0</v>
      </c>
      <c r="AV30" s="13">
        <v>0</v>
      </c>
      <c r="AW30" s="7">
        <v>35.5</v>
      </c>
      <c r="AX30" s="9">
        <f>3.99/4.68</f>
        <v>0.85256410256410264</v>
      </c>
      <c r="AY30" s="47">
        <v>1</v>
      </c>
      <c r="AZ30" s="2">
        <v>0</v>
      </c>
      <c r="BA30" s="2">
        <v>0</v>
      </c>
      <c r="BB30" s="9">
        <f>3.26/3.35</f>
        <v>0.9731343283582089</v>
      </c>
      <c r="BC30" s="2">
        <v>1</v>
      </c>
      <c r="BD30" s="2">
        <v>0</v>
      </c>
      <c r="BE30" s="2">
        <v>1</v>
      </c>
      <c r="BF30" s="7">
        <v>0</v>
      </c>
      <c r="BG30" s="7" t="s">
        <v>48</v>
      </c>
      <c r="BH30" s="7">
        <v>0</v>
      </c>
      <c r="BI30" s="1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1" t="s">
        <v>48</v>
      </c>
      <c r="BQ30" s="1" t="s">
        <v>48</v>
      </c>
      <c r="BR30" s="7">
        <v>0</v>
      </c>
      <c r="BS30" s="7">
        <v>0</v>
      </c>
      <c r="BT30" s="7">
        <v>0</v>
      </c>
      <c r="BU30" s="7">
        <v>0</v>
      </c>
      <c r="BV30" s="2" t="s">
        <v>50</v>
      </c>
      <c r="BW30" s="10">
        <v>0</v>
      </c>
      <c r="BX30" s="7">
        <v>0</v>
      </c>
      <c r="BY30" s="7">
        <v>0</v>
      </c>
      <c r="BZ30" s="7">
        <v>0</v>
      </c>
      <c r="CA30" s="7">
        <v>0</v>
      </c>
      <c r="CB30" s="11" t="s">
        <v>60</v>
      </c>
    </row>
    <row r="31" spans="1:80" s="12" customFormat="1" x14ac:dyDescent="0.3">
      <c r="A31" s="1">
        <v>30</v>
      </c>
      <c r="B31" s="2">
        <v>46</v>
      </c>
      <c r="C31" s="3" t="s">
        <v>52</v>
      </c>
      <c r="D31" s="4" t="s">
        <v>53</v>
      </c>
      <c r="E31" s="3">
        <v>1</v>
      </c>
      <c r="F31" s="103">
        <v>160</v>
      </c>
      <c r="G31" s="8">
        <v>122.1</v>
      </c>
      <c r="H31" s="5">
        <f>G31/(('[1]Maya Nonsaddle'!G31/100)^2)</f>
        <v>47.683390907220208</v>
      </c>
      <c r="I31" s="7">
        <v>1</v>
      </c>
      <c r="J31" s="7">
        <v>2</v>
      </c>
      <c r="K31" s="7">
        <v>1</v>
      </c>
      <c r="L31" s="7">
        <v>0</v>
      </c>
      <c r="M31" s="7">
        <v>84</v>
      </c>
      <c r="N31" s="7">
        <v>0</v>
      </c>
      <c r="O31" s="7">
        <v>125</v>
      </c>
      <c r="P31" s="7">
        <v>0</v>
      </c>
      <c r="Q31" s="7">
        <v>16</v>
      </c>
      <c r="R31" s="7">
        <v>0</v>
      </c>
      <c r="S31" s="8">
        <v>98.9</v>
      </c>
      <c r="T31" s="7">
        <v>0</v>
      </c>
      <c r="U31" s="7">
        <v>97</v>
      </c>
      <c r="V31" s="7">
        <v>0</v>
      </c>
      <c r="W31" s="13">
        <v>0</v>
      </c>
      <c r="X31" s="7">
        <v>0</v>
      </c>
      <c r="Y31" s="7">
        <v>0</v>
      </c>
      <c r="Z31" s="7">
        <v>1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 t="s">
        <v>48</v>
      </c>
      <c r="AQ31" s="7" t="s">
        <v>48</v>
      </c>
      <c r="AR31" s="7">
        <v>0</v>
      </c>
      <c r="AS31" s="13" t="s">
        <v>48</v>
      </c>
      <c r="AT31" s="13" t="s">
        <v>48</v>
      </c>
      <c r="AU31" s="13" t="s">
        <v>48</v>
      </c>
      <c r="AV31" s="13" t="s">
        <v>48</v>
      </c>
      <c r="AW31" s="7" t="s">
        <v>48</v>
      </c>
      <c r="AX31" s="9">
        <f>4.01/5.34</f>
        <v>0.75093632958801493</v>
      </c>
      <c r="AY31" s="47">
        <v>0</v>
      </c>
      <c r="AZ31" s="2">
        <v>0</v>
      </c>
      <c r="BA31" s="2">
        <v>0</v>
      </c>
      <c r="BB31" s="9">
        <f>2.72/2.06</f>
        <v>1.3203883495145632</v>
      </c>
      <c r="BC31" s="2">
        <v>2</v>
      </c>
      <c r="BD31" s="2">
        <v>0</v>
      </c>
      <c r="BE31" s="2">
        <v>0</v>
      </c>
      <c r="BF31" s="7">
        <v>0</v>
      </c>
      <c r="BG31" s="7" t="s">
        <v>48</v>
      </c>
      <c r="BH31" s="7">
        <v>0</v>
      </c>
      <c r="BI31" s="1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1" t="s">
        <v>48</v>
      </c>
      <c r="BQ31" s="1" t="s">
        <v>48</v>
      </c>
      <c r="BR31" s="7">
        <v>0</v>
      </c>
      <c r="BS31" s="7">
        <v>0</v>
      </c>
      <c r="BT31" s="7">
        <v>0</v>
      </c>
      <c r="BU31" s="7">
        <v>0</v>
      </c>
      <c r="BV31" s="2" t="s">
        <v>50</v>
      </c>
      <c r="BW31" s="10">
        <v>0</v>
      </c>
      <c r="BX31" s="7">
        <v>0</v>
      </c>
      <c r="BY31" s="7">
        <v>1</v>
      </c>
      <c r="BZ31" s="7">
        <v>0</v>
      </c>
      <c r="CA31" s="7">
        <v>0</v>
      </c>
      <c r="CB31" s="11" t="s">
        <v>60</v>
      </c>
    </row>
    <row r="32" spans="1:80" s="12" customFormat="1" x14ac:dyDescent="0.3">
      <c r="A32" s="1">
        <v>31</v>
      </c>
      <c r="B32" s="2">
        <v>77</v>
      </c>
      <c r="C32" s="3" t="s">
        <v>52</v>
      </c>
      <c r="D32" s="4" t="s">
        <v>53</v>
      </c>
      <c r="E32" s="3">
        <v>4</v>
      </c>
      <c r="F32" s="103">
        <v>175.3</v>
      </c>
      <c r="G32" s="6">
        <v>81.599999999999994</v>
      </c>
      <c r="H32" s="5">
        <f>G32/(('[1]Maya Nonsaddle'!G32/100)^2)</f>
        <v>26.565900642828382</v>
      </c>
      <c r="I32" s="7">
        <v>1</v>
      </c>
      <c r="J32" s="7">
        <v>5</v>
      </c>
      <c r="K32" s="7">
        <v>2</v>
      </c>
      <c r="L32" s="7">
        <v>0</v>
      </c>
      <c r="M32" s="7">
        <v>105</v>
      </c>
      <c r="N32" s="7">
        <v>0</v>
      </c>
      <c r="O32" s="7">
        <v>115</v>
      </c>
      <c r="P32" s="7">
        <v>0</v>
      </c>
      <c r="Q32" s="7">
        <v>20</v>
      </c>
      <c r="R32" s="7">
        <v>0</v>
      </c>
      <c r="S32" s="8">
        <v>98.6</v>
      </c>
      <c r="T32" s="7">
        <v>1</v>
      </c>
      <c r="U32" s="7">
        <v>88</v>
      </c>
      <c r="V32" s="7">
        <v>1</v>
      </c>
      <c r="W32" s="13">
        <v>0</v>
      </c>
      <c r="X32" s="7">
        <v>0</v>
      </c>
      <c r="Y32" s="7">
        <v>0</v>
      </c>
      <c r="Z32" s="7">
        <v>1</v>
      </c>
      <c r="AA32" s="7">
        <v>1</v>
      </c>
      <c r="AB32" s="7">
        <v>0</v>
      </c>
      <c r="AC32" s="7">
        <v>1</v>
      </c>
      <c r="AD32" s="7">
        <v>0</v>
      </c>
      <c r="AE32" s="7">
        <v>1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 t="s">
        <v>48</v>
      </c>
      <c r="AP32" s="7" t="s">
        <v>48</v>
      </c>
      <c r="AQ32" s="7">
        <v>1</v>
      </c>
      <c r="AR32" s="7">
        <v>0</v>
      </c>
      <c r="AS32" s="13" t="s">
        <v>48</v>
      </c>
      <c r="AT32" s="13" t="s">
        <v>48</v>
      </c>
      <c r="AU32" s="13" t="s">
        <v>48</v>
      </c>
      <c r="AV32" s="13" t="s">
        <v>48</v>
      </c>
      <c r="AW32" s="7" t="s">
        <v>48</v>
      </c>
      <c r="AX32" s="9">
        <f>5.01/4.94</f>
        <v>1.0141700404858298</v>
      </c>
      <c r="AY32" s="47">
        <v>0</v>
      </c>
      <c r="AZ32" s="2">
        <v>0</v>
      </c>
      <c r="BA32" s="2">
        <v>1</v>
      </c>
      <c r="BB32" s="9">
        <f>3.96/3.51</f>
        <v>1.1282051282051282</v>
      </c>
      <c r="BC32" s="2">
        <v>2</v>
      </c>
      <c r="BD32" s="2">
        <v>0</v>
      </c>
      <c r="BE32" s="2">
        <v>1</v>
      </c>
      <c r="BF32" s="7">
        <v>0</v>
      </c>
      <c r="BG32" s="7" t="s">
        <v>48</v>
      </c>
      <c r="BH32" s="7">
        <v>0</v>
      </c>
      <c r="BI32" s="1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1" t="s">
        <v>48</v>
      </c>
      <c r="BQ32" s="1" t="s">
        <v>48</v>
      </c>
      <c r="BR32" s="7">
        <v>0</v>
      </c>
      <c r="BS32" s="7">
        <v>0</v>
      </c>
      <c r="BT32" s="7">
        <v>0</v>
      </c>
      <c r="BU32" s="7">
        <v>0</v>
      </c>
      <c r="BV32" s="2" t="s">
        <v>50</v>
      </c>
      <c r="BW32" s="10">
        <v>0</v>
      </c>
      <c r="BX32" s="11" t="s">
        <v>59</v>
      </c>
      <c r="BY32" s="7">
        <v>0</v>
      </c>
      <c r="BZ32" s="7">
        <v>0</v>
      </c>
      <c r="CA32" s="7">
        <v>0</v>
      </c>
      <c r="CB32" s="11" t="s">
        <v>60</v>
      </c>
    </row>
    <row r="33" spans="1:80" s="12" customFormat="1" x14ac:dyDescent="0.3">
      <c r="A33" s="1">
        <v>32</v>
      </c>
      <c r="B33" s="2">
        <v>76</v>
      </c>
      <c r="C33" s="3" t="s">
        <v>46</v>
      </c>
      <c r="D33" s="4" t="s">
        <v>53</v>
      </c>
      <c r="E33" s="3">
        <v>7</v>
      </c>
      <c r="F33" s="103">
        <v>180.3</v>
      </c>
      <c r="G33" s="6">
        <v>102.1</v>
      </c>
      <c r="H33" s="5">
        <f>G33/(('[1]Maya Nonsaddle'!G33/100)^2)</f>
        <v>31.393635491099584</v>
      </c>
      <c r="I33" s="7">
        <v>1</v>
      </c>
      <c r="J33" s="7">
        <v>5</v>
      </c>
      <c r="K33" s="7">
        <v>1</v>
      </c>
      <c r="L33" s="7">
        <v>0</v>
      </c>
      <c r="M33" s="7">
        <v>102</v>
      </c>
      <c r="N33" s="7">
        <v>0</v>
      </c>
      <c r="O33" s="7">
        <v>162</v>
      </c>
      <c r="P33" s="7">
        <v>0</v>
      </c>
      <c r="Q33" s="7">
        <v>18</v>
      </c>
      <c r="R33" s="7">
        <v>0</v>
      </c>
      <c r="S33" s="8">
        <v>98.2</v>
      </c>
      <c r="T33" s="7">
        <v>1</v>
      </c>
      <c r="U33" s="7">
        <v>86</v>
      </c>
      <c r="V33" s="7">
        <v>1</v>
      </c>
      <c r="W33" s="13">
        <v>0</v>
      </c>
      <c r="X33" s="7">
        <v>0</v>
      </c>
      <c r="Y33" s="7">
        <v>0</v>
      </c>
      <c r="Z33" s="7">
        <v>0</v>
      </c>
      <c r="AA33" s="7">
        <v>1</v>
      </c>
      <c r="AB33" s="7">
        <v>0</v>
      </c>
      <c r="AC33" s="7">
        <v>1</v>
      </c>
      <c r="AD33" s="7">
        <v>1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1</v>
      </c>
      <c r="AP33" s="7">
        <v>1</v>
      </c>
      <c r="AQ33" s="7" t="s">
        <v>48</v>
      </c>
      <c r="AR33" s="7">
        <v>0</v>
      </c>
      <c r="AS33" s="13" t="s">
        <v>48</v>
      </c>
      <c r="AT33" s="13" t="s">
        <v>48</v>
      </c>
      <c r="AU33" s="13" t="s">
        <v>48</v>
      </c>
      <c r="AV33" s="13" t="s">
        <v>48</v>
      </c>
      <c r="AW33" s="7" t="s">
        <v>48</v>
      </c>
      <c r="AX33" s="9">
        <f>3.65/3.94</f>
        <v>0.92639593908629436</v>
      </c>
      <c r="AY33" s="47">
        <v>0</v>
      </c>
      <c r="AZ33" s="2">
        <v>1</v>
      </c>
      <c r="BA33" s="2">
        <v>0</v>
      </c>
      <c r="BB33" s="9">
        <f>3.27/3.83</f>
        <v>0.85378590078328975</v>
      </c>
      <c r="BC33" s="2">
        <v>3</v>
      </c>
      <c r="BD33" s="2">
        <v>0</v>
      </c>
      <c r="BE33" s="2">
        <v>1</v>
      </c>
      <c r="BF33" s="7">
        <v>1</v>
      </c>
      <c r="BG33" s="7" t="s">
        <v>70</v>
      </c>
      <c r="BH33" s="7">
        <v>0</v>
      </c>
      <c r="BI33" s="1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1" t="s">
        <v>48</v>
      </c>
      <c r="BQ33" s="1" t="s">
        <v>48</v>
      </c>
      <c r="BR33" s="7">
        <v>0</v>
      </c>
      <c r="BS33" s="7">
        <v>0</v>
      </c>
      <c r="BT33" s="7">
        <v>0</v>
      </c>
      <c r="BU33" s="7">
        <v>0</v>
      </c>
      <c r="BV33" s="2" t="s">
        <v>50</v>
      </c>
      <c r="BW33" s="10">
        <v>0</v>
      </c>
      <c r="BX33" s="7">
        <v>0</v>
      </c>
      <c r="BY33" s="7">
        <v>0</v>
      </c>
      <c r="BZ33" s="7">
        <v>0</v>
      </c>
      <c r="CA33" s="7">
        <v>0</v>
      </c>
      <c r="CB33" s="11" t="s">
        <v>71</v>
      </c>
    </row>
    <row r="34" spans="1:80" s="12" customFormat="1" x14ac:dyDescent="0.3">
      <c r="A34" s="1">
        <v>33</v>
      </c>
      <c r="B34" s="2">
        <v>46</v>
      </c>
      <c r="C34" s="3" t="s">
        <v>46</v>
      </c>
      <c r="D34" s="4" t="s">
        <v>53</v>
      </c>
      <c r="E34" s="3">
        <v>3</v>
      </c>
      <c r="F34" s="103">
        <v>180.3</v>
      </c>
      <c r="G34" s="6">
        <v>90.2</v>
      </c>
      <c r="H34" s="5">
        <f>G34/(('[1]Maya Nonsaddle'!G34/100)^2)</f>
        <v>27.734631942185921</v>
      </c>
      <c r="I34" s="7">
        <v>0</v>
      </c>
      <c r="J34" s="7">
        <v>1</v>
      </c>
      <c r="K34" s="7">
        <v>2</v>
      </c>
      <c r="L34" s="7">
        <v>0</v>
      </c>
      <c r="M34" s="7">
        <v>101</v>
      </c>
      <c r="N34" s="7">
        <v>0</v>
      </c>
      <c r="O34" s="7">
        <v>136</v>
      </c>
      <c r="P34" s="7">
        <v>0</v>
      </c>
      <c r="Q34" s="7">
        <v>15</v>
      </c>
      <c r="R34" s="7">
        <v>0</v>
      </c>
      <c r="S34" s="8">
        <v>98.8</v>
      </c>
      <c r="T34" s="7">
        <v>0</v>
      </c>
      <c r="U34" s="7">
        <v>100</v>
      </c>
      <c r="V34" s="7">
        <v>0</v>
      </c>
      <c r="W34" s="13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 t="s">
        <v>48</v>
      </c>
      <c r="AQ34" s="7">
        <v>1</v>
      </c>
      <c r="AR34" s="7">
        <v>0</v>
      </c>
      <c r="AS34" s="13">
        <v>1</v>
      </c>
      <c r="AT34" s="13">
        <v>1</v>
      </c>
      <c r="AU34" s="13">
        <v>1</v>
      </c>
      <c r="AV34" s="13">
        <v>0</v>
      </c>
      <c r="AW34" s="7">
        <v>50</v>
      </c>
      <c r="AX34" s="9">
        <f>5.41/3.89</f>
        <v>1.3907455012853471</v>
      </c>
      <c r="AY34" s="47">
        <v>0</v>
      </c>
      <c r="AZ34" s="2">
        <v>0</v>
      </c>
      <c r="BA34" s="2">
        <v>1</v>
      </c>
      <c r="BB34" s="9">
        <f>3.35/3.21</f>
        <v>1.043613707165109</v>
      </c>
      <c r="BC34" s="2">
        <v>4</v>
      </c>
      <c r="BD34" s="2">
        <v>1</v>
      </c>
      <c r="BE34" s="2">
        <v>1</v>
      </c>
      <c r="BF34" s="7">
        <v>0</v>
      </c>
      <c r="BG34" s="7" t="s">
        <v>48</v>
      </c>
      <c r="BH34" s="7">
        <v>0</v>
      </c>
      <c r="BI34" s="1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1" t="s">
        <v>48</v>
      </c>
      <c r="BQ34" s="1" t="s">
        <v>48</v>
      </c>
      <c r="BR34" s="7">
        <v>0</v>
      </c>
      <c r="BS34" s="7">
        <v>0</v>
      </c>
      <c r="BT34" s="7">
        <v>0</v>
      </c>
      <c r="BU34" s="7">
        <v>0</v>
      </c>
      <c r="BV34" s="2" t="s">
        <v>50</v>
      </c>
      <c r="BW34" s="10">
        <v>0</v>
      </c>
      <c r="BX34" s="7">
        <v>0</v>
      </c>
      <c r="BY34" s="7">
        <v>0</v>
      </c>
      <c r="BZ34" s="7">
        <v>0</v>
      </c>
      <c r="CA34" s="7">
        <v>0</v>
      </c>
      <c r="CB34" s="11" t="s">
        <v>72</v>
      </c>
    </row>
    <row r="35" spans="1:80" s="12" customFormat="1" x14ac:dyDescent="0.3">
      <c r="A35" s="1">
        <v>34</v>
      </c>
      <c r="B35" s="2">
        <v>44</v>
      </c>
      <c r="C35" s="3" t="s">
        <v>52</v>
      </c>
      <c r="D35" s="4" t="s">
        <v>53</v>
      </c>
      <c r="E35" s="3">
        <v>1</v>
      </c>
      <c r="F35" s="103">
        <v>160</v>
      </c>
      <c r="G35" s="6">
        <v>86.2</v>
      </c>
      <c r="H35" s="5">
        <f>G35/(('[1]Maya Nonsaddle'!G35/100)^2)</f>
        <v>33.66345860935612</v>
      </c>
      <c r="I35" s="7">
        <v>0</v>
      </c>
      <c r="J35" s="7">
        <v>2</v>
      </c>
      <c r="K35" s="7">
        <v>1</v>
      </c>
      <c r="L35" s="7">
        <v>0</v>
      </c>
      <c r="M35" s="7">
        <v>86</v>
      </c>
      <c r="N35" s="7">
        <v>0</v>
      </c>
      <c r="O35" s="7">
        <v>127</v>
      </c>
      <c r="P35" s="7">
        <v>1</v>
      </c>
      <c r="Q35" s="7">
        <v>40</v>
      </c>
      <c r="R35" s="7">
        <v>0</v>
      </c>
      <c r="S35" s="8">
        <v>100.2</v>
      </c>
      <c r="T35" s="7">
        <v>0</v>
      </c>
      <c r="U35" s="7">
        <v>100</v>
      </c>
      <c r="V35" s="7">
        <v>0</v>
      </c>
      <c r="W35" s="13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 t="s">
        <v>48</v>
      </c>
      <c r="AQ35" s="7" t="s">
        <v>48</v>
      </c>
      <c r="AR35" s="7">
        <v>0</v>
      </c>
      <c r="AS35" s="13" t="s">
        <v>48</v>
      </c>
      <c r="AT35" s="13" t="s">
        <v>48</v>
      </c>
      <c r="AU35" s="13" t="s">
        <v>48</v>
      </c>
      <c r="AV35" s="13" t="s">
        <v>48</v>
      </c>
      <c r="AW35" s="7" t="s">
        <v>48</v>
      </c>
      <c r="AX35" s="9">
        <f>3.19/5.08</f>
        <v>0.62795275590551181</v>
      </c>
      <c r="AY35" s="47">
        <v>0</v>
      </c>
      <c r="AZ35" s="2">
        <v>0</v>
      </c>
      <c r="BA35" s="2">
        <v>0</v>
      </c>
      <c r="BB35" s="9">
        <f>2.96/3.41</f>
        <v>0.86803519061583578</v>
      </c>
      <c r="BC35" s="2">
        <v>1</v>
      </c>
      <c r="BD35" s="2">
        <v>0</v>
      </c>
      <c r="BE35" s="2">
        <v>0</v>
      </c>
      <c r="BF35" s="7">
        <v>0</v>
      </c>
      <c r="BG35" s="7" t="s">
        <v>48</v>
      </c>
      <c r="BH35" s="7">
        <v>0</v>
      </c>
      <c r="BI35" s="1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1" t="s">
        <v>48</v>
      </c>
      <c r="BQ35" s="1" t="s">
        <v>48</v>
      </c>
      <c r="BR35" s="7">
        <v>0</v>
      </c>
      <c r="BS35" s="7">
        <v>0</v>
      </c>
      <c r="BT35" s="7">
        <v>0</v>
      </c>
      <c r="BU35" s="7">
        <v>0</v>
      </c>
      <c r="BV35" s="2" t="s">
        <v>50</v>
      </c>
      <c r="BW35" s="10">
        <v>0</v>
      </c>
      <c r="BX35" s="7">
        <v>0</v>
      </c>
      <c r="BY35" s="7">
        <v>0</v>
      </c>
      <c r="BZ35" s="7">
        <v>0</v>
      </c>
      <c r="CA35" s="7">
        <v>0</v>
      </c>
      <c r="CB35" s="11" t="s">
        <v>54</v>
      </c>
    </row>
    <row r="36" spans="1:80" s="29" customFormat="1" x14ac:dyDescent="0.3">
      <c r="A36" s="1">
        <v>35</v>
      </c>
      <c r="B36" s="19">
        <v>55</v>
      </c>
      <c r="C36" s="20" t="s">
        <v>46</v>
      </c>
      <c r="D36" s="21" t="s">
        <v>47</v>
      </c>
      <c r="E36" s="20">
        <v>0</v>
      </c>
      <c r="F36" s="103">
        <v>172.7</v>
      </c>
      <c r="G36" s="23">
        <v>74.8</v>
      </c>
      <c r="H36" s="22">
        <f>G36/(('[1]Maya Nonsaddle'!G36/100)^2)</f>
        <v>25.073579558923822</v>
      </c>
      <c r="I36" s="24">
        <v>1</v>
      </c>
      <c r="J36" s="24">
        <v>3</v>
      </c>
      <c r="K36" s="24">
        <v>1</v>
      </c>
      <c r="L36" s="24">
        <v>0</v>
      </c>
      <c r="M36" s="24">
        <v>84</v>
      </c>
      <c r="N36" s="24">
        <v>0</v>
      </c>
      <c r="O36" s="24">
        <v>136</v>
      </c>
      <c r="P36" s="24">
        <v>0</v>
      </c>
      <c r="Q36" s="24">
        <v>25</v>
      </c>
      <c r="R36" s="24">
        <v>0</v>
      </c>
      <c r="S36" s="25">
        <v>98.1</v>
      </c>
      <c r="T36" s="24">
        <v>0</v>
      </c>
      <c r="U36" s="24">
        <v>95</v>
      </c>
      <c r="V36" s="24">
        <v>1</v>
      </c>
      <c r="W36" s="13">
        <v>0</v>
      </c>
      <c r="X36" s="24">
        <v>0</v>
      </c>
      <c r="Y36" s="24">
        <v>0</v>
      </c>
      <c r="Z36" s="24">
        <v>0</v>
      </c>
      <c r="AA36" s="24">
        <v>1</v>
      </c>
      <c r="AB36" s="24">
        <v>0</v>
      </c>
      <c r="AC36" s="24">
        <v>1</v>
      </c>
      <c r="AD36" s="24">
        <v>0</v>
      </c>
      <c r="AE36" s="24">
        <v>0</v>
      </c>
      <c r="AF36" s="24">
        <v>0</v>
      </c>
      <c r="AG36" s="24">
        <v>1</v>
      </c>
      <c r="AH36" s="24">
        <v>1</v>
      </c>
      <c r="AI36" s="24">
        <v>0</v>
      </c>
      <c r="AJ36" s="24">
        <v>0</v>
      </c>
      <c r="AK36" s="24">
        <v>1</v>
      </c>
      <c r="AL36" s="24">
        <v>0</v>
      </c>
      <c r="AM36" s="24">
        <v>0</v>
      </c>
      <c r="AN36" s="24">
        <v>0</v>
      </c>
      <c r="AO36" s="24">
        <v>1</v>
      </c>
      <c r="AP36" s="24">
        <v>1</v>
      </c>
      <c r="AQ36" s="24">
        <v>0</v>
      </c>
      <c r="AR36" s="24">
        <v>0</v>
      </c>
      <c r="AS36" s="13" t="s">
        <v>48</v>
      </c>
      <c r="AT36" s="13" t="s">
        <v>48</v>
      </c>
      <c r="AU36" s="13" t="s">
        <v>48</v>
      </c>
      <c r="AV36" s="13" t="s">
        <v>48</v>
      </c>
      <c r="AW36" s="24">
        <v>43</v>
      </c>
      <c r="AX36" s="26">
        <f>4.05/4.81</f>
        <v>0.84199584199584199</v>
      </c>
      <c r="AY36" s="91">
        <v>0</v>
      </c>
      <c r="AZ36" s="2">
        <v>0</v>
      </c>
      <c r="BA36" s="2">
        <v>0</v>
      </c>
      <c r="BB36" s="26">
        <f>3.33/3.24</f>
        <v>1.0277777777777777</v>
      </c>
      <c r="BC36" s="19">
        <v>1</v>
      </c>
      <c r="BD36" s="19">
        <v>0</v>
      </c>
      <c r="BE36" s="19">
        <v>1</v>
      </c>
      <c r="BF36" s="24">
        <v>0</v>
      </c>
      <c r="BG36" s="24" t="s">
        <v>48</v>
      </c>
      <c r="BH36" s="24">
        <v>1</v>
      </c>
      <c r="BI36" s="1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128" t="s">
        <v>48</v>
      </c>
      <c r="BQ36" s="128" t="s">
        <v>48</v>
      </c>
      <c r="BR36" s="24">
        <v>0</v>
      </c>
      <c r="BS36" s="24">
        <v>0</v>
      </c>
      <c r="BT36" s="7">
        <v>0</v>
      </c>
      <c r="BU36" s="24">
        <v>0</v>
      </c>
      <c r="BV36" s="19" t="s">
        <v>50</v>
      </c>
      <c r="BW36" s="27">
        <v>0</v>
      </c>
      <c r="BX36" s="24">
        <v>0</v>
      </c>
      <c r="BY36" s="24">
        <v>0</v>
      </c>
      <c r="BZ36" s="24">
        <v>0</v>
      </c>
      <c r="CA36" s="24">
        <v>0</v>
      </c>
      <c r="CB36" s="28" t="s">
        <v>73</v>
      </c>
    </row>
    <row r="37" spans="1:80" s="33" customFormat="1" x14ac:dyDescent="0.3">
      <c r="A37" s="1">
        <v>36</v>
      </c>
      <c r="B37" s="2">
        <v>58</v>
      </c>
      <c r="C37" s="3" t="s">
        <v>46</v>
      </c>
      <c r="D37" s="3" t="s">
        <v>47</v>
      </c>
      <c r="E37" s="3" t="s">
        <v>74</v>
      </c>
      <c r="F37" s="103">
        <v>172.7</v>
      </c>
      <c r="G37" s="6">
        <v>119.9</v>
      </c>
      <c r="H37" s="5">
        <f>G37/(('[1]Maya Nonsaddle'!G37/100)^2)</f>
        <v>40.191473116510245</v>
      </c>
      <c r="I37" s="1">
        <v>0</v>
      </c>
      <c r="J37" s="1">
        <v>2</v>
      </c>
      <c r="K37" s="1">
        <v>1</v>
      </c>
      <c r="L37" s="1">
        <v>0</v>
      </c>
      <c r="M37" s="1">
        <v>91</v>
      </c>
      <c r="N37" s="1">
        <v>0</v>
      </c>
      <c r="O37" s="1">
        <v>115</v>
      </c>
      <c r="P37" s="1">
        <v>0</v>
      </c>
      <c r="Q37" s="1">
        <v>16</v>
      </c>
      <c r="R37" s="1">
        <v>0</v>
      </c>
      <c r="S37" s="30">
        <v>98.2</v>
      </c>
      <c r="T37" s="1">
        <v>0</v>
      </c>
      <c r="U37" s="1">
        <v>97</v>
      </c>
      <c r="V37" s="1">
        <v>0</v>
      </c>
      <c r="W37" s="13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 t="s">
        <v>48</v>
      </c>
      <c r="AP37" s="1" t="s">
        <v>48</v>
      </c>
      <c r="AQ37" s="1">
        <v>0</v>
      </c>
      <c r="AR37" s="1">
        <v>0</v>
      </c>
      <c r="AS37" s="13" t="s">
        <v>48</v>
      </c>
      <c r="AT37" s="13" t="s">
        <v>48</v>
      </c>
      <c r="AU37" s="13" t="s">
        <v>48</v>
      </c>
      <c r="AV37" s="13" t="s">
        <v>48</v>
      </c>
      <c r="AW37" s="1" t="s">
        <v>48</v>
      </c>
      <c r="AX37" s="9">
        <f>4.47/5.87</f>
        <v>0.76149914821124354</v>
      </c>
      <c r="AY37" s="47">
        <v>0</v>
      </c>
      <c r="AZ37" s="2">
        <v>0</v>
      </c>
      <c r="BA37" s="2">
        <v>0</v>
      </c>
      <c r="BB37" s="9">
        <f>3.14/3.7</f>
        <v>0.84864864864864864</v>
      </c>
      <c r="BC37" s="2">
        <v>1</v>
      </c>
      <c r="BD37" s="2">
        <v>0</v>
      </c>
      <c r="BE37" s="2">
        <v>0</v>
      </c>
      <c r="BF37" s="1">
        <v>1</v>
      </c>
      <c r="BG37" s="1" t="s">
        <v>75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 t="s">
        <v>48</v>
      </c>
      <c r="BQ37" s="1" t="s">
        <v>48</v>
      </c>
      <c r="BR37" s="1">
        <v>0</v>
      </c>
      <c r="BS37" s="1">
        <v>0</v>
      </c>
      <c r="BT37" s="7">
        <v>0</v>
      </c>
      <c r="BU37" s="1">
        <v>0</v>
      </c>
      <c r="BV37" s="13" t="s">
        <v>50</v>
      </c>
      <c r="BW37" s="13">
        <v>0</v>
      </c>
      <c r="BX37" s="1">
        <v>0</v>
      </c>
      <c r="BY37" s="1">
        <v>0</v>
      </c>
      <c r="BZ37" s="1">
        <v>0</v>
      </c>
      <c r="CA37" s="1">
        <v>0</v>
      </c>
      <c r="CB37" s="32" t="s">
        <v>54</v>
      </c>
    </row>
    <row r="38" spans="1:80" s="35" customFormat="1" x14ac:dyDescent="0.3">
      <c r="A38" s="1">
        <v>37</v>
      </c>
      <c r="B38" s="2">
        <v>69</v>
      </c>
      <c r="C38" s="2" t="s">
        <v>52</v>
      </c>
      <c r="D38" s="2" t="s">
        <v>47</v>
      </c>
      <c r="E38" s="2" t="s">
        <v>76</v>
      </c>
      <c r="F38" s="103">
        <v>162.6</v>
      </c>
      <c r="G38" s="15">
        <v>99.3</v>
      </c>
      <c r="H38" s="5">
        <f>G38/(('[1]Maya Nonsaddle'!G38/100)^2)</f>
        <v>37.576979450833903</v>
      </c>
      <c r="I38" s="13">
        <v>1</v>
      </c>
      <c r="J38" s="13">
        <v>3</v>
      </c>
      <c r="K38" s="13">
        <v>1</v>
      </c>
      <c r="L38" s="13">
        <v>0</v>
      </c>
      <c r="M38" s="13">
        <v>89</v>
      </c>
      <c r="N38" s="13">
        <v>0</v>
      </c>
      <c r="O38" s="13">
        <v>138</v>
      </c>
      <c r="P38" s="13">
        <v>0</v>
      </c>
      <c r="Q38" s="13">
        <v>18</v>
      </c>
      <c r="R38" s="13">
        <v>0</v>
      </c>
      <c r="S38" s="5">
        <v>98.6</v>
      </c>
      <c r="T38" s="13">
        <v>0</v>
      </c>
      <c r="U38" s="13">
        <v>99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1</v>
      </c>
      <c r="AB38" s="13">
        <v>0</v>
      </c>
      <c r="AC38" s="13">
        <v>0</v>
      </c>
      <c r="AD38" s="13">
        <v>0</v>
      </c>
      <c r="AE38" s="13">
        <v>1</v>
      </c>
      <c r="AF38" s="13">
        <v>0</v>
      </c>
      <c r="AG38" s="13">
        <v>1</v>
      </c>
      <c r="AH38" s="13">
        <v>1</v>
      </c>
      <c r="AI38" s="13">
        <v>1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1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42</v>
      </c>
      <c r="AX38" s="9">
        <f>3.66/4.83</f>
        <v>0.75776397515527949</v>
      </c>
      <c r="AY38" s="47">
        <v>0</v>
      </c>
      <c r="AZ38" s="2">
        <v>0</v>
      </c>
      <c r="BA38" s="2">
        <v>0</v>
      </c>
      <c r="BB38" s="9">
        <f>3.02/3.13</f>
        <v>0.96485623003194887</v>
      </c>
      <c r="BC38" s="2">
        <v>1</v>
      </c>
      <c r="BD38" s="2">
        <v>0</v>
      </c>
      <c r="BE38" s="2">
        <v>0</v>
      </c>
      <c r="BF38" s="13">
        <v>0</v>
      </c>
      <c r="BG38" s="13" t="s">
        <v>48</v>
      </c>
      <c r="BH38" s="13">
        <v>0</v>
      </c>
      <c r="BI38" s="1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 t="s">
        <v>48</v>
      </c>
      <c r="BQ38" s="13" t="s">
        <v>48</v>
      </c>
      <c r="BR38" s="13">
        <v>0</v>
      </c>
      <c r="BS38" s="13">
        <v>0</v>
      </c>
      <c r="BT38" s="7">
        <v>0</v>
      </c>
      <c r="BU38" s="13">
        <v>0</v>
      </c>
      <c r="BV38" s="13" t="s">
        <v>50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34" t="s">
        <v>56</v>
      </c>
    </row>
    <row r="39" spans="1:80" s="33" customFormat="1" x14ac:dyDescent="0.3">
      <c r="A39" s="1">
        <v>38</v>
      </c>
      <c r="B39" s="2">
        <v>25</v>
      </c>
      <c r="C39" s="3" t="s">
        <v>46</v>
      </c>
      <c r="D39" s="3" t="s">
        <v>47</v>
      </c>
      <c r="E39" s="3" t="s">
        <v>77</v>
      </c>
      <c r="F39" s="103">
        <v>185.4</v>
      </c>
      <c r="G39" s="6">
        <v>149.69</v>
      </c>
      <c r="H39" s="5">
        <f>G39/(('[1]Maya Nonsaddle'!G39/100)^2)</f>
        <v>43.539118791504606</v>
      </c>
      <c r="I39" s="1">
        <v>1</v>
      </c>
      <c r="J39" s="1">
        <v>2</v>
      </c>
      <c r="K39" s="1">
        <v>4</v>
      </c>
      <c r="L39" s="1">
        <v>1</v>
      </c>
      <c r="M39" s="1">
        <v>112</v>
      </c>
      <c r="N39" s="1">
        <v>0</v>
      </c>
      <c r="O39" s="1">
        <v>157</v>
      </c>
      <c r="P39" s="1">
        <v>0</v>
      </c>
      <c r="Q39" s="1">
        <v>20</v>
      </c>
      <c r="R39" s="1">
        <v>0</v>
      </c>
      <c r="S39" s="30">
        <v>99.9</v>
      </c>
      <c r="T39" s="1">
        <v>0</v>
      </c>
      <c r="U39" s="1">
        <v>100</v>
      </c>
      <c r="V39" s="1">
        <v>0</v>
      </c>
      <c r="W39" s="13">
        <v>0</v>
      </c>
      <c r="X39" s="1">
        <v>0</v>
      </c>
      <c r="Y39" s="1">
        <v>0</v>
      </c>
      <c r="Z39" s="1">
        <v>1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">
        <v>1</v>
      </c>
      <c r="AJ39" s="1">
        <v>1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 t="s">
        <v>48</v>
      </c>
      <c r="AQ39" s="1" t="s">
        <v>48</v>
      </c>
      <c r="AR39" s="1" t="s">
        <v>48</v>
      </c>
      <c r="AS39" s="13" t="s">
        <v>48</v>
      </c>
      <c r="AT39" s="13" t="s">
        <v>48</v>
      </c>
      <c r="AU39" s="13" t="s">
        <v>48</v>
      </c>
      <c r="AV39" s="13" t="s">
        <v>48</v>
      </c>
      <c r="AW39" s="1" t="s">
        <v>48</v>
      </c>
      <c r="AX39" s="9">
        <f>4.03/4.85</f>
        <v>0.83092783505154655</v>
      </c>
      <c r="AY39" s="47">
        <v>0</v>
      </c>
      <c r="AZ39" s="2">
        <v>0</v>
      </c>
      <c r="BA39" s="2">
        <v>0</v>
      </c>
      <c r="BB39" s="9">
        <f>2.52/3.1</f>
        <v>0.81290322580645158</v>
      </c>
      <c r="BC39" s="2">
        <v>2</v>
      </c>
      <c r="BD39" s="2">
        <v>0</v>
      </c>
      <c r="BE39" s="2">
        <v>0</v>
      </c>
      <c r="BF39" s="1">
        <v>0</v>
      </c>
      <c r="BG39" s="1" t="s">
        <v>48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 t="s">
        <v>48</v>
      </c>
      <c r="BQ39" s="1" t="s">
        <v>48</v>
      </c>
      <c r="BR39" s="1">
        <v>0</v>
      </c>
      <c r="BS39" s="1">
        <v>0</v>
      </c>
      <c r="BT39" s="7">
        <v>0</v>
      </c>
      <c r="BU39" s="1">
        <v>0</v>
      </c>
      <c r="BV39" s="13" t="s">
        <v>50</v>
      </c>
      <c r="BW39" s="13">
        <v>0</v>
      </c>
      <c r="BX39" s="1">
        <v>0</v>
      </c>
      <c r="BY39" s="1">
        <v>0</v>
      </c>
      <c r="BZ39" s="1">
        <v>0</v>
      </c>
      <c r="CA39" s="1">
        <v>0</v>
      </c>
      <c r="CB39" s="32" t="s">
        <v>78</v>
      </c>
    </row>
    <row r="40" spans="1:80" s="33" customFormat="1" x14ac:dyDescent="0.3">
      <c r="A40" s="1">
        <v>39</v>
      </c>
      <c r="B40" s="2">
        <v>72</v>
      </c>
      <c r="C40" s="3" t="s">
        <v>52</v>
      </c>
      <c r="D40" s="3" t="s">
        <v>47</v>
      </c>
      <c r="E40" s="3" t="s">
        <v>77</v>
      </c>
      <c r="F40" s="103">
        <v>177.8</v>
      </c>
      <c r="G40" s="6">
        <v>95.3</v>
      </c>
      <c r="H40" s="5">
        <f>G40/(('[1]Maya Nonsaddle'!G40/100)^2)</f>
        <v>30.145978659304255</v>
      </c>
      <c r="I40" s="1">
        <v>1</v>
      </c>
      <c r="J40" s="1">
        <v>3</v>
      </c>
      <c r="K40" s="1">
        <v>4</v>
      </c>
      <c r="L40" s="1">
        <v>0</v>
      </c>
      <c r="M40" s="1">
        <v>75</v>
      </c>
      <c r="N40" s="1">
        <v>0</v>
      </c>
      <c r="O40" s="1">
        <v>137</v>
      </c>
      <c r="P40" s="1">
        <v>0</v>
      </c>
      <c r="Q40" s="1">
        <v>26</v>
      </c>
      <c r="R40" s="1">
        <v>0</v>
      </c>
      <c r="S40" s="30">
        <v>98.2</v>
      </c>
      <c r="T40" s="1">
        <v>1</v>
      </c>
      <c r="U40" s="1">
        <v>88</v>
      </c>
      <c r="V40" s="1">
        <v>1</v>
      </c>
      <c r="W40" s="13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  <c r="AK40" s="1">
        <v>1</v>
      </c>
      <c r="AL40" s="1">
        <v>0</v>
      </c>
      <c r="AM40" s="1">
        <v>0</v>
      </c>
      <c r="AN40" s="1">
        <v>0</v>
      </c>
      <c r="AO40" s="1" t="s">
        <v>48</v>
      </c>
      <c r="AP40" s="1" t="s">
        <v>48</v>
      </c>
      <c r="AQ40" s="1" t="s">
        <v>48</v>
      </c>
      <c r="AR40" s="1" t="s">
        <v>48</v>
      </c>
      <c r="AS40" s="13" t="s">
        <v>48</v>
      </c>
      <c r="AT40" s="13" t="s">
        <v>48</v>
      </c>
      <c r="AU40" s="13" t="s">
        <v>48</v>
      </c>
      <c r="AV40" s="13" t="s">
        <v>48</v>
      </c>
      <c r="AW40" s="1" t="s">
        <v>48</v>
      </c>
      <c r="AX40" s="9">
        <f>4.35/4.12</f>
        <v>1.0558252427184465</v>
      </c>
      <c r="AY40" s="47">
        <v>0</v>
      </c>
      <c r="AZ40" s="2">
        <v>0</v>
      </c>
      <c r="BA40" s="2">
        <v>1</v>
      </c>
      <c r="BB40" s="9">
        <f>2.86/3.09</f>
        <v>0.92556634304207119</v>
      </c>
      <c r="BC40" s="2">
        <v>1</v>
      </c>
      <c r="BD40" s="2">
        <v>0</v>
      </c>
      <c r="BE40" s="2">
        <v>0</v>
      </c>
      <c r="BF40" s="1">
        <v>0</v>
      </c>
      <c r="BG40" s="1" t="s">
        <v>48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 t="s">
        <v>48</v>
      </c>
      <c r="BQ40" s="1" t="s">
        <v>48</v>
      </c>
      <c r="BR40" s="1">
        <v>0</v>
      </c>
      <c r="BS40" s="1">
        <v>0</v>
      </c>
      <c r="BT40" s="7">
        <v>0</v>
      </c>
      <c r="BU40" s="1">
        <v>0</v>
      </c>
      <c r="BV40" s="13" t="s">
        <v>50</v>
      </c>
      <c r="BW40" s="13">
        <v>0</v>
      </c>
      <c r="BX40" s="1">
        <v>0</v>
      </c>
      <c r="BY40" s="1">
        <v>0</v>
      </c>
      <c r="BZ40" s="1">
        <v>0</v>
      </c>
      <c r="CA40" s="1">
        <v>0</v>
      </c>
      <c r="CB40" s="32" t="s">
        <v>54</v>
      </c>
    </row>
    <row r="41" spans="1:80" s="33" customFormat="1" x14ac:dyDescent="0.3">
      <c r="A41" s="1">
        <v>40</v>
      </c>
      <c r="B41" s="2">
        <v>53</v>
      </c>
      <c r="C41" s="3" t="s">
        <v>46</v>
      </c>
      <c r="D41" s="3" t="s">
        <v>47</v>
      </c>
      <c r="E41" s="3" t="s">
        <v>79</v>
      </c>
      <c r="F41" s="103">
        <v>180.3</v>
      </c>
      <c r="G41" s="6">
        <v>107</v>
      </c>
      <c r="H41" s="5">
        <f>G41/(('[1]Maya Nonsaddle'!G41/100)^2)</f>
        <v>32.900284011240501</v>
      </c>
      <c r="I41" s="1">
        <v>1</v>
      </c>
      <c r="J41" s="1">
        <v>4</v>
      </c>
      <c r="K41" s="1">
        <v>2</v>
      </c>
      <c r="L41" s="1">
        <v>1</v>
      </c>
      <c r="M41" s="1">
        <v>115</v>
      </c>
      <c r="N41" s="1">
        <v>0</v>
      </c>
      <c r="O41" s="1">
        <v>125</v>
      </c>
      <c r="P41" s="1">
        <v>0</v>
      </c>
      <c r="Q41" s="1">
        <v>24</v>
      </c>
      <c r="R41" s="1">
        <v>1</v>
      </c>
      <c r="S41" s="30">
        <v>96.5</v>
      </c>
      <c r="T41" s="1">
        <v>1</v>
      </c>
      <c r="U41" s="1" t="s">
        <v>48</v>
      </c>
      <c r="V41" s="1">
        <v>1</v>
      </c>
      <c r="W41" s="13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 t="s">
        <v>48</v>
      </c>
      <c r="AQ41" s="1">
        <v>1</v>
      </c>
      <c r="AR41" s="1">
        <v>1</v>
      </c>
      <c r="AS41" s="13">
        <v>1</v>
      </c>
      <c r="AT41" s="13">
        <v>1</v>
      </c>
      <c r="AU41" s="13">
        <v>1</v>
      </c>
      <c r="AV41" s="13">
        <v>0</v>
      </c>
      <c r="AW41" s="1" t="s">
        <v>192</v>
      </c>
      <c r="AX41" s="9">
        <f>6.33/4.35</f>
        <v>1.4551724137931037</v>
      </c>
      <c r="AY41" s="47">
        <v>0</v>
      </c>
      <c r="AZ41" s="2">
        <v>0</v>
      </c>
      <c r="BA41" s="2">
        <v>1</v>
      </c>
      <c r="BB41" s="9">
        <f>4.16/3.9</f>
        <v>1.0666666666666667</v>
      </c>
      <c r="BC41" s="2">
        <v>4</v>
      </c>
      <c r="BD41" s="2">
        <v>1</v>
      </c>
      <c r="BE41" s="2">
        <v>1</v>
      </c>
      <c r="BF41" s="1">
        <v>0</v>
      </c>
      <c r="BG41" s="1" t="s">
        <v>48</v>
      </c>
      <c r="BH41" s="1">
        <v>1</v>
      </c>
      <c r="BI41" s="1">
        <v>0</v>
      </c>
      <c r="BJ41" s="1">
        <v>0</v>
      </c>
      <c r="BK41" s="1">
        <v>0</v>
      </c>
      <c r="BL41" s="1">
        <v>0</v>
      </c>
      <c r="BM41" s="1">
        <v>1</v>
      </c>
      <c r="BN41" s="1">
        <v>0</v>
      </c>
      <c r="BO41" s="1">
        <v>1</v>
      </c>
      <c r="BP41" s="1">
        <v>0</v>
      </c>
      <c r="BQ41" s="1">
        <v>0</v>
      </c>
      <c r="BR41" s="1">
        <v>1</v>
      </c>
      <c r="BS41" s="1" t="s">
        <v>80</v>
      </c>
      <c r="BT41" s="7">
        <v>0</v>
      </c>
      <c r="BU41" s="1">
        <v>0</v>
      </c>
      <c r="BV41" s="13" t="s">
        <v>50</v>
      </c>
      <c r="BW41" s="13">
        <v>0</v>
      </c>
      <c r="BX41" s="1">
        <v>1</v>
      </c>
      <c r="BY41" s="1">
        <v>0</v>
      </c>
      <c r="BZ41" s="1">
        <v>0</v>
      </c>
      <c r="CA41" s="1">
        <v>0</v>
      </c>
      <c r="CB41" s="32" t="s">
        <v>54</v>
      </c>
    </row>
    <row r="42" spans="1:80" s="35" customFormat="1" x14ac:dyDescent="0.3">
      <c r="A42" s="1">
        <v>41</v>
      </c>
      <c r="B42" s="2">
        <v>66</v>
      </c>
      <c r="C42" s="2" t="s">
        <v>52</v>
      </c>
      <c r="D42" s="2" t="s">
        <v>47</v>
      </c>
      <c r="E42" s="2" t="s">
        <v>74</v>
      </c>
      <c r="F42" s="103">
        <v>185.4</v>
      </c>
      <c r="G42" s="15">
        <v>113.4</v>
      </c>
      <c r="H42" s="5">
        <f>G42/(('[1]Maya Nonsaddle'!G42/100)^2)</f>
        <v>32.983740202796596</v>
      </c>
      <c r="I42" s="13">
        <v>0</v>
      </c>
      <c r="J42" s="13">
        <v>2</v>
      </c>
      <c r="K42" s="13">
        <v>1</v>
      </c>
      <c r="L42" s="13">
        <v>0</v>
      </c>
      <c r="M42" s="13">
        <v>68</v>
      </c>
      <c r="N42" s="13">
        <v>0</v>
      </c>
      <c r="O42" s="13">
        <v>168</v>
      </c>
      <c r="P42" s="13">
        <v>0</v>
      </c>
      <c r="Q42" s="13">
        <v>26</v>
      </c>
      <c r="R42" s="13">
        <v>0</v>
      </c>
      <c r="S42" s="5">
        <v>99.4</v>
      </c>
      <c r="T42" s="13">
        <v>0</v>
      </c>
      <c r="U42" s="13">
        <v>95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1</v>
      </c>
      <c r="AH42" s="13">
        <v>0</v>
      </c>
      <c r="AI42" s="13">
        <v>1</v>
      </c>
      <c r="AJ42" s="13">
        <v>1</v>
      </c>
      <c r="AK42" s="13">
        <v>0</v>
      </c>
      <c r="AL42" s="13">
        <v>0</v>
      </c>
      <c r="AM42" s="13">
        <v>0</v>
      </c>
      <c r="AN42" s="13">
        <v>0</v>
      </c>
      <c r="AO42" s="13" t="s">
        <v>48</v>
      </c>
      <c r="AP42" s="13" t="s">
        <v>48</v>
      </c>
      <c r="AQ42" s="13">
        <v>0</v>
      </c>
      <c r="AR42" s="13">
        <v>0</v>
      </c>
      <c r="AS42" s="13" t="s">
        <v>48</v>
      </c>
      <c r="AT42" s="13" t="s">
        <v>48</v>
      </c>
      <c r="AU42" s="13" t="s">
        <v>48</v>
      </c>
      <c r="AV42" s="13" t="s">
        <v>48</v>
      </c>
      <c r="AW42" s="13" t="s">
        <v>48</v>
      </c>
      <c r="AX42" s="9">
        <f>4.57/5.62</f>
        <v>0.81316725978647686</v>
      </c>
      <c r="AY42" s="47">
        <v>0</v>
      </c>
      <c r="AZ42" s="2">
        <v>0</v>
      </c>
      <c r="BA42" s="2">
        <v>0</v>
      </c>
      <c r="BB42" s="9">
        <f>2.39/3.6</f>
        <v>0.66388888888888886</v>
      </c>
      <c r="BC42" s="2">
        <v>2</v>
      </c>
      <c r="BD42" s="2">
        <v>0</v>
      </c>
      <c r="BE42" s="2">
        <v>0</v>
      </c>
      <c r="BF42" s="13">
        <v>0</v>
      </c>
      <c r="BG42" s="13" t="s">
        <v>48</v>
      </c>
      <c r="BH42" s="13">
        <v>0</v>
      </c>
      <c r="BI42" s="1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 t="s">
        <v>48</v>
      </c>
      <c r="BQ42" s="13" t="s">
        <v>48</v>
      </c>
      <c r="BR42" s="13">
        <v>0</v>
      </c>
      <c r="BS42" s="13">
        <v>0</v>
      </c>
      <c r="BT42" s="7">
        <v>0</v>
      </c>
      <c r="BU42" s="13">
        <v>0</v>
      </c>
      <c r="BV42" s="13" t="s">
        <v>50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34" t="s">
        <v>81</v>
      </c>
    </row>
    <row r="43" spans="1:80" s="35" customFormat="1" x14ac:dyDescent="0.3">
      <c r="A43" s="1">
        <v>42</v>
      </c>
      <c r="B43" s="2">
        <v>72</v>
      </c>
      <c r="C43" s="2" t="s">
        <v>52</v>
      </c>
      <c r="D43" s="2" t="s">
        <v>47</v>
      </c>
      <c r="E43" s="2" t="s">
        <v>76</v>
      </c>
      <c r="F43" s="103">
        <v>160</v>
      </c>
      <c r="G43" s="15">
        <v>87.1</v>
      </c>
      <c r="H43" s="5">
        <f>G43/(('[1]Maya Nonsaddle'!G43/100)^2)</f>
        <v>34.014933235207863</v>
      </c>
      <c r="I43" s="13">
        <v>1</v>
      </c>
      <c r="J43" s="13">
        <v>4</v>
      </c>
      <c r="K43" s="13">
        <v>2</v>
      </c>
      <c r="L43" s="13">
        <v>0</v>
      </c>
      <c r="M43" s="13">
        <v>92</v>
      </c>
      <c r="N43" s="13">
        <v>0</v>
      </c>
      <c r="O43" s="13">
        <v>123</v>
      </c>
      <c r="P43" s="13">
        <v>0</v>
      </c>
      <c r="Q43" s="13">
        <v>18</v>
      </c>
      <c r="R43" s="13">
        <v>0</v>
      </c>
      <c r="S43" s="5">
        <v>98.2</v>
      </c>
      <c r="T43" s="13">
        <v>0</v>
      </c>
      <c r="U43" s="13">
        <v>95</v>
      </c>
      <c r="V43" s="13">
        <v>0</v>
      </c>
      <c r="W43" s="13">
        <v>0</v>
      </c>
      <c r="X43" s="13">
        <v>0</v>
      </c>
      <c r="Y43" s="13">
        <v>1</v>
      </c>
      <c r="Z43" s="13">
        <v>1</v>
      </c>
      <c r="AA43" s="13">
        <v>1</v>
      </c>
      <c r="AB43" s="13">
        <v>1</v>
      </c>
      <c r="AC43" s="13">
        <v>1</v>
      </c>
      <c r="AD43" s="13">
        <v>1</v>
      </c>
      <c r="AE43" s="13">
        <v>1</v>
      </c>
      <c r="AF43" s="13">
        <v>0</v>
      </c>
      <c r="AG43" s="13">
        <v>1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1</v>
      </c>
      <c r="AO43" s="13">
        <v>1</v>
      </c>
      <c r="AP43" s="13">
        <v>0</v>
      </c>
      <c r="AQ43" s="13" t="s">
        <v>48</v>
      </c>
      <c r="AR43" s="13">
        <v>1</v>
      </c>
      <c r="AS43" s="13" t="s">
        <v>48</v>
      </c>
      <c r="AT43" s="13" t="s">
        <v>48</v>
      </c>
      <c r="AU43" s="13" t="s">
        <v>48</v>
      </c>
      <c r="AV43" s="13" t="s">
        <v>48</v>
      </c>
      <c r="AW43" s="13" t="s">
        <v>48</v>
      </c>
      <c r="AX43" s="9">
        <f>2.91/4.68</f>
        <v>0.62179487179487192</v>
      </c>
      <c r="AY43" s="47">
        <v>0</v>
      </c>
      <c r="AZ43" s="2">
        <v>0</v>
      </c>
      <c r="BA43" s="2">
        <v>0</v>
      </c>
      <c r="BB43" s="9">
        <f>2.55/3.15</f>
        <v>0.80952380952380953</v>
      </c>
      <c r="BC43" s="2">
        <v>1</v>
      </c>
      <c r="BD43" s="2">
        <v>0</v>
      </c>
      <c r="BE43" s="2">
        <v>0</v>
      </c>
      <c r="BF43" s="13">
        <v>0</v>
      </c>
      <c r="BG43" s="13" t="s">
        <v>48</v>
      </c>
      <c r="BH43" s="13">
        <v>0</v>
      </c>
      <c r="BI43" s="1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 t="s">
        <v>48</v>
      </c>
      <c r="BQ43" s="13" t="s">
        <v>48</v>
      </c>
      <c r="BR43" s="13">
        <v>0</v>
      </c>
      <c r="BS43" s="13">
        <v>0</v>
      </c>
      <c r="BT43" s="7">
        <v>0</v>
      </c>
      <c r="BU43" s="13">
        <v>1</v>
      </c>
      <c r="BV43" s="13" t="s">
        <v>82</v>
      </c>
      <c r="BW43" s="13">
        <v>0</v>
      </c>
      <c r="BX43" s="13">
        <v>0</v>
      </c>
      <c r="BY43" s="13">
        <v>0</v>
      </c>
      <c r="BZ43" s="13">
        <v>0</v>
      </c>
      <c r="CA43" s="13">
        <v>1</v>
      </c>
      <c r="CB43" s="34" t="s">
        <v>60</v>
      </c>
    </row>
    <row r="44" spans="1:80" s="33" customFormat="1" x14ac:dyDescent="0.3">
      <c r="A44" s="1">
        <v>43</v>
      </c>
      <c r="B44" s="2">
        <v>57</v>
      </c>
      <c r="C44" s="3" t="s">
        <v>46</v>
      </c>
      <c r="D44" s="3" t="s">
        <v>53</v>
      </c>
      <c r="E44" s="3" t="s">
        <v>77</v>
      </c>
      <c r="F44" s="103">
        <v>180.3</v>
      </c>
      <c r="G44" s="6">
        <v>115.67</v>
      </c>
      <c r="H44" s="5">
        <f>G44/(('[1]Maya Nonsaddle'!G44/100)^2)</f>
        <v>35.566129454020462</v>
      </c>
      <c r="I44" s="1">
        <v>0</v>
      </c>
      <c r="J44" s="1">
        <v>2</v>
      </c>
      <c r="K44" s="1">
        <v>2</v>
      </c>
      <c r="L44" s="1">
        <v>0</v>
      </c>
      <c r="M44" s="1">
        <v>93</v>
      </c>
      <c r="N44" s="1">
        <v>0</v>
      </c>
      <c r="O44" s="1">
        <v>172</v>
      </c>
      <c r="P44" s="1">
        <v>0</v>
      </c>
      <c r="Q44" s="1">
        <v>17</v>
      </c>
      <c r="R44" s="1">
        <v>0</v>
      </c>
      <c r="S44" s="30">
        <v>98.2</v>
      </c>
      <c r="T44" s="1">
        <v>0</v>
      </c>
      <c r="U44" s="1">
        <v>96</v>
      </c>
      <c r="V44" s="1">
        <v>0</v>
      </c>
      <c r="W44" s="13">
        <v>0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 t="s">
        <v>48</v>
      </c>
      <c r="AP44" s="1" t="s">
        <v>48</v>
      </c>
      <c r="AQ44" s="1">
        <v>1</v>
      </c>
      <c r="AR44" s="1">
        <v>0</v>
      </c>
      <c r="AS44" s="13">
        <v>1</v>
      </c>
      <c r="AT44" s="13">
        <v>1</v>
      </c>
      <c r="AU44" s="13">
        <v>1</v>
      </c>
      <c r="AV44" s="13">
        <v>0</v>
      </c>
      <c r="AW44" s="1">
        <v>53.6</v>
      </c>
      <c r="AX44" s="9">
        <f>4.77/4.66</f>
        <v>1.0236051502145922</v>
      </c>
      <c r="AY44" s="47">
        <v>0</v>
      </c>
      <c r="AZ44" s="2">
        <v>0</v>
      </c>
      <c r="BA44" s="2">
        <v>1</v>
      </c>
      <c r="BB44" s="9">
        <f>3.57/4.18</f>
        <v>0.85406698564593309</v>
      </c>
      <c r="BC44" s="2">
        <v>3</v>
      </c>
      <c r="BD44" s="2">
        <v>0</v>
      </c>
      <c r="BE44" s="2">
        <v>1</v>
      </c>
      <c r="BF44" s="1">
        <v>0</v>
      </c>
      <c r="BG44" s="1" t="s">
        <v>48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 t="s">
        <v>48</v>
      </c>
      <c r="BQ44" s="1" t="s">
        <v>48</v>
      </c>
      <c r="BR44" s="1">
        <v>0</v>
      </c>
      <c r="BS44" s="1">
        <v>0</v>
      </c>
      <c r="BT44" s="7">
        <v>0</v>
      </c>
      <c r="BU44" s="1">
        <v>0</v>
      </c>
      <c r="BV44" s="13" t="s">
        <v>50</v>
      </c>
      <c r="BW44" s="13">
        <v>0</v>
      </c>
      <c r="BX44" s="1">
        <v>0</v>
      </c>
      <c r="BY44" s="1">
        <v>0</v>
      </c>
      <c r="BZ44" s="1">
        <v>0</v>
      </c>
      <c r="CA44" s="1">
        <v>0</v>
      </c>
      <c r="CB44" s="32" t="s">
        <v>61</v>
      </c>
    </row>
    <row r="45" spans="1:80" s="35" customFormat="1" x14ac:dyDescent="0.3">
      <c r="A45" s="1">
        <v>44</v>
      </c>
      <c r="B45" s="2">
        <v>75</v>
      </c>
      <c r="C45" s="2" t="s">
        <v>52</v>
      </c>
      <c r="D45" s="2" t="s">
        <v>47</v>
      </c>
      <c r="E45" s="2" t="s">
        <v>83</v>
      </c>
      <c r="F45" s="103">
        <v>152.4</v>
      </c>
      <c r="G45" s="15">
        <v>42.9</v>
      </c>
      <c r="H45" s="5">
        <f>G45/(('[1]Maya Nonsaddle'!G45/100)^2)</f>
        <v>18.470870275073882</v>
      </c>
      <c r="I45" s="13">
        <v>1</v>
      </c>
      <c r="J45" s="13">
        <v>4</v>
      </c>
      <c r="K45" s="13">
        <v>1</v>
      </c>
      <c r="L45" s="13">
        <v>1</v>
      </c>
      <c r="M45" s="13">
        <v>124</v>
      </c>
      <c r="N45" s="13">
        <v>0</v>
      </c>
      <c r="O45" s="13">
        <v>134</v>
      </c>
      <c r="P45" s="13">
        <v>0</v>
      </c>
      <c r="Q45" s="13">
        <v>14</v>
      </c>
      <c r="R45" s="13">
        <v>0</v>
      </c>
      <c r="S45" s="5">
        <v>98</v>
      </c>
      <c r="T45" s="13">
        <v>0</v>
      </c>
      <c r="U45" s="13">
        <v>97</v>
      </c>
      <c r="V45" s="13">
        <v>0</v>
      </c>
      <c r="W45" s="13">
        <v>0</v>
      </c>
      <c r="X45" s="13">
        <v>0</v>
      </c>
      <c r="Y45" s="13">
        <v>0</v>
      </c>
      <c r="Z45" s="13">
        <v>1</v>
      </c>
      <c r="AA45" s="13">
        <v>1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1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 t="s">
        <v>48</v>
      </c>
      <c r="AP45" s="13" t="s">
        <v>48</v>
      </c>
      <c r="AQ45" s="13" t="s">
        <v>48</v>
      </c>
      <c r="AR45" s="13">
        <v>0</v>
      </c>
      <c r="AS45" s="13" t="s">
        <v>48</v>
      </c>
      <c r="AT45" s="13" t="s">
        <v>48</v>
      </c>
      <c r="AU45" s="13" t="s">
        <v>48</v>
      </c>
      <c r="AV45" s="13" t="s">
        <v>48</v>
      </c>
      <c r="AW45" s="13" t="s">
        <v>48</v>
      </c>
      <c r="AX45" s="9">
        <f>4.55/4.61</f>
        <v>0.98698481561822116</v>
      </c>
      <c r="AY45" s="47">
        <v>0</v>
      </c>
      <c r="AZ45" s="2">
        <v>0</v>
      </c>
      <c r="BA45" s="2">
        <v>1</v>
      </c>
      <c r="BB45" s="9">
        <f>2.73/3.1</f>
        <v>0.88064516129032255</v>
      </c>
      <c r="BC45" s="2">
        <v>3</v>
      </c>
      <c r="BD45" s="2">
        <v>0</v>
      </c>
      <c r="BE45" s="2">
        <v>1</v>
      </c>
      <c r="BF45" s="13">
        <v>0</v>
      </c>
      <c r="BG45" s="13" t="s">
        <v>48</v>
      </c>
      <c r="BH45" s="13">
        <v>0</v>
      </c>
      <c r="BI45" s="1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 t="s">
        <v>48</v>
      </c>
      <c r="BQ45" s="13" t="s">
        <v>48</v>
      </c>
      <c r="BR45" s="13">
        <v>0</v>
      </c>
      <c r="BS45" s="13">
        <v>0</v>
      </c>
      <c r="BT45" s="7">
        <v>0</v>
      </c>
      <c r="BU45" s="13">
        <v>0</v>
      </c>
      <c r="BV45" s="13" t="s">
        <v>82</v>
      </c>
      <c r="BW45" s="13">
        <v>0</v>
      </c>
      <c r="BX45" s="13">
        <v>0</v>
      </c>
      <c r="BY45" s="13">
        <v>1</v>
      </c>
      <c r="BZ45" s="13">
        <v>0</v>
      </c>
      <c r="CA45" s="13">
        <v>0</v>
      </c>
      <c r="CB45" s="34" t="s">
        <v>60</v>
      </c>
    </row>
    <row r="46" spans="1:80" s="35" customFormat="1" x14ac:dyDescent="0.3">
      <c r="A46" s="1">
        <v>45</v>
      </c>
      <c r="B46" s="2">
        <v>45</v>
      </c>
      <c r="C46" s="2" t="s">
        <v>52</v>
      </c>
      <c r="D46" s="2" t="s">
        <v>47</v>
      </c>
      <c r="E46" s="2" t="s">
        <v>77</v>
      </c>
      <c r="F46" s="103">
        <v>167.6</v>
      </c>
      <c r="G46" s="15">
        <v>82.1</v>
      </c>
      <c r="H46" s="5">
        <f>G46/(('[1]Maya Nonsaddle'!G46/100)^2)</f>
        <v>29.213786618574151</v>
      </c>
      <c r="I46" s="13">
        <v>0</v>
      </c>
      <c r="J46" s="13">
        <v>1</v>
      </c>
      <c r="K46" s="13">
        <v>1</v>
      </c>
      <c r="L46" s="13">
        <v>0</v>
      </c>
      <c r="M46" s="13">
        <v>98</v>
      </c>
      <c r="N46" s="13">
        <v>0</v>
      </c>
      <c r="O46" s="13">
        <v>162</v>
      </c>
      <c r="P46" s="13">
        <v>0</v>
      </c>
      <c r="Q46" s="13">
        <v>20</v>
      </c>
      <c r="R46" s="13">
        <v>0</v>
      </c>
      <c r="S46" s="5">
        <v>98.1</v>
      </c>
      <c r="T46" s="13">
        <v>0</v>
      </c>
      <c r="U46" s="13">
        <v>100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1</v>
      </c>
      <c r="AH46" s="13">
        <v>1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 t="s">
        <v>48</v>
      </c>
      <c r="AQ46" s="13">
        <v>0</v>
      </c>
      <c r="AR46" s="13">
        <v>0</v>
      </c>
      <c r="AS46" s="13" t="s">
        <v>48</v>
      </c>
      <c r="AT46" s="13" t="s">
        <v>48</v>
      </c>
      <c r="AU46" s="13" t="s">
        <v>48</v>
      </c>
      <c r="AV46" s="13" t="s">
        <v>48</v>
      </c>
      <c r="AW46" s="13" t="s">
        <v>48</v>
      </c>
      <c r="AX46" s="9">
        <f>4/4.82</f>
        <v>0.82987551867219911</v>
      </c>
      <c r="AY46" s="47">
        <v>0</v>
      </c>
      <c r="AZ46" s="2">
        <v>0</v>
      </c>
      <c r="BA46" s="2">
        <v>0</v>
      </c>
      <c r="BB46" s="9">
        <f>2.59/2.76</f>
        <v>0.93840579710144933</v>
      </c>
      <c r="BC46" s="2">
        <v>2</v>
      </c>
      <c r="BD46" s="2">
        <v>0</v>
      </c>
      <c r="BE46" s="2">
        <v>0</v>
      </c>
      <c r="BF46" s="13">
        <v>0</v>
      </c>
      <c r="BG46" s="13" t="s">
        <v>48</v>
      </c>
      <c r="BH46" s="13">
        <v>0</v>
      </c>
      <c r="BI46" s="1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 t="s">
        <v>48</v>
      </c>
      <c r="BQ46" s="13" t="s">
        <v>48</v>
      </c>
      <c r="BR46" s="13">
        <v>0</v>
      </c>
      <c r="BS46" s="13">
        <v>0</v>
      </c>
      <c r="BT46" s="7">
        <v>0</v>
      </c>
      <c r="BU46" s="13">
        <v>0</v>
      </c>
      <c r="BV46" s="13" t="s">
        <v>50</v>
      </c>
      <c r="BW46" s="13">
        <v>0</v>
      </c>
      <c r="BX46" s="13">
        <v>0</v>
      </c>
      <c r="BY46" s="13">
        <v>1</v>
      </c>
      <c r="BZ46" s="13">
        <v>0</v>
      </c>
      <c r="CA46" s="13">
        <v>0</v>
      </c>
      <c r="CB46" s="34" t="s">
        <v>84</v>
      </c>
    </row>
    <row r="47" spans="1:80" s="35" customFormat="1" x14ac:dyDescent="0.3">
      <c r="A47" s="1">
        <v>46</v>
      </c>
      <c r="B47" s="2">
        <v>70</v>
      </c>
      <c r="C47" s="2" t="s">
        <v>52</v>
      </c>
      <c r="D47" s="2" t="s">
        <v>47</v>
      </c>
      <c r="E47" s="2" t="s">
        <v>85</v>
      </c>
      <c r="F47" s="103">
        <v>167.6</v>
      </c>
      <c r="G47" s="15">
        <v>96.6</v>
      </c>
      <c r="H47" s="5">
        <f>G47/(('[1]Maya Nonsaddle'!G47/100)^2)</f>
        <v>34.373346983608563</v>
      </c>
      <c r="I47" s="13">
        <v>1</v>
      </c>
      <c r="J47" s="13">
        <v>3</v>
      </c>
      <c r="K47" s="13">
        <v>1</v>
      </c>
      <c r="L47" s="13">
        <v>1</v>
      </c>
      <c r="M47" s="13">
        <v>112</v>
      </c>
      <c r="N47" s="13">
        <v>0</v>
      </c>
      <c r="O47" s="13">
        <v>187</v>
      </c>
      <c r="P47" s="13">
        <v>0</v>
      </c>
      <c r="Q47" s="13">
        <v>20</v>
      </c>
      <c r="R47" s="13">
        <v>0</v>
      </c>
      <c r="S47" s="5">
        <v>98.2</v>
      </c>
      <c r="T47" s="13">
        <v>0</v>
      </c>
      <c r="U47" s="13">
        <v>96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1</v>
      </c>
      <c r="AL47" s="13">
        <v>0</v>
      </c>
      <c r="AM47" s="13">
        <v>0</v>
      </c>
      <c r="AN47" s="13">
        <v>0</v>
      </c>
      <c r="AO47" s="13">
        <v>1</v>
      </c>
      <c r="AP47" s="13">
        <v>0</v>
      </c>
      <c r="AQ47" s="13">
        <v>0</v>
      </c>
      <c r="AR47" s="13" t="s">
        <v>48</v>
      </c>
      <c r="AS47" s="13">
        <v>0</v>
      </c>
      <c r="AT47" s="13">
        <v>0</v>
      </c>
      <c r="AU47" s="13">
        <v>0</v>
      </c>
      <c r="AV47" s="13">
        <v>0</v>
      </c>
      <c r="AW47" s="13" t="s">
        <v>192</v>
      </c>
      <c r="AX47" s="9">
        <f>4.21/4.79</f>
        <v>0.87891440501043838</v>
      </c>
      <c r="AY47" s="47">
        <v>1</v>
      </c>
      <c r="AZ47" s="2">
        <v>0</v>
      </c>
      <c r="BA47" s="2">
        <v>0</v>
      </c>
      <c r="BB47" s="9">
        <f>2.61/3.43</f>
        <v>0.76093294460641392</v>
      </c>
      <c r="BC47" s="2">
        <v>1</v>
      </c>
      <c r="BD47" s="2">
        <v>0</v>
      </c>
      <c r="BE47" s="2">
        <v>0</v>
      </c>
      <c r="BF47" s="13">
        <v>0</v>
      </c>
      <c r="BG47" s="13" t="s">
        <v>48</v>
      </c>
      <c r="BH47" s="13">
        <v>0</v>
      </c>
      <c r="BI47" s="1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 t="s">
        <v>48</v>
      </c>
      <c r="BQ47" s="13" t="s">
        <v>48</v>
      </c>
      <c r="BR47" s="13">
        <v>0</v>
      </c>
      <c r="BS47" s="13">
        <v>0</v>
      </c>
      <c r="BT47" s="7">
        <v>0</v>
      </c>
      <c r="BU47" s="13">
        <v>0</v>
      </c>
      <c r="BV47" s="13" t="s">
        <v>50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34" t="s">
        <v>62</v>
      </c>
    </row>
    <row r="48" spans="1:80" s="35" customFormat="1" x14ac:dyDescent="0.3">
      <c r="A48" s="1">
        <v>47</v>
      </c>
      <c r="B48" s="2">
        <v>65</v>
      </c>
      <c r="C48" s="2" t="s">
        <v>52</v>
      </c>
      <c r="D48" s="2" t="s">
        <v>47</v>
      </c>
      <c r="E48" s="2" t="s">
        <v>83</v>
      </c>
      <c r="F48" s="103">
        <v>165.1</v>
      </c>
      <c r="G48" s="15">
        <v>69.900000000000006</v>
      </c>
      <c r="H48" s="5">
        <f>G48/(('[1]Maya Nonsaddle'!G48/100)^2)</f>
        <v>25.643838269925062</v>
      </c>
      <c r="I48" s="13">
        <v>0</v>
      </c>
      <c r="J48" s="13">
        <v>1</v>
      </c>
      <c r="K48" s="13">
        <v>1</v>
      </c>
      <c r="L48" s="13">
        <v>0</v>
      </c>
      <c r="M48" s="13">
        <v>102</v>
      </c>
      <c r="N48" s="13">
        <v>0</v>
      </c>
      <c r="O48" s="13">
        <v>174</v>
      </c>
      <c r="P48" s="13">
        <v>0</v>
      </c>
      <c r="Q48" s="13">
        <v>18</v>
      </c>
      <c r="R48" s="13">
        <v>0</v>
      </c>
      <c r="S48" s="5">
        <v>99.8</v>
      </c>
      <c r="T48" s="13">
        <v>0</v>
      </c>
      <c r="U48" s="13">
        <v>99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1</v>
      </c>
      <c r="AE48" s="13">
        <v>0</v>
      </c>
      <c r="AF48" s="13">
        <v>0</v>
      </c>
      <c r="AG48" s="13">
        <v>1</v>
      </c>
      <c r="AH48" s="13">
        <v>0</v>
      </c>
      <c r="AI48" s="13">
        <v>1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1</v>
      </c>
      <c r="AP48" s="13">
        <v>1</v>
      </c>
      <c r="AQ48" s="13">
        <v>0</v>
      </c>
      <c r="AR48" s="13" t="s">
        <v>48</v>
      </c>
      <c r="AS48" s="13">
        <v>0</v>
      </c>
      <c r="AT48" s="13">
        <v>0</v>
      </c>
      <c r="AU48" s="13">
        <v>0</v>
      </c>
      <c r="AV48" s="13">
        <v>0</v>
      </c>
      <c r="AW48" s="13" t="s">
        <v>192</v>
      </c>
      <c r="AX48" s="9">
        <f>3.3/3.74</f>
        <v>0.88235294117647045</v>
      </c>
      <c r="AY48" s="47">
        <v>1</v>
      </c>
      <c r="AZ48" s="2">
        <v>0</v>
      </c>
      <c r="BA48" s="2">
        <v>0</v>
      </c>
      <c r="BB48" s="9">
        <f>2.3/3.04</f>
        <v>0.75657894736842102</v>
      </c>
      <c r="BC48" s="2">
        <v>2</v>
      </c>
      <c r="BD48" s="2">
        <v>1</v>
      </c>
      <c r="BE48" s="2">
        <v>0</v>
      </c>
      <c r="BF48" s="13">
        <v>0</v>
      </c>
      <c r="BG48" s="13" t="s">
        <v>48</v>
      </c>
      <c r="BH48" s="13">
        <v>0</v>
      </c>
      <c r="BI48" s="1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 t="s">
        <v>48</v>
      </c>
      <c r="BQ48" s="13" t="s">
        <v>48</v>
      </c>
      <c r="BR48" s="13">
        <v>0</v>
      </c>
      <c r="BS48" s="13">
        <v>0</v>
      </c>
      <c r="BT48" s="7">
        <v>0</v>
      </c>
      <c r="BU48" s="13">
        <v>0</v>
      </c>
      <c r="BV48" s="13" t="s">
        <v>50</v>
      </c>
      <c r="BW48" s="13">
        <v>0</v>
      </c>
      <c r="BX48" s="13">
        <v>0</v>
      </c>
      <c r="BY48" s="13">
        <v>1</v>
      </c>
      <c r="BZ48" s="13">
        <v>0</v>
      </c>
      <c r="CA48" s="13">
        <v>0</v>
      </c>
      <c r="CB48" s="34" t="s">
        <v>56</v>
      </c>
    </row>
    <row r="49" spans="1:80" s="33" customFormat="1" x14ac:dyDescent="0.3">
      <c r="A49" s="1">
        <v>48</v>
      </c>
      <c r="B49" s="2">
        <v>71</v>
      </c>
      <c r="C49" s="3" t="s">
        <v>52</v>
      </c>
      <c r="D49" s="3" t="s">
        <v>53</v>
      </c>
      <c r="E49" s="3" t="s">
        <v>77</v>
      </c>
      <c r="F49" s="103">
        <v>162.6</v>
      </c>
      <c r="G49" s="6">
        <v>97.3</v>
      </c>
      <c r="H49" s="5">
        <f>G49/(('[1]Maya Nonsaddle'!G49/100)^2)</f>
        <v>36.820141999659</v>
      </c>
      <c r="I49" s="1">
        <v>1</v>
      </c>
      <c r="J49" s="1">
        <v>2</v>
      </c>
      <c r="K49" s="1">
        <v>2</v>
      </c>
      <c r="L49" s="1">
        <v>0</v>
      </c>
      <c r="M49" s="1">
        <v>81</v>
      </c>
      <c r="N49" s="1">
        <v>0</v>
      </c>
      <c r="O49" s="1">
        <v>108</v>
      </c>
      <c r="P49" s="1">
        <v>0</v>
      </c>
      <c r="Q49" s="1">
        <v>20</v>
      </c>
      <c r="R49" s="1">
        <v>0</v>
      </c>
      <c r="S49" s="30">
        <v>99.3</v>
      </c>
      <c r="T49" s="1">
        <v>0</v>
      </c>
      <c r="U49" s="1">
        <v>95</v>
      </c>
      <c r="V49" s="1">
        <v>0</v>
      </c>
      <c r="W49" s="13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1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 t="s">
        <v>48</v>
      </c>
      <c r="AP49" s="1" t="s">
        <v>48</v>
      </c>
      <c r="AQ49" s="1">
        <v>1</v>
      </c>
      <c r="AR49" s="1">
        <v>0</v>
      </c>
      <c r="AS49" s="13" t="s">
        <v>48</v>
      </c>
      <c r="AT49" s="13" t="s">
        <v>48</v>
      </c>
      <c r="AU49" s="13" t="s">
        <v>48</v>
      </c>
      <c r="AV49" s="13" t="s">
        <v>48</v>
      </c>
      <c r="AW49" s="1" t="s">
        <v>48</v>
      </c>
      <c r="AX49" s="9">
        <f>4.16/4.6</f>
        <v>0.90434782608695663</v>
      </c>
      <c r="AY49" s="47">
        <v>1</v>
      </c>
      <c r="AZ49" s="2">
        <v>0</v>
      </c>
      <c r="BA49" s="2">
        <v>0</v>
      </c>
      <c r="BB49" s="9">
        <f>3.43/3.09</f>
        <v>1.110032362459547</v>
      </c>
      <c r="BC49" s="2">
        <v>2</v>
      </c>
      <c r="BD49" s="2">
        <v>0</v>
      </c>
      <c r="BE49" s="2">
        <v>0</v>
      </c>
      <c r="BF49" s="1">
        <v>0</v>
      </c>
      <c r="BG49" s="1" t="s">
        <v>48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 t="s">
        <v>48</v>
      </c>
      <c r="BQ49" s="1" t="s">
        <v>48</v>
      </c>
      <c r="BR49" s="1">
        <v>0</v>
      </c>
      <c r="BS49" s="1">
        <v>0</v>
      </c>
      <c r="BT49" s="7">
        <v>0</v>
      </c>
      <c r="BU49" s="1">
        <v>0</v>
      </c>
      <c r="BV49" s="13" t="s">
        <v>50</v>
      </c>
      <c r="BW49" s="13">
        <v>0</v>
      </c>
      <c r="BX49" s="1">
        <v>0</v>
      </c>
      <c r="BY49" s="1">
        <v>0</v>
      </c>
      <c r="BZ49" s="1">
        <v>0</v>
      </c>
      <c r="CA49" s="1">
        <v>0</v>
      </c>
      <c r="CB49" s="32" t="s">
        <v>81</v>
      </c>
    </row>
    <row r="50" spans="1:80" s="35" customFormat="1" x14ac:dyDescent="0.3">
      <c r="A50" s="1">
        <v>49</v>
      </c>
      <c r="B50" s="2" t="s">
        <v>86</v>
      </c>
      <c r="C50" s="2" t="s">
        <v>46</v>
      </c>
      <c r="D50" s="2" t="s">
        <v>53</v>
      </c>
      <c r="E50" s="2" t="s">
        <v>74</v>
      </c>
      <c r="F50" s="103">
        <v>182.9</v>
      </c>
      <c r="G50" s="15">
        <v>117.9</v>
      </c>
      <c r="H50" s="5">
        <f>G50/(('[1]Maya Nonsaddle'!G50/100)^2)</f>
        <v>35.251806614724345</v>
      </c>
      <c r="I50" s="13">
        <v>0</v>
      </c>
      <c r="J50" s="13">
        <v>2</v>
      </c>
      <c r="K50" s="13">
        <v>1</v>
      </c>
      <c r="L50" s="13">
        <v>0</v>
      </c>
      <c r="M50" s="13">
        <v>100</v>
      </c>
      <c r="N50" s="13">
        <v>0</v>
      </c>
      <c r="O50" s="13">
        <v>148</v>
      </c>
      <c r="P50" s="13">
        <v>0</v>
      </c>
      <c r="Q50" s="13">
        <v>19</v>
      </c>
      <c r="R50" s="13">
        <v>0</v>
      </c>
      <c r="S50" s="5">
        <v>97.5</v>
      </c>
      <c r="T50" s="13">
        <v>0</v>
      </c>
      <c r="U50" s="13">
        <v>95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1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1</v>
      </c>
      <c r="AP50" s="13">
        <v>1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 t="s">
        <v>192</v>
      </c>
      <c r="AX50" s="9">
        <f>4.59/4.73</f>
        <v>0.97040169133192378</v>
      </c>
      <c r="AY50" s="47">
        <v>0</v>
      </c>
      <c r="AZ50" s="2">
        <v>0</v>
      </c>
      <c r="BA50" s="2">
        <v>1</v>
      </c>
      <c r="BB50" s="9">
        <f>3.12/3.52</f>
        <v>0.88636363636363635</v>
      </c>
      <c r="BC50" s="2">
        <v>3</v>
      </c>
      <c r="BD50" s="2">
        <v>0</v>
      </c>
      <c r="BE50" s="2">
        <v>1</v>
      </c>
      <c r="BF50" s="13">
        <v>0</v>
      </c>
      <c r="BG50" s="13" t="s">
        <v>48</v>
      </c>
      <c r="BH50" s="13">
        <v>0</v>
      </c>
      <c r="BI50" s="1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 t="s">
        <v>48</v>
      </c>
      <c r="BQ50" s="13" t="s">
        <v>48</v>
      </c>
      <c r="BR50" s="13">
        <v>0</v>
      </c>
      <c r="BS50" s="13">
        <v>0</v>
      </c>
      <c r="BT50" s="7">
        <v>0</v>
      </c>
      <c r="BU50" s="13">
        <v>0</v>
      </c>
      <c r="BV50" s="13" t="s">
        <v>50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34" t="s">
        <v>62</v>
      </c>
    </row>
    <row r="51" spans="1:80" s="33" customFormat="1" x14ac:dyDescent="0.3">
      <c r="A51" s="1">
        <v>50</v>
      </c>
      <c r="B51" s="2">
        <v>61</v>
      </c>
      <c r="C51" s="3" t="s">
        <v>52</v>
      </c>
      <c r="D51" s="3" t="s">
        <v>53</v>
      </c>
      <c r="E51" s="3" t="s">
        <v>87</v>
      </c>
      <c r="F51" s="103">
        <v>175.3</v>
      </c>
      <c r="G51" s="6">
        <v>95.4</v>
      </c>
      <c r="H51" s="5">
        <f>G51/(('[1]Maya Nonsaddle'!G51/100)^2)</f>
        <v>31.058663251542008</v>
      </c>
      <c r="I51" s="1">
        <v>0</v>
      </c>
      <c r="J51" s="1">
        <v>1</v>
      </c>
      <c r="K51" s="1">
        <v>1</v>
      </c>
      <c r="L51" s="1">
        <v>0</v>
      </c>
      <c r="M51" s="1">
        <v>94</v>
      </c>
      <c r="N51" s="1">
        <v>0</v>
      </c>
      <c r="O51" s="1">
        <v>117</v>
      </c>
      <c r="P51" s="1">
        <v>0</v>
      </c>
      <c r="Q51" s="1">
        <v>18</v>
      </c>
      <c r="R51" s="1">
        <v>0</v>
      </c>
      <c r="S51" s="30">
        <v>97.6</v>
      </c>
      <c r="T51" s="1">
        <v>0</v>
      </c>
      <c r="U51" s="1">
        <v>99</v>
      </c>
      <c r="V51" s="1">
        <v>0</v>
      </c>
      <c r="W51" s="13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1</v>
      </c>
      <c r="AL51" s="1">
        <v>0</v>
      </c>
      <c r="AM51" s="1">
        <v>0</v>
      </c>
      <c r="AN51" s="1">
        <v>0</v>
      </c>
      <c r="AO51" s="1" t="s">
        <v>48</v>
      </c>
      <c r="AP51" s="1" t="s">
        <v>48</v>
      </c>
      <c r="AQ51" s="1" t="s">
        <v>48</v>
      </c>
      <c r="AR51" s="1">
        <v>0</v>
      </c>
      <c r="AS51" s="13" t="s">
        <v>48</v>
      </c>
      <c r="AT51" s="13" t="s">
        <v>48</v>
      </c>
      <c r="AU51" s="13" t="s">
        <v>48</v>
      </c>
      <c r="AV51" s="13" t="s">
        <v>48</v>
      </c>
      <c r="AW51" s="1" t="s">
        <v>48</v>
      </c>
      <c r="AX51" s="9">
        <f>3.03/4.63</f>
        <v>0.6544276457883369</v>
      </c>
      <c r="AY51" s="47">
        <v>0</v>
      </c>
      <c r="AZ51" s="2">
        <v>0</v>
      </c>
      <c r="BA51" s="2">
        <v>0</v>
      </c>
      <c r="BB51" s="9">
        <f>3.24/2.73</f>
        <v>1.1868131868131868</v>
      </c>
      <c r="BC51" s="2">
        <v>1</v>
      </c>
      <c r="BD51" s="2">
        <v>0</v>
      </c>
      <c r="BE51" s="2">
        <v>0</v>
      </c>
      <c r="BF51" s="1" t="s">
        <v>48</v>
      </c>
      <c r="BG51" s="1" t="s">
        <v>48</v>
      </c>
      <c r="BH51" s="1" t="s">
        <v>48</v>
      </c>
      <c r="BI51" s="1">
        <v>0</v>
      </c>
      <c r="BJ51" s="1" t="s">
        <v>48</v>
      </c>
      <c r="BK51" s="1" t="s">
        <v>48</v>
      </c>
      <c r="BL51" s="1" t="s">
        <v>48</v>
      </c>
      <c r="BM51" s="1" t="s">
        <v>48</v>
      </c>
      <c r="BN51" s="1" t="s">
        <v>48</v>
      </c>
      <c r="BO51" s="1" t="s">
        <v>48</v>
      </c>
      <c r="BP51" s="1" t="s">
        <v>48</v>
      </c>
      <c r="BQ51" s="1" t="s">
        <v>48</v>
      </c>
      <c r="BR51" s="1" t="s">
        <v>48</v>
      </c>
      <c r="BS51" s="1" t="s">
        <v>48</v>
      </c>
      <c r="BT51" s="1" t="s">
        <v>48</v>
      </c>
      <c r="BU51" s="1" t="s">
        <v>48</v>
      </c>
      <c r="BV51" s="13" t="s">
        <v>57</v>
      </c>
      <c r="BW51" s="13">
        <v>0</v>
      </c>
      <c r="BX51" s="1" t="s">
        <v>48</v>
      </c>
      <c r="BY51" s="1" t="s">
        <v>48</v>
      </c>
      <c r="BZ51" s="1" t="s">
        <v>48</v>
      </c>
      <c r="CA51" s="1">
        <v>0</v>
      </c>
      <c r="CB51" s="32" t="s">
        <v>48</v>
      </c>
    </row>
    <row r="52" spans="1:80" s="35" customFormat="1" x14ac:dyDescent="0.3">
      <c r="A52" s="1">
        <v>51</v>
      </c>
      <c r="B52" s="2">
        <v>68</v>
      </c>
      <c r="C52" s="2" t="s">
        <v>52</v>
      </c>
      <c r="D52" s="2" t="s">
        <v>53</v>
      </c>
      <c r="E52" s="2" t="s">
        <v>88</v>
      </c>
      <c r="F52" s="103">
        <v>162.6</v>
      </c>
      <c r="G52" s="15">
        <v>87.5</v>
      </c>
      <c r="H52" s="5">
        <f>G52/(('[1]Maya Nonsaddle'!G52/100)^2)</f>
        <v>33.111638488901981</v>
      </c>
      <c r="I52" s="13">
        <v>1</v>
      </c>
      <c r="J52" s="13">
        <v>3</v>
      </c>
      <c r="K52" s="13">
        <v>2</v>
      </c>
      <c r="L52" s="13">
        <v>0</v>
      </c>
      <c r="M52" s="13">
        <v>86</v>
      </c>
      <c r="N52" s="13">
        <v>0</v>
      </c>
      <c r="O52" s="13">
        <v>130</v>
      </c>
      <c r="P52" s="13">
        <v>0</v>
      </c>
      <c r="Q52" s="13">
        <v>18</v>
      </c>
      <c r="R52" s="13">
        <v>0</v>
      </c>
      <c r="S52" s="5">
        <v>97.6</v>
      </c>
      <c r="T52" s="13">
        <v>1</v>
      </c>
      <c r="U52" s="13" t="s">
        <v>48</v>
      </c>
      <c r="V52" s="13">
        <v>1</v>
      </c>
      <c r="W52" s="13">
        <v>0</v>
      </c>
      <c r="X52" s="13">
        <v>1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1</v>
      </c>
      <c r="AH52" s="13">
        <v>0</v>
      </c>
      <c r="AI52" s="13">
        <v>0</v>
      </c>
      <c r="AJ52" s="13">
        <v>0</v>
      </c>
      <c r="AK52" s="13">
        <v>1</v>
      </c>
      <c r="AL52" s="13">
        <v>0</v>
      </c>
      <c r="AM52" s="13">
        <v>0</v>
      </c>
      <c r="AN52" s="13">
        <v>0</v>
      </c>
      <c r="AO52" s="13">
        <v>1</v>
      </c>
      <c r="AP52" s="13">
        <v>1</v>
      </c>
      <c r="AQ52" s="13" t="s">
        <v>48</v>
      </c>
      <c r="AR52" s="13">
        <v>1</v>
      </c>
      <c r="AS52" s="13">
        <v>1</v>
      </c>
      <c r="AT52" s="13">
        <v>1</v>
      </c>
      <c r="AU52" s="13">
        <v>1</v>
      </c>
      <c r="AV52" s="13">
        <v>0</v>
      </c>
      <c r="AW52" s="13">
        <v>35</v>
      </c>
      <c r="AX52" s="9">
        <f>4.25/4.61</f>
        <v>0.92190889370932749</v>
      </c>
      <c r="AY52" s="47">
        <v>0</v>
      </c>
      <c r="AZ52" s="2">
        <v>1</v>
      </c>
      <c r="BA52" s="2">
        <v>0</v>
      </c>
      <c r="BB52" s="9">
        <f>2.81/3.67</f>
        <v>0.76566757493188009</v>
      </c>
      <c r="BC52" s="2">
        <v>3</v>
      </c>
      <c r="BD52" s="2">
        <v>1</v>
      </c>
      <c r="BE52" s="2">
        <v>1</v>
      </c>
      <c r="BF52" s="13">
        <v>1</v>
      </c>
      <c r="BG52" s="13" t="s">
        <v>89</v>
      </c>
      <c r="BH52" s="13">
        <v>1</v>
      </c>
      <c r="BI52" s="1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0</v>
      </c>
      <c r="BQ52" s="13">
        <v>1</v>
      </c>
      <c r="BR52" s="13">
        <v>1</v>
      </c>
      <c r="BS52" s="34" t="s">
        <v>90</v>
      </c>
      <c r="BT52" s="13">
        <v>1</v>
      </c>
      <c r="BU52" s="13">
        <v>1</v>
      </c>
      <c r="BV52" s="13" t="s">
        <v>50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34" t="s">
        <v>54</v>
      </c>
    </row>
    <row r="53" spans="1:80" s="33" customFormat="1" x14ac:dyDescent="0.3">
      <c r="A53" s="1">
        <v>52</v>
      </c>
      <c r="B53" s="2">
        <v>68</v>
      </c>
      <c r="C53" s="3" t="s">
        <v>52</v>
      </c>
      <c r="D53" s="3" t="s">
        <v>47</v>
      </c>
      <c r="E53" s="3" t="s">
        <v>74</v>
      </c>
      <c r="F53" s="103">
        <v>157.5</v>
      </c>
      <c r="G53" s="6">
        <v>62.6</v>
      </c>
      <c r="H53" s="5">
        <f>G53/(('[1]Maya Nonsaddle'!G53/100)^2)</f>
        <v>25.241985967842904</v>
      </c>
      <c r="I53" s="1">
        <v>1</v>
      </c>
      <c r="J53" s="1">
        <v>3</v>
      </c>
      <c r="K53" s="1">
        <v>4</v>
      </c>
      <c r="L53" s="1">
        <v>0</v>
      </c>
      <c r="M53" s="1">
        <v>81</v>
      </c>
      <c r="N53" s="1">
        <v>0</v>
      </c>
      <c r="O53" s="1">
        <v>142</v>
      </c>
      <c r="P53" s="1">
        <v>0</v>
      </c>
      <c r="Q53" s="1">
        <v>18</v>
      </c>
      <c r="R53" s="1">
        <v>0</v>
      </c>
      <c r="S53" s="30">
        <v>98</v>
      </c>
      <c r="T53" s="1">
        <v>0</v>
      </c>
      <c r="U53" s="1">
        <v>100</v>
      </c>
      <c r="V53" s="1">
        <v>0</v>
      </c>
      <c r="W53" s="13">
        <v>0</v>
      </c>
      <c r="X53" s="1">
        <v>0</v>
      </c>
      <c r="Y53" s="1">
        <v>0</v>
      </c>
      <c r="Z53" s="1">
        <v>1</v>
      </c>
      <c r="AA53" s="1">
        <v>1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 t="s">
        <v>48</v>
      </c>
      <c r="AQ53" s="1" t="s">
        <v>48</v>
      </c>
      <c r="AR53" s="1" t="s">
        <v>48</v>
      </c>
      <c r="AS53" s="13" t="s">
        <v>48</v>
      </c>
      <c r="AT53" s="13" t="s">
        <v>48</v>
      </c>
      <c r="AU53" s="13" t="s">
        <v>48</v>
      </c>
      <c r="AV53" s="13" t="s">
        <v>48</v>
      </c>
      <c r="AW53" s="1" t="s">
        <v>48</v>
      </c>
      <c r="AX53" s="9">
        <f>3.56/3.85</f>
        <v>0.92467532467532465</v>
      </c>
      <c r="AY53" s="47">
        <v>0</v>
      </c>
      <c r="AZ53" s="2">
        <v>1</v>
      </c>
      <c r="BA53" s="2">
        <v>0</v>
      </c>
      <c r="BB53" s="9">
        <f>2.93/3.05</f>
        <v>0.96065573770491819</v>
      </c>
      <c r="BC53" s="2">
        <v>1</v>
      </c>
      <c r="BD53" s="2">
        <v>0</v>
      </c>
      <c r="BE53" s="2">
        <v>0</v>
      </c>
      <c r="BF53" s="1">
        <v>0</v>
      </c>
      <c r="BG53" s="1" t="s">
        <v>48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 t="s">
        <v>48</v>
      </c>
      <c r="BQ53" s="1" t="s">
        <v>48</v>
      </c>
      <c r="BR53" s="1">
        <v>0</v>
      </c>
      <c r="BS53" s="1">
        <v>0</v>
      </c>
      <c r="BT53" s="1">
        <v>0</v>
      </c>
      <c r="BU53" s="1">
        <v>0</v>
      </c>
      <c r="BV53" s="13" t="s">
        <v>50</v>
      </c>
      <c r="BW53" s="13">
        <v>0</v>
      </c>
      <c r="BX53" s="1">
        <v>0</v>
      </c>
      <c r="BY53" s="1">
        <v>0</v>
      </c>
      <c r="BZ53" s="1">
        <v>0</v>
      </c>
      <c r="CA53" s="1">
        <v>0</v>
      </c>
      <c r="CB53" s="32" t="s">
        <v>60</v>
      </c>
    </row>
    <row r="54" spans="1:80" s="35" customFormat="1" x14ac:dyDescent="0.3">
      <c r="A54" s="1">
        <v>53</v>
      </c>
      <c r="B54" s="2">
        <v>66</v>
      </c>
      <c r="C54" s="2" t="s">
        <v>52</v>
      </c>
      <c r="D54" s="2" t="s">
        <v>47</v>
      </c>
      <c r="E54" s="2" t="s">
        <v>77</v>
      </c>
      <c r="F54" s="103">
        <v>172.7</v>
      </c>
      <c r="G54" s="15">
        <v>61</v>
      </c>
      <c r="H54" s="5">
        <f>G54/(('[1]Maya Nonsaddle'!G54/100)^2)</f>
        <v>20.447705255272101</v>
      </c>
      <c r="I54" s="13">
        <v>0</v>
      </c>
      <c r="J54" s="13">
        <v>2</v>
      </c>
      <c r="K54" s="13">
        <v>1</v>
      </c>
      <c r="L54" s="13">
        <v>0</v>
      </c>
      <c r="M54" s="13">
        <v>80</v>
      </c>
      <c r="N54" s="13">
        <v>0</v>
      </c>
      <c r="O54" s="13">
        <v>123</v>
      </c>
      <c r="P54" s="13">
        <v>0</v>
      </c>
      <c r="Q54" s="13">
        <v>18</v>
      </c>
      <c r="R54" s="13">
        <v>0</v>
      </c>
      <c r="S54" s="5">
        <v>97.6</v>
      </c>
      <c r="T54" s="13">
        <v>0</v>
      </c>
      <c r="U54" s="13">
        <v>94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1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1</v>
      </c>
      <c r="AP54" s="13">
        <v>1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 t="s">
        <v>192</v>
      </c>
      <c r="AX54" s="9">
        <f>3.9/4.47</f>
        <v>0.87248322147651014</v>
      </c>
      <c r="AY54" s="47">
        <v>1</v>
      </c>
      <c r="AZ54" s="2">
        <v>0</v>
      </c>
      <c r="BA54" s="2">
        <v>0</v>
      </c>
      <c r="BB54" s="9">
        <f>2.57/3</f>
        <v>0.85666666666666658</v>
      </c>
      <c r="BC54" s="2">
        <v>2</v>
      </c>
      <c r="BD54" s="2">
        <v>0</v>
      </c>
      <c r="BE54" s="2">
        <v>1</v>
      </c>
      <c r="BF54" s="13">
        <v>0</v>
      </c>
      <c r="BG54" s="13" t="s">
        <v>48</v>
      </c>
      <c r="BH54" s="13">
        <v>0</v>
      </c>
      <c r="BI54" s="1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 t="s">
        <v>48</v>
      </c>
      <c r="BQ54" s="13" t="s">
        <v>48</v>
      </c>
      <c r="BR54" s="13">
        <v>0</v>
      </c>
      <c r="BS54" s="13">
        <v>0</v>
      </c>
      <c r="BT54" s="1">
        <v>0</v>
      </c>
      <c r="BU54" s="13">
        <v>0</v>
      </c>
      <c r="BV54" s="13" t="s">
        <v>50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34" t="s">
        <v>61</v>
      </c>
    </row>
    <row r="55" spans="1:80" s="33" customFormat="1" x14ac:dyDescent="0.3">
      <c r="A55" s="1">
        <v>54</v>
      </c>
      <c r="B55" s="2">
        <v>33</v>
      </c>
      <c r="C55" s="3" t="s">
        <v>46</v>
      </c>
      <c r="D55" s="3" t="s">
        <v>47</v>
      </c>
      <c r="E55" s="3" t="s">
        <v>83</v>
      </c>
      <c r="F55" s="103">
        <v>172.7</v>
      </c>
      <c r="G55" s="6">
        <v>79.38</v>
      </c>
      <c r="H55" s="5">
        <f>G55/(('[1]Maya Nonsaddle'!G55/100)^2)</f>
        <v>26.608833494483594</v>
      </c>
      <c r="I55" s="1">
        <v>0</v>
      </c>
      <c r="J55" s="1">
        <v>1</v>
      </c>
      <c r="K55" s="1">
        <v>1</v>
      </c>
      <c r="L55" s="1">
        <v>0</v>
      </c>
      <c r="M55" s="1">
        <v>83</v>
      </c>
      <c r="N55" s="1">
        <v>0</v>
      </c>
      <c r="O55" s="1">
        <v>130</v>
      </c>
      <c r="P55" s="1">
        <v>0</v>
      </c>
      <c r="Q55" s="1">
        <v>16</v>
      </c>
      <c r="R55" s="1">
        <v>0</v>
      </c>
      <c r="S55" s="30">
        <v>99</v>
      </c>
      <c r="T55" s="1">
        <v>0</v>
      </c>
      <c r="U55" s="1">
        <v>99</v>
      </c>
      <c r="V55" s="1">
        <v>0</v>
      </c>
      <c r="W55" s="13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</v>
      </c>
      <c r="AM55" s="1">
        <v>0</v>
      </c>
      <c r="AN55" s="1">
        <v>0</v>
      </c>
      <c r="AO55" s="1" t="s">
        <v>48</v>
      </c>
      <c r="AP55" s="1" t="s">
        <v>48</v>
      </c>
      <c r="AQ55" s="1" t="s">
        <v>48</v>
      </c>
      <c r="AR55" s="1">
        <v>0</v>
      </c>
      <c r="AS55" s="13" t="s">
        <v>48</v>
      </c>
      <c r="AT55" s="13" t="s">
        <v>48</v>
      </c>
      <c r="AU55" s="13" t="s">
        <v>48</v>
      </c>
      <c r="AV55" s="13" t="s">
        <v>48</v>
      </c>
      <c r="AW55" s="1" t="s">
        <v>48</v>
      </c>
      <c r="AX55" s="9">
        <f>3.65/4.53</f>
        <v>0.80573951434878577</v>
      </c>
      <c r="AY55" s="47">
        <v>0</v>
      </c>
      <c r="AZ55" s="2">
        <v>0</v>
      </c>
      <c r="BA55" s="2">
        <v>0</v>
      </c>
      <c r="BB55" s="9">
        <f>3.01/3.58</f>
        <v>0.84078212290502785</v>
      </c>
      <c r="BC55" s="2">
        <v>1</v>
      </c>
      <c r="BD55" s="2">
        <v>0</v>
      </c>
      <c r="BE55" s="2">
        <v>0</v>
      </c>
      <c r="BF55" s="1">
        <v>0</v>
      </c>
      <c r="BG55" s="1" t="s">
        <v>48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 t="s">
        <v>48</v>
      </c>
      <c r="BQ55" s="1" t="s">
        <v>48</v>
      </c>
      <c r="BR55" s="1">
        <v>0</v>
      </c>
      <c r="BS55" s="1">
        <v>0</v>
      </c>
      <c r="BT55" s="1">
        <v>0</v>
      </c>
      <c r="BU55" s="1">
        <v>0</v>
      </c>
      <c r="BV55" s="13" t="s">
        <v>50</v>
      </c>
      <c r="BW55" s="13">
        <v>0</v>
      </c>
      <c r="BX55" s="1">
        <v>0</v>
      </c>
      <c r="BY55" s="1">
        <v>1</v>
      </c>
      <c r="BZ55" s="1">
        <v>0</v>
      </c>
      <c r="CA55" s="1">
        <v>0</v>
      </c>
      <c r="CB55" s="32" t="s">
        <v>54</v>
      </c>
    </row>
    <row r="56" spans="1:80" s="33" customFormat="1" x14ac:dyDescent="0.3">
      <c r="A56" s="1">
        <v>55</v>
      </c>
      <c r="B56" s="2">
        <v>44</v>
      </c>
      <c r="C56" s="3" t="s">
        <v>52</v>
      </c>
      <c r="D56" s="3" t="s">
        <v>91</v>
      </c>
      <c r="E56" s="3" t="s">
        <v>92</v>
      </c>
      <c r="F56" s="103">
        <v>172.7</v>
      </c>
      <c r="G56" s="6">
        <v>94.35</v>
      </c>
      <c r="H56" s="5">
        <f>G56/(('[1]Maya Nonsaddle'!G56/100)^2)</f>
        <v>31.62690148909709</v>
      </c>
      <c r="I56" s="1">
        <v>1</v>
      </c>
      <c r="J56" s="1">
        <v>2</v>
      </c>
      <c r="K56" s="1">
        <v>2</v>
      </c>
      <c r="L56" s="1">
        <v>1</v>
      </c>
      <c r="M56" s="1">
        <v>135</v>
      </c>
      <c r="N56" s="1">
        <v>0</v>
      </c>
      <c r="O56" s="1">
        <v>126</v>
      </c>
      <c r="P56" s="1">
        <v>0</v>
      </c>
      <c r="Q56" s="1">
        <v>22</v>
      </c>
      <c r="R56" s="1">
        <v>0</v>
      </c>
      <c r="S56" s="30">
        <v>98</v>
      </c>
      <c r="T56" s="1" t="s">
        <v>48</v>
      </c>
      <c r="U56" s="1" t="s">
        <v>48</v>
      </c>
      <c r="V56" s="1">
        <v>1</v>
      </c>
      <c r="W56" s="13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1</v>
      </c>
      <c r="AE56" s="1">
        <v>0</v>
      </c>
      <c r="AF56" s="1">
        <v>0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 t="s">
        <v>48</v>
      </c>
      <c r="AQ56" s="1" t="s">
        <v>48</v>
      </c>
      <c r="AR56" s="1">
        <v>1</v>
      </c>
      <c r="AS56" s="13">
        <v>1</v>
      </c>
      <c r="AT56" s="13">
        <v>1</v>
      </c>
      <c r="AU56" s="13">
        <v>1</v>
      </c>
      <c r="AV56" s="13">
        <v>0</v>
      </c>
      <c r="AW56" s="1">
        <v>48</v>
      </c>
      <c r="AX56" s="9">
        <f>4.16/3.41</f>
        <v>1.2199413489736071</v>
      </c>
      <c r="AY56" s="47">
        <v>0</v>
      </c>
      <c r="AZ56" s="2">
        <v>0</v>
      </c>
      <c r="BA56" s="2">
        <v>1</v>
      </c>
      <c r="BB56" s="9">
        <f>2.78/3.12</f>
        <v>0.89102564102564097</v>
      </c>
      <c r="BC56" s="2">
        <v>2</v>
      </c>
      <c r="BD56" s="2">
        <v>1</v>
      </c>
      <c r="BE56" s="2">
        <v>1</v>
      </c>
      <c r="BF56" s="1">
        <v>0</v>
      </c>
      <c r="BG56" s="1" t="s">
        <v>48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 t="s">
        <v>48</v>
      </c>
      <c r="BQ56" s="1" t="s">
        <v>48</v>
      </c>
      <c r="BR56" s="1">
        <v>0</v>
      </c>
      <c r="BS56" s="1">
        <v>0</v>
      </c>
      <c r="BT56" s="1">
        <v>0</v>
      </c>
      <c r="BU56" s="1">
        <v>0</v>
      </c>
      <c r="BV56" s="13" t="s">
        <v>50</v>
      </c>
      <c r="BW56" s="13">
        <v>0</v>
      </c>
      <c r="BX56" s="1">
        <v>0</v>
      </c>
      <c r="BY56" s="1">
        <v>1</v>
      </c>
      <c r="BZ56" s="1">
        <v>0</v>
      </c>
      <c r="CA56" s="1">
        <v>0</v>
      </c>
      <c r="CB56" s="32" t="s">
        <v>93</v>
      </c>
    </row>
    <row r="57" spans="1:80" s="33" customFormat="1" x14ac:dyDescent="0.3">
      <c r="A57" s="1">
        <v>56</v>
      </c>
      <c r="B57" s="2">
        <v>70</v>
      </c>
      <c r="C57" s="3" t="s">
        <v>52</v>
      </c>
      <c r="D57" s="3" t="s">
        <v>47</v>
      </c>
      <c r="E57" s="3">
        <v>4</v>
      </c>
      <c r="F57" s="103">
        <v>157.5</v>
      </c>
      <c r="G57" s="6">
        <v>74.8</v>
      </c>
      <c r="H57" s="5">
        <v>30.2</v>
      </c>
      <c r="I57" s="1">
        <v>0</v>
      </c>
      <c r="J57" s="1">
        <v>2</v>
      </c>
      <c r="K57" s="1">
        <v>1</v>
      </c>
      <c r="L57" s="1">
        <v>0</v>
      </c>
      <c r="M57" s="1">
        <v>108</v>
      </c>
      <c r="N57" s="1">
        <v>0</v>
      </c>
      <c r="O57" s="1">
        <v>192</v>
      </c>
      <c r="P57" s="1">
        <v>0</v>
      </c>
      <c r="Q57" s="1">
        <v>24</v>
      </c>
      <c r="R57" s="1">
        <v>0</v>
      </c>
      <c r="S57" s="30">
        <v>98.6</v>
      </c>
      <c r="T57" s="1">
        <v>0</v>
      </c>
      <c r="U57" s="1">
        <v>99</v>
      </c>
      <c r="V57" s="1">
        <v>0</v>
      </c>
      <c r="W57" s="13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1">
        <v>1</v>
      </c>
      <c r="AG57" s="1">
        <v>0</v>
      </c>
      <c r="AH57" s="1">
        <v>0</v>
      </c>
      <c r="AI57" s="1">
        <v>0</v>
      </c>
      <c r="AJ57" s="1">
        <v>0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 t="s">
        <v>48</v>
      </c>
      <c r="AQ57" s="1">
        <v>0</v>
      </c>
      <c r="AR57" s="1">
        <v>0</v>
      </c>
      <c r="AS57" s="13" t="s">
        <v>48</v>
      </c>
      <c r="AT57" s="13" t="s">
        <v>48</v>
      </c>
      <c r="AU57" s="13" t="s">
        <v>48</v>
      </c>
      <c r="AV57" s="13" t="s">
        <v>48</v>
      </c>
      <c r="AW57" s="1" t="s">
        <v>48</v>
      </c>
      <c r="AX57" s="9">
        <f>2.58/3.9</f>
        <v>0.66153846153846152</v>
      </c>
      <c r="AY57" s="47">
        <v>0</v>
      </c>
      <c r="AZ57" s="2">
        <v>0</v>
      </c>
      <c r="BA57" s="2">
        <v>0</v>
      </c>
      <c r="BB57" s="9">
        <f>3/3.71</f>
        <v>0.80862533692722371</v>
      </c>
      <c r="BC57" s="2">
        <v>3</v>
      </c>
      <c r="BD57" s="2">
        <v>0</v>
      </c>
      <c r="BE57" s="2">
        <v>0</v>
      </c>
      <c r="BF57" s="1">
        <v>1</v>
      </c>
      <c r="BG57" s="1" t="s">
        <v>94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 t="s">
        <v>48</v>
      </c>
      <c r="BQ57" s="1" t="s">
        <v>48</v>
      </c>
      <c r="BR57" s="1">
        <v>1</v>
      </c>
      <c r="BS57" s="1" t="s">
        <v>95</v>
      </c>
      <c r="BT57" s="1">
        <v>1</v>
      </c>
      <c r="BU57" s="1">
        <v>0</v>
      </c>
      <c r="BV57" s="13" t="s">
        <v>50</v>
      </c>
      <c r="BW57" s="13">
        <v>0</v>
      </c>
      <c r="BX57" s="1">
        <v>0</v>
      </c>
      <c r="BY57" s="1">
        <v>0</v>
      </c>
      <c r="BZ57" s="1">
        <v>0</v>
      </c>
      <c r="CA57" s="1">
        <v>0</v>
      </c>
      <c r="CB57" s="32" t="s">
        <v>55</v>
      </c>
    </row>
    <row r="58" spans="1:80" s="33" customFormat="1" x14ac:dyDescent="0.3">
      <c r="A58" s="1">
        <v>57</v>
      </c>
      <c r="B58" s="2">
        <v>50</v>
      </c>
      <c r="C58" s="3" t="s">
        <v>46</v>
      </c>
      <c r="D58" s="3" t="s">
        <v>53</v>
      </c>
      <c r="E58" s="3" t="s">
        <v>83</v>
      </c>
      <c r="F58" s="103">
        <v>177.8</v>
      </c>
      <c r="G58" s="6">
        <v>117.5</v>
      </c>
      <c r="H58" s="5">
        <f>G58/(('[1]Maya Nonsaddle'!G58/100)^2)</f>
        <v>37.168441683822138</v>
      </c>
      <c r="I58" s="1">
        <v>0</v>
      </c>
      <c r="J58" s="1">
        <v>1</v>
      </c>
      <c r="K58" s="1">
        <v>2</v>
      </c>
      <c r="L58" s="1">
        <v>0</v>
      </c>
      <c r="M58" s="1">
        <v>80</v>
      </c>
      <c r="N58" s="1">
        <v>0</v>
      </c>
      <c r="O58" s="1">
        <v>127</v>
      </c>
      <c r="P58" s="1">
        <v>0</v>
      </c>
      <c r="Q58" s="1">
        <v>18</v>
      </c>
      <c r="R58" s="1">
        <v>0</v>
      </c>
      <c r="S58" s="30">
        <v>99.4</v>
      </c>
      <c r="T58" s="1">
        <v>0</v>
      </c>
      <c r="U58" s="1">
        <v>96</v>
      </c>
      <c r="V58" s="1">
        <v>0</v>
      </c>
      <c r="W58" s="13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 t="s">
        <v>48</v>
      </c>
      <c r="AQ58" s="1">
        <v>0</v>
      </c>
      <c r="AR58" s="1">
        <v>0</v>
      </c>
      <c r="AS58" s="13">
        <v>1</v>
      </c>
      <c r="AT58" s="13">
        <v>0</v>
      </c>
      <c r="AU58" s="13">
        <v>0</v>
      </c>
      <c r="AV58" s="13">
        <v>0</v>
      </c>
      <c r="AW58" s="1" t="s">
        <v>192</v>
      </c>
      <c r="AX58" s="9">
        <f>5.23/4.13</f>
        <v>1.2663438256658597</v>
      </c>
      <c r="AY58" s="47">
        <v>0</v>
      </c>
      <c r="AZ58" s="2">
        <v>0</v>
      </c>
      <c r="BA58" s="2">
        <v>1</v>
      </c>
      <c r="BB58" s="9">
        <f>3.02/3.07</f>
        <v>0.98371335504886004</v>
      </c>
      <c r="BC58" s="2">
        <v>2</v>
      </c>
      <c r="BD58" s="2">
        <v>1</v>
      </c>
      <c r="BE58" s="2">
        <v>0</v>
      </c>
      <c r="BF58" s="1">
        <v>0</v>
      </c>
      <c r="BG58" s="1" t="s">
        <v>48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0</v>
      </c>
      <c r="BQ58" s="1">
        <v>1</v>
      </c>
      <c r="BR58" s="1">
        <v>0</v>
      </c>
      <c r="BS58" s="1">
        <v>0</v>
      </c>
      <c r="BT58" s="1">
        <v>0</v>
      </c>
      <c r="BU58" s="1">
        <v>0</v>
      </c>
      <c r="BV58" s="13" t="s">
        <v>50</v>
      </c>
      <c r="BW58" s="13">
        <v>0</v>
      </c>
      <c r="BX58" s="1">
        <v>0</v>
      </c>
      <c r="BY58" s="1">
        <v>0</v>
      </c>
      <c r="BZ58" s="1">
        <v>0</v>
      </c>
      <c r="CA58" s="1">
        <v>0</v>
      </c>
      <c r="CB58" s="32" t="s">
        <v>54</v>
      </c>
    </row>
    <row r="59" spans="1:80" s="33" customFormat="1" x14ac:dyDescent="0.3">
      <c r="A59" s="1">
        <v>58</v>
      </c>
      <c r="B59" s="2">
        <v>51</v>
      </c>
      <c r="C59" s="3" t="s">
        <v>46</v>
      </c>
      <c r="D59" s="3" t="s">
        <v>53</v>
      </c>
      <c r="E59" s="3" t="s">
        <v>76</v>
      </c>
      <c r="F59" s="103">
        <v>167.6</v>
      </c>
      <c r="G59" s="6">
        <v>117.9</v>
      </c>
      <c r="H59" s="5">
        <f>G59/(('[1]Maya Nonsaddle'!G59/100)^2)</f>
        <v>41.952563243969465</v>
      </c>
      <c r="I59" s="1">
        <v>0</v>
      </c>
      <c r="J59" s="1">
        <v>1</v>
      </c>
      <c r="K59" s="1">
        <v>1</v>
      </c>
      <c r="L59" s="1">
        <v>0</v>
      </c>
      <c r="M59" s="1">
        <v>107</v>
      </c>
      <c r="N59" s="1">
        <v>0</v>
      </c>
      <c r="O59" s="1">
        <v>132</v>
      </c>
      <c r="P59" s="1">
        <v>0</v>
      </c>
      <c r="Q59" s="1">
        <v>18</v>
      </c>
      <c r="R59" s="1">
        <v>0</v>
      </c>
      <c r="S59" s="30">
        <v>98.4</v>
      </c>
      <c r="T59" s="1">
        <v>0</v>
      </c>
      <c r="U59" s="1">
        <v>95</v>
      </c>
      <c r="V59" s="1">
        <v>0</v>
      </c>
      <c r="W59" s="13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1</v>
      </c>
      <c r="AL59" s="1">
        <v>0</v>
      </c>
      <c r="AM59" s="1">
        <v>0</v>
      </c>
      <c r="AN59" s="1">
        <v>0</v>
      </c>
      <c r="AO59" s="1" t="s">
        <v>48</v>
      </c>
      <c r="AP59" s="1" t="s">
        <v>48</v>
      </c>
      <c r="AQ59" s="1" t="s">
        <v>48</v>
      </c>
      <c r="AR59" s="1">
        <v>0</v>
      </c>
      <c r="AS59" s="13" t="s">
        <v>48</v>
      </c>
      <c r="AT59" s="13" t="s">
        <v>48</v>
      </c>
      <c r="AU59" s="13" t="s">
        <v>48</v>
      </c>
      <c r="AV59" s="13" t="s">
        <v>48</v>
      </c>
      <c r="AW59" s="1" t="s">
        <v>48</v>
      </c>
      <c r="AX59" s="9">
        <f>3.9/4.9</f>
        <v>0.79591836734693866</v>
      </c>
      <c r="AY59" s="47">
        <v>0</v>
      </c>
      <c r="AZ59" s="2">
        <v>0</v>
      </c>
      <c r="BA59" s="2">
        <v>0</v>
      </c>
      <c r="BB59" s="9">
        <f>3.19/3.53</f>
        <v>0.90368271954674229</v>
      </c>
      <c r="BC59" s="2">
        <v>3</v>
      </c>
      <c r="BD59" s="2">
        <v>0</v>
      </c>
      <c r="BE59" s="2">
        <v>1</v>
      </c>
      <c r="BF59" s="1">
        <v>0</v>
      </c>
      <c r="BG59" s="1" t="s">
        <v>48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 t="s">
        <v>48</v>
      </c>
      <c r="BQ59" s="1" t="s">
        <v>48</v>
      </c>
      <c r="BR59" s="1">
        <v>0</v>
      </c>
      <c r="BS59" s="1">
        <v>0</v>
      </c>
      <c r="BT59" s="1">
        <v>0</v>
      </c>
      <c r="BU59" s="1">
        <v>0</v>
      </c>
      <c r="BV59" s="13" t="s">
        <v>50</v>
      </c>
      <c r="BW59" s="13">
        <v>0</v>
      </c>
      <c r="BX59" s="1">
        <v>0</v>
      </c>
      <c r="BY59" s="1">
        <v>0</v>
      </c>
      <c r="BZ59" s="1">
        <v>0</v>
      </c>
      <c r="CA59" s="1">
        <v>0</v>
      </c>
      <c r="CB59" s="32" t="s">
        <v>55</v>
      </c>
    </row>
    <row r="60" spans="1:80" s="35" customFormat="1" x14ac:dyDescent="0.3">
      <c r="A60" s="1">
        <v>59</v>
      </c>
      <c r="B60" s="2">
        <v>86</v>
      </c>
      <c r="C60" s="2" t="s">
        <v>46</v>
      </c>
      <c r="D60" s="2" t="s">
        <v>47</v>
      </c>
      <c r="E60" s="2" t="s">
        <v>85</v>
      </c>
      <c r="F60" s="103">
        <v>180.3</v>
      </c>
      <c r="G60" s="15">
        <v>113.4</v>
      </c>
      <c r="H60" s="5">
        <f>G60/(('[1]Maya Nonsaddle'!G60/100)^2)</f>
        <v>34.868151466118441</v>
      </c>
      <c r="I60" s="13">
        <v>1</v>
      </c>
      <c r="J60" s="13">
        <v>4</v>
      </c>
      <c r="K60" s="13">
        <v>2</v>
      </c>
      <c r="L60" s="13">
        <v>0</v>
      </c>
      <c r="M60" s="13">
        <v>63</v>
      </c>
      <c r="N60" s="13">
        <v>0</v>
      </c>
      <c r="O60" s="13">
        <v>179</v>
      </c>
      <c r="P60" s="13">
        <v>0</v>
      </c>
      <c r="Q60" s="13">
        <v>29</v>
      </c>
      <c r="R60" s="13">
        <v>0</v>
      </c>
      <c r="S60" s="5">
        <v>98</v>
      </c>
      <c r="T60" s="13">
        <v>1</v>
      </c>
      <c r="U60" s="13" t="s">
        <v>48</v>
      </c>
      <c r="V60" s="13">
        <v>1</v>
      </c>
      <c r="W60" s="13">
        <v>0</v>
      </c>
      <c r="X60" s="13">
        <v>1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1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1</v>
      </c>
      <c r="AP60" s="13">
        <v>1</v>
      </c>
      <c r="AQ60" s="13">
        <v>1</v>
      </c>
      <c r="AR60" s="13">
        <v>1</v>
      </c>
      <c r="AS60" s="13">
        <v>1</v>
      </c>
      <c r="AT60" s="13">
        <v>1</v>
      </c>
      <c r="AU60" s="13">
        <v>1</v>
      </c>
      <c r="AV60" s="13">
        <v>0</v>
      </c>
      <c r="AW60" s="13">
        <v>79.3</v>
      </c>
      <c r="AX60" s="9">
        <f>3.26/4.76</f>
        <v>0.68487394957983194</v>
      </c>
      <c r="AY60" s="47">
        <v>0</v>
      </c>
      <c r="AZ60" s="2">
        <v>0</v>
      </c>
      <c r="BA60" s="2">
        <v>0</v>
      </c>
      <c r="BB60" s="9">
        <f>3.71/3.98</f>
        <v>0.93216080402010049</v>
      </c>
      <c r="BC60" s="2">
        <v>3</v>
      </c>
      <c r="BD60" s="2">
        <v>0</v>
      </c>
      <c r="BE60" s="2">
        <v>1</v>
      </c>
      <c r="BF60" s="13">
        <v>0</v>
      </c>
      <c r="BG60" s="13" t="s">
        <v>48</v>
      </c>
      <c r="BH60" s="13">
        <v>1</v>
      </c>
      <c r="BI60" s="1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 t="s">
        <v>48</v>
      </c>
      <c r="BQ60" s="13" t="s">
        <v>48</v>
      </c>
      <c r="BR60" s="13">
        <v>0</v>
      </c>
      <c r="BS60" s="13">
        <v>0</v>
      </c>
      <c r="BT60" s="1">
        <v>0</v>
      </c>
      <c r="BU60" s="13">
        <v>0</v>
      </c>
      <c r="BV60" s="13" t="s">
        <v>50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34" t="s">
        <v>54</v>
      </c>
    </row>
    <row r="61" spans="1:80" s="35" customFormat="1" x14ac:dyDescent="0.3">
      <c r="A61" s="1">
        <v>60</v>
      </c>
      <c r="B61" s="2">
        <v>77</v>
      </c>
      <c r="C61" s="2" t="s">
        <v>52</v>
      </c>
      <c r="D61" s="2" t="s">
        <v>47</v>
      </c>
      <c r="E61" s="2" t="s">
        <v>96</v>
      </c>
      <c r="F61" s="103">
        <v>170.2</v>
      </c>
      <c r="G61" s="15">
        <v>79.400000000000006</v>
      </c>
      <c r="H61" s="5">
        <f>G61/(('[1]Maya Nonsaddle'!G61/100)^2)</f>
        <v>27.415960378813164</v>
      </c>
      <c r="I61" s="13">
        <v>1</v>
      </c>
      <c r="J61" s="13">
        <v>5</v>
      </c>
      <c r="K61" s="13">
        <v>2</v>
      </c>
      <c r="L61" s="13">
        <v>1</v>
      </c>
      <c r="M61" s="13">
        <v>190</v>
      </c>
      <c r="N61" s="13">
        <v>0</v>
      </c>
      <c r="O61" s="13">
        <v>140</v>
      </c>
      <c r="P61" s="13">
        <v>0</v>
      </c>
      <c r="Q61" s="13">
        <v>17</v>
      </c>
      <c r="R61" s="13">
        <v>0</v>
      </c>
      <c r="S61" s="5">
        <v>98.2</v>
      </c>
      <c r="T61" s="13">
        <v>1</v>
      </c>
      <c r="U61" s="13" t="s">
        <v>48</v>
      </c>
      <c r="V61" s="13">
        <v>1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1</v>
      </c>
      <c r="AP61" s="13">
        <v>0</v>
      </c>
      <c r="AQ61" s="13" t="s">
        <v>48</v>
      </c>
      <c r="AR61" s="13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54.8</v>
      </c>
      <c r="AX61" s="9">
        <f>4.56/4.61</f>
        <v>0.98915401301518424</v>
      </c>
      <c r="AY61" s="47">
        <v>0</v>
      </c>
      <c r="AZ61" s="2">
        <v>0</v>
      </c>
      <c r="BA61" s="2">
        <v>1</v>
      </c>
      <c r="BB61" s="9">
        <f>3.31/3.19</f>
        <v>1.0376175548589341</v>
      </c>
      <c r="BC61" s="2">
        <v>3</v>
      </c>
      <c r="BD61" s="2">
        <v>1</v>
      </c>
      <c r="BE61" s="2">
        <v>0</v>
      </c>
      <c r="BF61" s="13">
        <v>1</v>
      </c>
      <c r="BG61" s="34" t="s">
        <v>97</v>
      </c>
      <c r="BH61" s="13">
        <v>1</v>
      </c>
      <c r="BI61" s="1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 t="s">
        <v>48</v>
      </c>
      <c r="BQ61" s="13" t="s">
        <v>48</v>
      </c>
      <c r="BR61" s="13">
        <v>0</v>
      </c>
      <c r="BS61" s="13">
        <v>0</v>
      </c>
      <c r="BT61" s="1">
        <v>0</v>
      </c>
      <c r="BU61" s="13">
        <v>0</v>
      </c>
      <c r="BV61" s="13" t="s">
        <v>50</v>
      </c>
      <c r="BW61" s="13">
        <v>0</v>
      </c>
      <c r="BX61" s="13">
        <v>1</v>
      </c>
      <c r="BY61" s="13">
        <v>0</v>
      </c>
      <c r="BZ61" s="13">
        <v>0</v>
      </c>
      <c r="CA61" s="13">
        <v>0</v>
      </c>
      <c r="CB61" s="34" t="s">
        <v>54</v>
      </c>
    </row>
    <row r="62" spans="1:80" s="33" customFormat="1" x14ac:dyDescent="0.3">
      <c r="A62" s="1">
        <v>61</v>
      </c>
      <c r="B62" s="2">
        <v>51</v>
      </c>
      <c r="C62" s="3" t="s">
        <v>46</v>
      </c>
      <c r="D62" s="3" t="s">
        <v>47</v>
      </c>
      <c r="E62" s="3" t="s">
        <v>77</v>
      </c>
      <c r="F62" s="103">
        <v>175.3</v>
      </c>
      <c r="G62" s="6">
        <v>93.5</v>
      </c>
      <c r="H62" s="5">
        <f>G62/(('[1]Maya Nonsaddle'!G62/100)^2)</f>
        <v>30.440094486574189</v>
      </c>
      <c r="I62" s="1">
        <v>0</v>
      </c>
      <c r="J62" s="1">
        <v>1</v>
      </c>
      <c r="K62" s="1">
        <v>4</v>
      </c>
      <c r="L62" s="1">
        <v>0</v>
      </c>
      <c r="M62" s="1">
        <v>88</v>
      </c>
      <c r="N62" s="1">
        <v>0</v>
      </c>
      <c r="O62" s="1">
        <v>109</v>
      </c>
      <c r="P62" s="1">
        <v>0</v>
      </c>
      <c r="Q62" s="1">
        <v>18</v>
      </c>
      <c r="R62" s="1">
        <v>0</v>
      </c>
      <c r="S62" s="30">
        <v>98.4</v>
      </c>
      <c r="T62" s="1">
        <v>0</v>
      </c>
      <c r="U62" s="1">
        <v>96</v>
      </c>
      <c r="V62" s="1">
        <v>0</v>
      </c>
      <c r="W62" s="13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</v>
      </c>
      <c r="AH62" s="1">
        <v>0</v>
      </c>
      <c r="AI62" s="1">
        <v>1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 t="s">
        <v>48</v>
      </c>
      <c r="AP62" s="1" t="s">
        <v>48</v>
      </c>
      <c r="AQ62" s="1" t="s">
        <v>48</v>
      </c>
      <c r="AR62" s="1" t="s">
        <v>48</v>
      </c>
      <c r="AS62" s="13" t="s">
        <v>48</v>
      </c>
      <c r="AT62" s="13" t="s">
        <v>48</v>
      </c>
      <c r="AU62" s="13" t="s">
        <v>48</v>
      </c>
      <c r="AV62" s="13" t="s">
        <v>48</v>
      </c>
      <c r="AW62" s="1" t="s">
        <v>48</v>
      </c>
      <c r="AX62" s="9">
        <f>4.17/5.12</f>
        <v>0.814453125</v>
      </c>
      <c r="AY62" s="47">
        <v>0</v>
      </c>
      <c r="AZ62" s="2">
        <v>0</v>
      </c>
      <c r="BA62" s="2">
        <v>0</v>
      </c>
      <c r="BB62" s="9">
        <f>2.39/3.34</f>
        <v>0.71556886227544914</v>
      </c>
      <c r="BC62" s="2">
        <v>3</v>
      </c>
      <c r="BD62" s="2">
        <v>0</v>
      </c>
      <c r="BE62" s="2">
        <v>0</v>
      </c>
      <c r="BF62" s="1">
        <v>0</v>
      </c>
      <c r="BG62" s="1" t="s">
        <v>48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3" t="s">
        <v>48</v>
      </c>
      <c r="BQ62" s="13" t="s">
        <v>48</v>
      </c>
      <c r="BR62" s="1">
        <v>0</v>
      </c>
      <c r="BS62" s="1">
        <v>0</v>
      </c>
      <c r="BT62" s="1">
        <v>0</v>
      </c>
      <c r="BU62" s="1">
        <v>0</v>
      </c>
      <c r="BV62" s="13" t="s">
        <v>50</v>
      </c>
      <c r="BW62" s="13">
        <v>0</v>
      </c>
      <c r="BX62" s="1">
        <v>0</v>
      </c>
      <c r="BY62" s="1">
        <v>1</v>
      </c>
      <c r="BZ62" s="1">
        <v>0</v>
      </c>
      <c r="CA62" s="1">
        <v>0</v>
      </c>
      <c r="CB62" s="32" t="s">
        <v>56</v>
      </c>
    </row>
    <row r="63" spans="1:80" s="33" customFormat="1" x14ac:dyDescent="0.3">
      <c r="A63" s="1">
        <v>62</v>
      </c>
      <c r="B63" s="2">
        <v>66</v>
      </c>
      <c r="C63" s="3" t="s">
        <v>46</v>
      </c>
      <c r="D63" s="3" t="s">
        <v>47</v>
      </c>
      <c r="E63" s="3" t="s">
        <v>74</v>
      </c>
      <c r="F63" s="103">
        <v>177.8</v>
      </c>
      <c r="G63" s="6">
        <v>86.2</v>
      </c>
      <c r="H63" s="5">
        <f>G63/(('[1]Maya Nonsaddle'!G63/100)^2)</f>
        <v>27.267401473578456</v>
      </c>
      <c r="I63" s="1">
        <v>1</v>
      </c>
      <c r="J63" s="1">
        <v>3</v>
      </c>
      <c r="K63" s="1">
        <v>1</v>
      </c>
      <c r="L63" s="1">
        <v>1</v>
      </c>
      <c r="M63" s="1">
        <v>117</v>
      </c>
      <c r="N63" s="1">
        <v>0</v>
      </c>
      <c r="O63" s="1">
        <v>125</v>
      </c>
      <c r="P63" s="1">
        <v>0</v>
      </c>
      <c r="Q63" s="1">
        <v>18</v>
      </c>
      <c r="R63" s="1">
        <v>0</v>
      </c>
      <c r="S63" s="30">
        <v>98.3</v>
      </c>
      <c r="T63" s="1">
        <v>0</v>
      </c>
      <c r="U63" s="1">
        <v>94</v>
      </c>
      <c r="V63" s="1">
        <v>0</v>
      </c>
      <c r="W63" s="13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</v>
      </c>
      <c r="AK63" s="1">
        <v>1</v>
      </c>
      <c r="AL63" s="1">
        <v>0</v>
      </c>
      <c r="AM63" s="1">
        <v>0</v>
      </c>
      <c r="AN63" s="1">
        <v>0</v>
      </c>
      <c r="AO63" s="1" t="s">
        <v>48</v>
      </c>
      <c r="AP63" s="1" t="s">
        <v>48</v>
      </c>
      <c r="AQ63" s="1">
        <v>0</v>
      </c>
      <c r="AR63" s="1">
        <v>0</v>
      </c>
      <c r="AS63" s="13" t="s">
        <v>48</v>
      </c>
      <c r="AT63" s="13" t="s">
        <v>48</v>
      </c>
      <c r="AU63" s="13" t="s">
        <v>48</v>
      </c>
      <c r="AV63" s="13" t="s">
        <v>48</v>
      </c>
      <c r="AW63" s="1" t="s">
        <v>48</v>
      </c>
      <c r="AX63" s="9">
        <f>4.51/5.42</f>
        <v>0.83210332103321027</v>
      </c>
      <c r="AY63" s="47">
        <v>0</v>
      </c>
      <c r="AZ63" s="2">
        <v>0</v>
      </c>
      <c r="BA63" s="2">
        <v>0</v>
      </c>
      <c r="BB63" s="9">
        <f>2.88/3.29</f>
        <v>0.87537993920972645</v>
      </c>
      <c r="BC63" s="2">
        <v>2</v>
      </c>
      <c r="BD63" s="2">
        <v>0</v>
      </c>
      <c r="BE63" s="2">
        <v>0</v>
      </c>
      <c r="BF63" s="1">
        <v>0</v>
      </c>
      <c r="BG63" s="1" t="s">
        <v>48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3" t="s">
        <v>48</v>
      </c>
      <c r="BQ63" s="13" t="s">
        <v>48</v>
      </c>
      <c r="BR63" s="1">
        <v>0</v>
      </c>
      <c r="BS63" s="1">
        <v>0</v>
      </c>
      <c r="BT63" s="1">
        <v>0</v>
      </c>
      <c r="BU63" s="1">
        <v>0</v>
      </c>
      <c r="BV63" s="13" t="s">
        <v>50</v>
      </c>
      <c r="BW63" s="13">
        <v>0</v>
      </c>
      <c r="BX63" s="1">
        <v>0</v>
      </c>
      <c r="BY63" s="1">
        <v>0</v>
      </c>
      <c r="BZ63" s="1">
        <v>0</v>
      </c>
      <c r="CA63" s="1">
        <v>0</v>
      </c>
      <c r="CB63" s="32" t="s">
        <v>55</v>
      </c>
    </row>
    <row r="64" spans="1:80" s="35" customFormat="1" x14ac:dyDescent="0.3">
      <c r="A64" s="1">
        <v>63</v>
      </c>
      <c r="B64" s="2">
        <v>89</v>
      </c>
      <c r="C64" s="2" t="s">
        <v>46</v>
      </c>
      <c r="D64" s="2" t="s">
        <v>47</v>
      </c>
      <c r="E64" s="2" t="s">
        <v>79</v>
      </c>
      <c r="F64" s="103">
        <v>170.2</v>
      </c>
      <c r="G64" s="15">
        <v>74.8</v>
      </c>
      <c r="H64" s="5">
        <f>G64/(('[1]Maya Nonsaddle'!G64/100)^2)</f>
        <v>25.827630180544386</v>
      </c>
      <c r="I64" s="13">
        <v>1</v>
      </c>
      <c r="J64" s="13">
        <v>5</v>
      </c>
      <c r="K64" s="13">
        <v>2</v>
      </c>
      <c r="L64" s="13">
        <v>0</v>
      </c>
      <c r="M64" s="13">
        <v>100</v>
      </c>
      <c r="N64" s="13">
        <v>0</v>
      </c>
      <c r="O64" s="13">
        <v>117</v>
      </c>
      <c r="P64" s="13">
        <v>0</v>
      </c>
      <c r="Q64" s="13">
        <v>20</v>
      </c>
      <c r="R64" s="13">
        <v>0</v>
      </c>
      <c r="S64" s="5">
        <v>98.8</v>
      </c>
      <c r="T64" s="13">
        <v>0</v>
      </c>
      <c r="U64" s="13">
        <v>96</v>
      </c>
      <c r="V64" s="13">
        <v>0</v>
      </c>
      <c r="W64" s="13">
        <v>0</v>
      </c>
      <c r="X64" s="13">
        <v>0</v>
      </c>
      <c r="Y64" s="13">
        <v>0</v>
      </c>
      <c r="Z64" s="13">
        <v>1</v>
      </c>
      <c r="AA64" s="13">
        <v>1</v>
      </c>
      <c r="AB64" s="13">
        <v>0</v>
      </c>
      <c r="AC64" s="13">
        <v>0</v>
      </c>
      <c r="AD64" s="13">
        <v>0</v>
      </c>
      <c r="AE64" s="13">
        <v>1</v>
      </c>
      <c r="AF64" s="13">
        <v>0</v>
      </c>
      <c r="AG64" s="13">
        <v>1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1</v>
      </c>
      <c r="AN64" s="13">
        <v>0</v>
      </c>
      <c r="AO64" s="13" t="s">
        <v>48</v>
      </c>
      <c r="AP64" s="13" t="s">
        <v>48</v>
      </c>
      <c r="AQ64" s="13">
        <v>1</v>
      </c>
      <c r="AR64" s="13">
        <v>1</v>
      </c>
      <c r="AS64" s="13" t="s">
        <v>48</v>
      </c>
      <c r="AT64" s="13" t="s">
        <v>48</v>
      </c>
      <c r="AU64" s="13" t="s">
        <v>48</v>
      </c>
      <c r="AV64" s="13" t="s">
        <v>48</v>
      </c>
      <c r="AW64" s="13" t="s">
        <v>48</v>
      </c>
      <c r="AX64" s="9">
        <f>5.93/3.47</f>
        <v>1.7089337175792505</v>
      </c>
      <c r="AY64" s="47">
        <v>0</v>
      </c>
      <c r="AZ64" s="2">
        <v>0</v>
      </c>
      <c r="BA64" s="2">
        <v>1</v>
      </c>
      <c r="BB64" s="9">
        <f>3.39/3.34</f>
        <v>1.0149700598802396</v>
      </c>
      <c r="BC64" s="2">
        <v>2</v>
      </c>
      <c r="BD64" s="2">
        <v>1</v>
      </c>
      <c r="BE64" s="2">
        <v>1</v>
      </c>
      <c r="BF64" s="13">
        <v>0</v>
      </c>
      <c r="BG64" s="13" t="s">
        <v>48</v>
      </c>
      <c r="BH64" s="13">
        <v>0</v>
      </c>
      <c r="BI64" s="1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 t="s">
        <v>48</v>
      </c>
      <c r="BQ64" s="13" t="s">
        <v>48</v>
      </c>
      <c r="BR64" s="13">
        <v>0</v>
      </c>
      <c r="BS64" s="13">
        <v>0</v>
      </c>
      <c r="BT64" s="1">
        <v>0</v>
      </c>
      <c r="BU64" s="13">
        <v>0</v>
      </c>
      <c r="BV64" s="13" t="s">
        <v>57</v>
      </c>
      <c r="BW64" s="13" t="s">
        <v>57</v>
      </c>
      <c r="BX64" s="13">
        <v>1</v>
      </c>
      <c r="BY64" s="13">
        <v>0</v>
      </c>
      <c r="BZ64" s="13">
        <v>0</v>
      </c>
      <c r="CA64" s="13">
        <v>0</v>
      </c>
      <c r="CB64" s="34" t="s">
        <v>60</v>
      </c>
    </row>
    <row r="65" spans="1:80" s="33" customFormat="1" x14ac:dyDescent="0.3">
      <c r="A65" s="1">
        <v>64</v>
      </c>
      <c r="B65" s="2">
        <v>60</v>
      </c>
      <c r="C65" s="3" t="s">
        <v>46</v>
      </c>
      <c r="D65" s="3" t="s">
        <v>47</v>
      </c>
      <c r="E65" s="3" t="s">
        <v>83</v>
      </c>
      <c r="F65" s="103">
        <v>180.3</v>
      </c>
      <c r="G65" s="6">
        <v>76.8</v>
      </c>
      <c r="H65" s="5">
        <f>G65/(('[1]Maya Nonsaddle'!G65/100)^2)</f>
        <v>23.614409458535238</v>
      </c>
      <c r="I65" s="1">
        <v>1</v>
      </c>
      <c r="J65" s="1">
        <v>2</v>
      </c>
      <c r="K65" s="1">
        <v>1</v>
      </c>
      <c r="L65" s="1">
        <v>0</v>
      </c>
      <c r="M65" s="1">
        <v>68</v>
      </c>
      <c r="N65" s="1">
        <v>0</v>
      </c>
      <c r="O65" s="1">
        <v>129</v>
      </c>
      <c r="P65" s="1">
        <v>0</v>
      </c>
      <c r="Q65" s="1">
        <v>20</v>
      </c>
      <c r="R65" s="1">
        <v>0</v>
      </c>
      <c r="S65" s="30">
        <v>97.5</v>
      </c>
      <c r="T65" s="1">
        <v>0</v>
      </c>
      <c r="U65" s="1">
        <v>99</v>
      </c>
      <c r="V65" s="1">
        <v>0</v>
      </c>
      <c r="W65" s="13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1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1</v>
      </c>
      <c r="AP65" s="1">
        <v>0</v>
      </c>
      <c r="AQ65" s="1">
        <v>0</v>
      </c>
      <c r="AR65" s="1">
        <v>0</v>
      </c>
      <c r="AS65" s="13">
        <v>0</v>
      </c>
      <c r="AT65" s="13">
        <v>0</v>
      </c>
      <c r="AU65" s="13">
        <v>0</v>
      </c>
      <c r="AV65" s="13">
        <v>0</v>
      </c>
      <c r="AW65" s="1">
        <v>32</v>
      </c>
      <c r="AX65" s="9">
        <f>4.02/4.84</f>
        <v>0.83057851239669411</v>
      </c>
      <c r="AY65" s="47">
        <v>0</v>
      </c>
      <c r="AZ65" s="2">
        <v>0</v>
      </c>
      <c r="BA65" s="2">
        <v>0</v>
      </c>
      <c r="BB65" s="9">
        <f>3.03/2.95</f>
        <v>1.0271186440677964</v>
      </c>
      <c r="BC65" s="2">
        <v>4</v>
      </c>
      <c r="BD65" s="2">
        <v>0</v>
      </c>
      <c r="BE65" s="2">
        <v>0</v>
      </c>
      <c r="BF65" s="1">
        <v>0</v>
      </c>
      <c r="BG65" s="1" t="s">
        <v>48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3" t="s">
        <v>48</v>
      </c>
      <c r="BQ65" s="13" t="s">
        <v>48</v>
      </c>
      <c r="BR65" s="1">
        <v>0</v>
      </c>
      <c r="BS65" s="1">
        <v>0</v>
      </c>
      <c r="BT65" s="1">
        <v>0</v>
      </c>
      <c r="BU65" s="1">
        <v>0</v>
      </c>
      <c r="BV65" s="13" t="s">
        <v>50</v>
      </c>
      <c r="BW65" s="13">
        <v>0</v>
      </c>
      <c r="BX65" s="1">
        <v>0</v>
      </c>
      <c r="BY65" s="1">
        <v>0</v>
      </c>
      <c r="BZ65" s="1">
        <v>0</v>
      </c>
      <c r="CA65" s="1">
        <v>0</v>
      </c>
      <c r="CB65" s="32" t="s">
        <v>54</v>
      </c>
    </row>
    <row r="66" spans="1:80" s="33" customFormat="1" x14ac:dyDescent="0.3">
      <c r="A66" s="1">
        <v>65</v>
      </c>
      <c r="B66" s="2">
        <v>34</v>
      </c>
      <c r="C66" s="3" t="s">
        <v>46</v>
      </c>
      <c r="D66" s="3" t="s">
        <v>47</v>
      </c>
      <c r="E66" s="3" t="s">
        <v>83</v>
      </c>
      <c r="F66" s="103">
        <v>188</v>
      </c>
      <c r="G66" s="6">
        <v>75.2</v>
      </c>
      <c r="H66" s="5">
        <f>G66/(('[1]Maya Nonsaddle'!G66/100)^2)</f>
        <v>21.285652505563593</v>
      </c>
      <c r="I66" s="1">
        <v>0</v>
      </c>
      <c r="J66" s="1">
        <v>1</v>
      </c>
      <c r="K66" s="1">
        <v>1</v>
      </c>
      <c r="L66" s="1">
        <v>0</v>
      </c>
      <c r="M66" s="1">
        <v>109</v>
      </c>
      <c r="N66" s="1">
        <v>0</v>
      </c>
      <c r="O66" s="1">
        <v>124</v>
      </c>
      <c r="P66" s="1">
        <v>0</v>
      </c>
      <c r="Q66" s="1">
        <v>24</v>
      </c>
      <c r="R66" s="1">
        <v>0</v>
      </c>
      <c r="S66" s="30">
        <v>97.7</v>
      </c>
      <c r="T66" s="1">
        <v>0</v>
      </c>
      <c r="U66" s="1">
        <v>100</v>
      </c>
      <c r="V66" s="1">
        <v>0</v>
      </c>
      <c r="W66" s="13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1</v>
      </c>
      <c r="AJ66" s="1">
        <v>1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 t="s">
        <v>48</v>
      </c>
      <c r="AQ66" s="1">
        <v>0</v>
      </c>
      <c r="AR66" s="1">
        <v>0</v>
      </c>
      <c r="AS66" s="13">
        <v>0</v>
      </c>
      <c r="AT66" s="13">
        <v>0</v>
      </c>
      <c r="AU66" s="13">
        <v>0</v>
      </c>
      <c r="AV66" s="13">
        <v>0</v>
      </c>
      <c r="AW66" s="1" t="s">
        <v>192</v>
      </c>
      <c r="AX66" s="9">
        <f>3.5/4.72</f>
        <v>0.74152542372881358</v>
      </c>
      <c r="AY66" s="47">
        <v>0</v>
      </c>
      <c r="AZ66" s="2">
        <v>0</v>
      </c>
      <c r="BA66" s="2">
        <v>0</v>
      </c>
      <c r="BB66" s="9">
        <f>2.49/2.99</f>
        <v>0.83277591973244147</v>
      </c>
      <c r="BC66" s="2">
        <v>3</v>
      </c>
      <c r="BD66" s="2">
        <v>0</v>
      </c>
      <c r="BE66" s="2">
        <v>0</v>
      </c>
      <c r="BF66" s="1">
        <v>0</v>
      </c>
      <c r="BG66" s="1" t="s">
        <v>48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3" t="s">
        <v>48</v>
      </c>
      <c r="BQ66" s="13" t="s">
        <v>48</v>
      </c>
      <c r="BR66" s="1">
        <v>0</v>
      </c>
      <c r="BS66" s="1">
        <v>0</v>
      </c>
      <c r="BT66" s="1">
        <v>0</v>
      </c>
      <c r="BU66" s="1">
        <v>0</v>
      </c>
      <c r="BV66" s="13" t="s">
        <v>50</v>
      </c>
      <c r="BW66" s="13">
        <v>0</v>
      </c>
      <c r="BX66" s="1">
        <v>0</v>
      </c>
      <c r="BY66" s="1">
        <v>0</v>
      </c>
      <c r="BZ66" s="1">
        <v>0</v>
      </c>
      <c r="CA66" s="1">
        <v>0</v>
      </c>
      <c r="CB66" s="32" t="s">
        <v>56</v>
      </c>
    </row>
    <row r="67" spans="1:80" s="35" customFormat="1" x14ac:dyDescent="0.3">
      <c r="A67" s="1">
        <v>66</v>
      </c>
      <c r="B67" s="2">
        <v>52</v>
      </c>
      <c r="C67" s="2" t="s">
        <v>52</v>
      </c>
      <c r="D67" s="2" t="s">
        <v>53</v>
      </c>
      <c r="E67" s="2" t="s">
        <v>98</v>
      </c>
      <c r="F67" s="103">
        <v>157.5</v>
      </c>
      <c r="G67" s="15">
        <v>88</v>
      </c>
      <c r="H67" s="5">
        <f>G67/(('[1]Maya Nonsaddle'!G67/100)^2)</f>
        <v>35.483941935625808</v>
      </c>
      <c r="I67" s="13">
        <v>1</v>
      </c>
      <c r="J67" s="13">
        <v>2</v>
      </c>
      <c r="K67" s="13">
        <v>2</v>
      </c>
      <c r="L67" s="13">
        <v>0</v>
      </c>
      <c r="M67" s="13">
        <v>109</v>
      </c>
      <c r="N67" s="13">
        <v>0</v>
      </c>
      <c r="O67" s="13">
        <v>165</v>
      </c>
      <c r="P67" s="13">
        <v>0</v>
      </c>
      <c r="Q67" s="13">
        <v>20</v>
      </c>
      <c r="R67" s="13">
        <v>0</v>
      </c>
      <c r="S67" s="5">
        <v>97.8</v>
      </c>
      <c r="T67" s="13">
        <v>1</v>
      </c>
      <c r="U67" s="13">
        <v>89</v>
      </c>
      <c r="V67" s="13">
        <v>1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1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1</v>
      </c>
      <c r="AP67" s="13">
        <v>1</v>
      </c>
      <c r="AQ67" s="13" t="s">
        <v>48</v>
      </c>
      <c r="AR67" s="13">
        <v>1</v>
      </c>
      <c r="AS67" s="13">
        <v>1</v>
      </c>
      <c r="AT67" s="13">
        <v>1</v>
      </c>
      <c r="AU67" s="13">
        <v>1</v>
      </c>
      <c r="AV67" s="13">
        <v>0</v>
      </c>
      <c r="AW67" s="13" t="s">
        <v>192</v>
      </c>
      <c r="AX67" s="9">
        <f>4.44/4.04</f>
        <v>1.0990099009900991</v>
      </c>
      <c r="AY67" s="47">
        <v>0</v>
      </c>
      <c r="AZ67" s="2">
        <v>0</v>
      </c>
      <c r="BA67" s="2">
        <v>1</v>
      </c>
      <c r="BB67" s="9">
        <f>2.78/2.79</f>
        <v>0.99641577060931896</v>
      </c>
      <c r="BC67" s="2">
        <v>3</v>
      </c>
      <c r="BD67" s="2">
        <v>0</v>
      </c>
      <c r="BE67" s="2">
        <v>1</v>
      </c>
      <c r="BF67" s="13" t="s">
        <v>48</v>
      </c>
      <c r="BG67" s="13" t="s">
        <v>48</v>
      </c>
      <c r="BH67" s="13">
        <v>0</v>
      </c>
      <c r="BI67" s="1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 t="s">
        <v>48</v>
      </c>
      <c r="BQ67" s="13" t="s">
        <v>48</v>
      </c>
      <c r="BR67" s="13">
        <v>0</v>
      </c>
      <c r="BS67" s="13">
        <v>0</v>
      </c>
      <c r="BT67" s="1">
        <v>0</v>
      </c>
      <c r="BU67" s="13">
        <v>0</v>
      </c>
      <c r="BV67" s="13" t="s">
        <v>50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34" t="s">
        <v>61</v>
      </c>
    </row>
    <row r="68" spans="1:80" s="35" customFormat="1" x14ac:dyDescent="0.3">
      <c r="A68" s="1">
        <v>67</v>
      </c>
      <c r="B68" s="2">
        <v>69</v>
      </c>
      <c r="C68" s="2" t="s">
        <v>52</v>
      </c>
      <c r="D68" s="2" t="s">
        <v>53</v>
      </c>
      <c r="E68" s="2" t="s">
        <v>83</v>
      </c>
      <c r="F68" s="103">
        <v>149.9</v>
      </c>
      <c r="G68" s="15">
        <v>97.98</v>
      </c>
      <c r="H68" s="5">
        <f>G68/(('[1]Maya Nonsaddle'!G68/100)^2)</f>
        <v>43.628067721518946</v>
      </c>
      <c r="I68" s="13">
        <v>0</v>
      </c>
      <c r="J68" s="13">
        <v>2</v>
      </c>
      <c r="K68" s="13">
        <v>1</v>
      </c>
      <c r="L68" s="13">
        <v>0</v>
      </c>
      <c r="M68" s="13">
        <v>88</v>
      </c>
      <c r="N68" s="13">
        <v>0</v>
      </c>
      <c r="O68" s="13">
        <v>132</v>
      </c>
      <c r="P68" s="13">
        <v>0</v>
      </c>
      <c r="Q68" s="13">
        <v>20</v>
      </c>
      <c r="R68" s="13">
        <v>0</v>
      </c>
      <c r="S68" s="5">
        <v>100.2</v>
      </c>
      <c r="T68" s="13">
        <v>0</v>
      </c>
      <c r="U68" s="13">
        <v>97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1</v>
      </c>
      <c r="AF68" s="13">
        <v>0</v>
      </c>
      <c r="AG68" s="13">
        <v>1</v>
      </c>
      <c r="AH68" s="13">
        <v>0</v>
      </c>
      <c r="AI68" s="13">
        <v>1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 t="s">
        <v>48</v>
      </c>
      <c r="AQ68" s="13">
        <v>0</v>
      </c>
      <c r="AR68" s="13" t="s">
        <v>48</v>
      </c>
      <c r="AS68" s="13" t="s">
        <v>48</v>
      </c>
      <c r="AT68" s="13" t="s">
        <v>48</v>
      </c>
      <c r="AU68" s="13" t="s">
        <v>48</v>
      </c>
      <c r="AV68" s="13" t="s">
        <v>48</v>
      </c>
      <c r="AW68" s="13" t="s">
        <v>48</v>
      </c>
      <c r="AX68" s="9">
        <f>3.88/4.82</f>
        <v>0.80497925311203311</v>
      </c>
      <c r="AY68" s="47">
        <v>0</v>
      </c>
      <c r="AZ68" s="2">
        <v>0</v>
      </c>
      <c r="BA68" s="2">
        <v>0</v>
      </c>
      <c r="BB68" s="9">
        <f>3.33/3.15</f>
        <v>1.0571428571428572</v>
      </c>
      <c r="BC68" s="2">
        <v>1</v>
      </c>
      <c r="BD68" s="2">
        <v>0</v>
      </c>
      <c r="BE68" s="2">
        <v>0</v>
      </c>
      <c r="BF68" s="13">
        <v>0</v>
      </c>
      <c r="BG68" s="13" t="s">
        <v>48</v>
      </c>
      <c r="BH68" s="13">
        <v>0</v>
      </c>
      <c r="BI68" s="1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 t="s">
        <v>48</v>
      </c>
      <c r="BQ68" s="13" t="s">
        <v>48</v>
      </c>
      <c r="BR68" s="13">
        <v>0</v>
      </c>
      <c r="BS68" s="13">
        <v>0</v>
      </c>
      <c r="BT68" s="1">
        <v>0</v>
      </c>
      <c r="BU68" s="13">
        <v>0</v>
      </c>
      <c r="BV68" s="13" t="s">
        <v>50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34" t="s">
        <v>56</v>
      </c>
    </row>
    <row r="69" spans="1:80" s="33" customFormat="1" x14ac:dyDescent="0.3">
      <c r="A69" s="1">
        <v>68</v>
      </c>
      <c r="B69" s="2">
        <v>56</v>
      </c>
      <c r="C69" s="3" t="s">
        <v>46</v>
      </c>
      <c r="D69" s="3" t="s">
        <v>47</v>
      </c>
      <c r="E69" s="3" t="s">
        <v>83</v>
      </c>
      <c r="F69" s="103">
        <v>190.5</v>
      </c>
      <c r="G69" s="6">
        <v>112.5</v>
      </c>
      <c r="H69" s="5">
        <f>G69/(('[1]Maya Nonsaddle'!G69/100)^2)</f>
        <v>31.000062000124</v>
      </c>
      <c r="I69" s="1">
        <v>1</v>
      </c>
      <c r="J69" s="1">
        <v>3</v>
      </c>
      <c r="K69" s="1">
        <v>1</v>
      </c>
      <c r="L69" s="1">
        <v>1</v>
      </c>
      <c r="M69" s="1">
        <v>110</v>
      </c>
      <c r="N69" s="1">
        <v>0</v>
      </c>
      <c r="O69" s="1">
        <v>172</v>
      </c>
      <c r="P69" s="1">
        <v>0</v>
      </c>
      <c r="Q69" s="1">
        <v>20</v>
      </c>
      <c r="R69" s="1">
        <v>0</v>
      </c>
      <c r="S69" s="30">
        <v>97.9</v>
      </c>
      <c r="T69" s="1">
        <v>0</v>
      </c>
      <c r="U69" s="1">
        <v>95</v>
      </c>
      <c r="V69" s="1">
        <v>0</v>
      </c>
      <c r="W69" s="13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  <c r="AH69" s="1">
        <v>0</v>
      </c>
      <c r="AI69" s="1">
        <v>1</v>
      </c>
      <c r="AJ69" s="1">
        <v>1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 t="s">
        <v>48</v>
      </c>
      <c r="AQ69" s="1" t="s">
        <v>48</v>
      </c>
      <c r="AR69" s="1">
        <v>0</v>
      </c>
      <c r="AS69" s="13">
        <v>0</v>
      </c>
      <c r="AT69" s="13">
        <v>0</v>
      </c>
      <c r="AU69" s="13">
        <v>0</v>
      </c>
      <c r="AV69" s="13">
        <v>0</v>
      </c>
      <c r="AW69" s="1" t="s">
        <v>192</v>
      </c>
      <c r="AX69" s="9">
        <f>4.08/4.86</f>
        <v>0.83950617283950613</v>
      </c>
      <c r="AY69" s="47">
        <v>0</v>
      </c>
      <c r="AZ69" s="2">
        <v>0</v>
      </c>
      <c r="BA69" s="2">
        <v>0</v>
      </c>
      <c r="BB69" s="9">
        <f>3.28/3.79</f>
        <v>0.86543535620052769</v>
      </c>
      <c r="BC69" s="2">
        <v>1</v>
      </c>
      <c r="BD69" s="2">
        <v>0</v>
      </c>
      <c r="BE69" s="2">
        <v>0</v>
      </c>
      <c r="BF69" s="1">
        <v>0</v>
      </c>
      <c r="BG69" s="1" t="s">
        <v>48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3" t="s">
        <v>48</v>
      </c>
      <c r="BQ69" s="13" t="s">
        <v>48</v>
      </c>
      <c r="BR69" s="1">
        <v>0</v>
      </c>
      <c r="BS69" s="1">
        <v>0</v>
      </c>
      <c r="BT69" s="1">
        <v>0</v>
      </c>
      <c r="BU69" s="1">
        <v>0</v>
      </c>
      <c r="BV69" s="13" t="s">
        <v>50</v>
      </c>
      <c r="BW69" s="13">
        <v>0</v>
      </c>
      <c r="BX69" s="1">
        <v>0</v>
      </c>
      <c r="BY69" s="1">
        <v>0</v>
      </c>
      <c r="BZ69" s="1">
        <v>0</v>
      </c>
      <c r="CA69" s="1">
        <v>0</v>
      </c>
      <c r="CB69" s="32" t="s">
        <v>99</v>
      </c>
    </row>
    <row r="70" spans="1:80" s="33" customFormat="1" x14ac:dyDescent="0.3">
      <c r="A70" s="1">
        <v>69</v>
      </c>
      <c r="B70" s="2">
        <v>86</v>
      </c>
      <c r="C70" s="3" t="s">
        <v>52</v>
      </c>
      <c r="D70" s="3" t="s">
        <v>47</v>
      </c>
      <c r="E70" s="3" t="s">
        <v>77</v>
      </c>
      <c r="F70" s="103">
        <v>157.5</v>
      </c>
      <c r="G70" s="6">
        <v>58.97</v>
      </c>
      <c r="H70" s="5">
        <f>G70/(('[1]Maya Nonsaddle'!G70/100)^2)</f>
        <v>23.778273362998338</v>
      </c>
      <c r="I70" s="1">
        <v>1</v>
      </c>
      <c r="J70" s="1">
        <v>3</v>
      </c>
      <c r="K70" s="1">
        <v>1</v>
      </c>
      <c r="L70" s="1">
        <v>0</v>
      </c>
      <c r="M70" s="1">
        <v>72</v>
      </c>
      <c r="N70" s="1">
        <v>0</v>
      </c>
      <c r="O70" s="1">
        <v>180</v>
      </c>
      <c r="P70" s="1">
        <v>0</v>
      </c>
      <c r="Q70" s="1">
        <v>20</v>
      </c>
      <c r="R70" s="1">
        <v>0</v>
      </c>
      <c r="S70" s="30">
        <v>97.6</v>
      </c>
      <c r="T70" s="1">
        <v>0</v>
      </c>
      <c r="U70" s="1">
        <v>92</v>
      </c>
      <c r="V70" s="1">
        <v>0</v>
      </c>
      <c r="W70" s="13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 t="s">
        <v>48</v>
      </c>
      <c r="AQ70" s="1">
        <v>0</v>
      </c>
      <c r="AR70" s="1">
        <v>0</v>
      </c>
      <c r="AS70" s="13" t="s">
        <v>48</v>
      </c>
      <c r="AT70" s="13" t="s">
        <v>48</v>
      </c>
      <c r="AU70" s="13" t="s">
        <v>48</v>
      </c>
      <c r="AV70" s="13" t="s">
        <v>48</v>
      </c>
      <c r="AW70" s="1" t="s">
        <v>48</v>
      </c>
      <c r="AX70" s="9">
        <f>4.02/4.27</f>
        <v>0.94145199063231855</v>
      </c>
      <c r="AY70" s="47">
        <v>0</v>
      </c>
      <c r="AZ70" s="2">
        <v>1</v>
      </c>
      <c r="BA70" s="2">
        <v>0</v>
      </c>
      <c r="BB70" s="9">
        <f>2.31/3.11</f>
        <v>0.74276527331189712</v>
      </c>
      <c r="BC70" s="2">
        <v>2</v>
      </c>
      <c r="BD70" s="2">
        <v>0</v>
      </c>
      <c r="BE70" s="2">
        <v>0</v>
      </c>
      <c r="BF70" s="1">
        <v>0</v>
      </c>
      <c r="BG70" s="1" t="s">
        <v>48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3" t="s">
        <v>48</v>
      </c>
      <c r="BQ70" s="13" t="s">
        <v>48</v>
      </c>
      <c r="BR70" s="1">
        <v>0</v>
      </c>
      <c r="BS70" s="1">
        <v>0</v>
      </c>
      <c r="BT70" s="1">
        <v>0</v>
      </c>
      <c r="BU70" s="1">
        <v>1</v>
      </c>
      <c r="BV70" s="13" t="s">
        <v>57</v>
      </c>
      <c r="BW70" s="13" t="s">
        <v>57</v>
      </c>
      <c r="BX70" s="1">
        <v>0</v>
      </c>
      <c r="BY70" s="1">
        <v>0</v>
      </c>
      <c r="BZ70" s="1">
        <v>0</v>
      </c>
      <c r="CA70" s="1">
        <v>0</v>
      </c>
      <c r="CB70" s="32" t="s">
        <v>61</v>
      </c>
    </row>
    <row r="71" spans="1:80" s="35" customFormat="1" x14ac:dyDescent="0.3">
      <c r="A71" s="1">
        <v>70</v>
      </c>
      <c r="B71" s="2">
        <v>58</v>
      </c>
      <c r="C71" s="2" t="s">
        <v>52</v>
      </c>
      <c r="D71" s="2" t="s">
        <v>47</v>
      </c>
      <c r="E71" s="2" t="s">
        <v>98</v>
      </c>
      <c r="F71" s="103">
        <v>167.6</v>
      </c>
      <c r="G71" s="15">
        <v>71.2</v>
      </c>
      <c r="H71" s="5">
        <f>G71/(('[1]Maya Nonsaddle'!G71/100)^2)</f>
        <v>25.335220551065529</v>
      </c>
      <c r="I71" s="13">
        <v>1</v>
      </c>
      <c r="J71" s="13">
        <v>3</v>
      </c>
      <c r="K71" s="13">
        <v>1</v>
      </c>
      <c r="L71" s="13">
        <v>0</v>
      </c>
      <c r="M71" s="13">
        <v>88</v>
      </c>
      <c r="N71" s="13">
        <v>1</v>
      </c>
      <c r="O71" s="13">
        <v>92</v>
      </c>
      <c r="P71" s="13">
        <v>0</v>
      </c>
      <c r="Q71" s="13">
        <v>20</v>
      </c>
      <c r="R71" s="13">
        <v>0</v>
      </c>
      <c r="S71" s="5">
        <v>98.1</v>
      </c>
      <c r="T71" s="13">
        <v>0</v>
      </c>
      <c r="U71" s="13">
        <v>98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1</v>
      </c>
      <c r="AH71" s="13">
        <v>0</v>
      </c>
      <c r="AI71" s="13">
        <v>1</v>
      </c>
      <c r="AJ71" s="13">
        <v>1</v>
      </c>
      <c r="AK71" s="13">
        <v>0</v>
      </c>
      <c r="AL71" s="13">
        <v>0</v>
      </c>
      <c r="AM71" s="13">
        <v>0</v>
      </c>
      <c r="AN71" s="13">
        <v>0</v>
      </c>
      <c r="AO71" s="13">
        <v>1</v>
      </c>
      <c r="AP71" s="13">
        <v>1</v>
      </c>
      <c r="AQ71" s="13" t="s">
        <v>48</v>
      </c>
      <c r="AR71" s="13">
        <v>0</v>
      </c>
      <c r="AS71" s="13" t="s">
        <v>48</v>
      </c>
      <c r="AT71" s="13" t="s">
        <v>48</v>
      </c>
      <c r="AU71" s="13" t="s">
        <v>48</v>
      </c>
      <c r="AV71" s="13" t="s">
        <v>48</v>
      </c>
      <c r="AW71" s="13" t="s">
        <v>48</v>
      </c>
      <c r="AX71" s="9">
        <f>3.7/4.78</f>
        <v>0.77405857740585771</v>
      </c>
      <c r="AY71" s="47">
        <v>0</v>
      </c>
      <c r="AZ71" s="2">
        <v>0</v>
      </c>
      <c r="BA71" s="2">
        <v>0</v>
      </c>
      <c r="BB71" s="9">
        <f>1.93/2.89</f>
        <v>0.66782006920415216</v>
      </c>
      <c r="BC71" s="2">
        <v>1</v>
      </c>
      <c r="BD71" s="2">
        <v>0</v>
      </c>
      <c r="BE71" s="2">
        <v>0</v>
      </c>
      <c r="BF71" s="13">
        <v>0</v>
      </c>
      <c r="BG71" s="13" t="s">
        <v>48</v>
      </c>
      <c r="BH71" s="13">
        <v>0</v>
      </c>
      <c r="BI71" s="1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 t="s">
        <v>48</v>
      </c>
      <c r="BQ71" s="13" t="s">
        <v>48</v>
      </c>
      <c r="BR71" s="13">
        <v>0</v>
      </c>
      <c r="BS71" s="13">
        <v>0</v>
      </c>
      <c r="BT71" s="1">
        <v>0</v>
      </c>
      <c r="BU71" s="13">
        <v>0</v>
      </c>
      <c r="BV71" s="13" t="s">
        <v>50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34" t="s">
        <v>56</v>
      </c>
    </row>
    <row r="72" spans="1:80" s="33" customFormat="1" x14ac:dyDescent="0.3">
      <c r="A72" s="1">
        <v>71</v>
      </c>
      <c r="B72" s="2">
        <v>43</v>
      </c>
      <c r="C72" s="3" t="s">
        <v>52</v>
      </c>
      <c r="D72" s="3" t="s">
        <v>47</v>
      </c>
      <c r="E72" s="3" t="s">
        <v>74</v>
      </c>
      <c r="F72" s="103">
        <v>162.6</v>
      </c>
      <c r="G72" s="6">
        <v>117.2</v>
      </c>
      <c r="H72" s="5">
        <f>G72/(('[1]Maya Nonsaddle'!G72/100)^2)</f>
        <v>44.350674638849277</v>
      </c>
      <c r="I72" s="1">
        <v>1</v>
      </c>
      <c r="J72" s="1">
        <v>1</v>
      </c>
      <c r="K72" s="1">
        <v>1</v>
      </c>
      <c r="L72" s="1">
        <v>0</v>
      </c>
      <c r="M72" s="1">
        <v>104</v>
      </c>
      <c r="N72" s="1">
        <v>0</v>
      </c>
      <c r="O72" s="1">
        <v>194</v>
      </c>
      <c r="P72" s="1">
        <v>0</v>
      </c>
      <c r="Q72" s="1">
        <v>18</v>
      </c>
      <c r="R72" s="1">
        <v>0</v>
      </c>
      <c r="S72" s="30">
        <v>98.6</v>
      </c>
      <c r="T72" s="1">
        <v>0</v>
      </c>
      <c r="U72" s="1">
        <v>99</v>
      </c>
      <c r="V72" s="1">
        <v>0</v>
      </c>
      <c r="W72" s="13">
        <v>0</v>
      </c>
      <c r="X72" s="1">
        <v>0</v>
      </c>
      <c r="Y72" s="1">
        <v>0</v>
      </c>
      <c r="Z72" s="1">
        <v>0</v>
      </c>
      <c r="AA72" s="1">
        <v>0</v>
      </c>
      <c r="AB72" s="1">
        <v>1</v>
      </c>
      <c r="AC72" s="1">
        <v>0</v>
      </c>
      <c r="AD72" s="1">
        <v>1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 t="s">
        <v>48</v>
      </c>
      <c r="AQ72" s="1">
        <v>0</v>
      </c>
      <c r="AR72" s="1">
        <v>0</v>
      </c>
      <c r="AS72" s="13" t="s">
        <v>48</v>
      </c>
      <c r="AT72" s="13" t="s">
        <v>48</v>
      </c>
      <c r="AU72" s="13" t="s">
        <v>48</v>
      </c>
      <c r="AV72" s="13" t="s">
        <v>48</v>
      </c>
      <c r="AW72" s="1" t="s">
        <v>48</v>
      </c>
      <c r="AX72" s="9">
        <f>3.93/4.94</f>
        <v>0.79554655870445345</v>
      </c>
      <c r="AY72" s="47">
        <v>0</v>
      </c>
      <c r="AZ72" s="2">
        <v>0</v>
      </c>
      <c r="BA72" s="2">
        <v>0</v>
      </c>
      <c r="BB72" s="9">
        <f>2.27/3.62</f>
        <v>0.6270718232044199</v>
      </c>
      <c r="BC72" s="2">
        <v>3</v>
      </c>
      <c r="BD72" s="2">
        <v>0</v>
      </c>
      <c r="BE72" s="2">
        <v>0</v>
      </c>
      <c r="BF72" s="1">
        <v>0</v>
      </c>
      <c r="BG72" s="1" t="s">
        <v>48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3" t="s">
        <v>48</v>
      </c>
      <c r="BQ72" s="13" t="s">
        <v>48</v>
      </c>
      <c r="BR72" s="1">
        <v>0</v>
      </c>
      <c r="BS72" s="1">
        <v>0</v>
      </c>
      <c r="BT72" s="1">
        <v>0</v>
      </c>
      <c r="BU72" s="1">
        <v>0</v>
      </c>
      <c r="BV72" s="13" t="s">
        <v>50</v>
      </c>
      <c r="BW72" s="13">
        <v>0</v>
      </c>
      <c r="BX72" s="1">
        <v>0</v>
      </c>
      <c r="BY72" s="1">
        <v>0</v>
      </c>
      <c r="BZ72" s="1">
        <v>0</v>
      </c>
      <c r="CA72" s="1">
        <v>0</v>
      </c>
      <c r="CB72" s="32" t="s">
        <v>55</v>
      </c>
    </row>
    <row r="73" spans="1:80" s="35" customFormat="1" x14ac:dyDescent="0.3">
      <c r="A73" s="1">
        <v>72</v>
      </c>
      <c r="B73" s="2">
        <v>67</v>
      </c>
      <c r="C73" s="2" t="s">
        <v>46</v>
      </c>
      <c r="D73" s="2" t="s">
        <v>47</v>
      </c>
      <c r="E73" s="2" t="s">
        <v>87</v>
      </c>
      <c r="F73" s="103">
        <v>182.9</v>
      </c>
      <c r="G73" s="15">
        <v>87.5</v>
      </c>
      <c r="H73" s="5">
        <f>G73/(('[1]Maya Nonsaddle'!G73/100)^2)</f>
        <v>26.162282262836133</v>
      </c>
      <c r="I73" s="13">
        <v>1</v>
      </c>
      <c r="J73" s="13">
        <v>5</v>
      </c>
      <c r="K73" s="13">
        <v>2</v>
      </c>
      <c r="L73" s="13">
        <v>1</v>
      </c>
      <c r="M73" s="13">
        <v>130</v>
      </c>
      <c r="N73" s="13">
        <v>1</v>
      </c>
      <c r="O73" s="13">
        <v>94</v>
      </c>
      <c r="P73" s="13">
        <v>0</v>
      </c>
      <c r="Q73" s="13">
        <v>25</v>
      </c>
      <c r="R73" s="13">
        <v>0</v>
      </c>
      <c r="S73" s="5">
        <v>98.5</v>
      </c>
      <c r="T73" s="13">
        <v>1</v>
      </c>
      <c r="U73" s="13" t="s">
        <v>48</v>
      </c>
      <c r="V73" s="13">
        <v>1</v>
      </c>
      <c r="W73" s="13">
        <v>0</v>
      </c>
      <c r="X73" s="13">
        <v>0</v>
      </c>
      <c r="Y73" s="13">
        <v>1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1</v>
      </c>
      <c r="AF73" s="13">
        <v>0</v>
      </c>
      <c r="AG73" s="13">
        <v>1</v>
      </c>
      <c r="AH73" s="13">
        <v>0</v>
      </c>
      <c r="AI73" s="13">
        <v>1</v>
      </c>
      <c r="AJ73" s="13">
        <v>1</v>
      </c>
      <c r="AK73" s="13">
        <v>0</v>
      </c>
      <c r="AL73" s="13">
        <v>0</v>
      </c>
      <c r="AM73" s="13">
        <v>0</v>
      </c>
      <c r="AN73" s="13">
        <v>0</v>
      </c>
      <c r="AO73" s="13">
        <v>1</v>
      </c>
      <c r="AP73" s="13">
        <v>0</v>
      </c>
      <c r="AQ73" s="13" t="s">
        <v>48</v>
      </c>
      <c r="AR73" s="13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42.9</v>
      </c>
      <c r="AX73" s="9">
        <f>5.1/4.47</f>
        <v>1.1409395973154361</v>
      </c>
      <c r="AY73" s="47">
        <v>0</v>
      </c>
      <c r="AZ73" s="2">
        <v>0</v>
      </c>
      <c r="BA73" s="2">
        <v>1</v>
      </c>
      <c r="BB73" s="9">
        <f>2.6/2.86</f>
        <v>0.90909090909090917</v>
      </c>
      <c r="BC73" s="2">
        <v>3</v>
      </c>
      <c r="BD73" s="2">
        <v>1</v>
      </c>
      <c r="BE73" s="2">
        <v>0</v>
      </c>
      <c r="BF73" s="13">
        <v>1</v>
      </c>
      <c r="BG73" s="13" t="s">
        <v>94</v>
      </c>
      <c r="BH73" s="13">
        <v>1</v>
      </c>
      <c r="BI73" s="1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 t="s">
        <v>48</v>
      </c>
      <c r="BQ73" s="13" t="s">
        <v>48</v>
      </c>
      <c r="BR73" s="13">
        <v>0</v>
      </c>
      <c r="BS73" s="13">
        <v>0</v>
      </c>
      <c r="BT73" s="1">
        <v>0</v>
      </c>
      <c r="BU73" s="13">
        <v>0</v>
      </c>
      <c r="BV73" s="13" t="s">
        <v>50</v>
      </c>
      <c r="BW73" s="13">
        <v>0</v>
      </c>
      <c r="BX73" s="13">
        <v>1</v>
      </c>
      <c r="BY73" s="13">
        <v>0</v>
      </c>
      <c r="BZ73" s="13">
        <v>0</v>
      </c>
      <c r="CA73" s="13">
        <v>0</v>
      </c>
      <c r="CB73" s="34" t="s">
        <v>61</v>
      </c>
    </row>
    <row r="74" spans="1:80" s="35" customFormat="1" x14ac:dyDescent="0.3">
      <c r="A74" s="1">
        <v>73</v>
      </c>
      <c r="B74" s="2">
        <v>63</v>
      </c>
      <c r="C74" s="2" t="s">
        <v>46</v>
      </c>
      <c r="D74" s="2" t="s">
        <v>47</v>
      </c>
      <c r="E74" s="2" t="s">
        <v>77</v>
      </c>
      <c r="F74" s="103">
        <v>193</v>
      </c>
      <c r="G74" s="15">
        <v>127</v>
      </c>
      <c r="H74" s="5">
        <f>G74/(('[1]Maya Nonsaddle'!G74/100)^2)</f>
        <v>34.080746831853773</v>
      </c>
      <c r="I74" s="13">
        <v>1</v>
      </c>
      <c r="J74" s="13">
        <v>3</v>
      </c>
      <c r="K74" s="13">
        <v>2</v>
      </c>
      <c r="L74" s="13">
        <v>0</v>
      </c>
      <c r="M74" s="13">
        <v>93</v>
      </c>
      <c r="N74" s="13">
        <v>0</v>
      </c>
      <c r="O74" s="13">
        <v>128</v>
      </c>
      <c r="P74" s="13">
        <v>0</v>
      </c>
      <c r="Q74" s="13">
        <v>18</v>
      </c>
      <c r="R74" s="13">
        <v>0</v>
      </c>
      <c r="S74" s="5">
        <v>97.8</v>
      </c>
      <c r="T74" s="13">
        <v>0</v>
      </c>
      <c r="U74" s="13">
        <v>95</v>
      </c>
      <c r="V74" s="13">
        <v>0</v>
      </c>
      <c r="W74" s="13">
        <v>0</v>
      </c>
      <c r="X74" s="13">
        <v>0</v>
      </c>
      <c r="Y74" s="13">
        <v>0</v>
      </c>
      <c r="Z74" s="13">
        <v>1</v>
      </c>
      <c r="AA74" s="13">
        <v>1</v>
      </c>
      <c r="AB74" s="13">
        <v>0</v>
      </c>
      <c r="AC74" s="13">
        <v>0</v>
      </c>
      <c r="AD74" s="13">
        <v>0</v>
      </c>
      <c r="AE74" s="13">
        <v>1</v>
      </c>
      <c r="AF74" s="13">
        <v>0</v>
      </c>
      <c r="AG74" s="13">
        <v>1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1</v>
      </c>
      <c r="AP74" s="13">
        <v>1</v>
      </c>
      <c r="AQ74" s="13">
        <v>0</v>
      </c>
      <c r="AR74" s="13">
        <v>0</v>
      </c>
      <c r="AS74" s="13">
        <v>1</v>
      </c>
      <c r="AT74" s="13">
        <v>0</v>
      </c>
      <c r="AU74" s="13">
        <v>0</v>
      </c>
      <c r="AV74" s="13">
        <v>0</v>
      </c>
      <c r="AW74" s="13" t="s">
        <v>192</v>
      </c>
      <c r="AX74" s="9">
        <f>4.57/4.66</f>
        <v>0.98068669527897001</v>
      </c>
      <c r="AY74" s="47">
        <v>0</v>
      </c>
      <c r="AZ74" s="2">
        <v>0</v>
      </c>
      <c r="BA74" s="2">
        <v>1</v>
      </c>
      <c r="BB74" s="9">
        <f>3.39/3.52</f>
        <v>0.96306818181818188</v>
      </c>
      <c r="BC74" s="2">
        <v>1</v>
      </c>
      <c r="BD74" s="2">
        <v>1</v>
      </c>
      <c r="BE74" s="2">
        <v>1</v>
      </c>
      <c r="BF74" s="13">
        <v>0</v>
      </c>
      <c r="BG74" s="13" t="s">
        <v>48</v>
      </c>
      <c r="BH74" s="13">
        <v>0</v>
      </c>
      <c r="BI74" s="1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 t="s">
        <v>48</v>
      </c>
      <c r="BQ74" s="13" t="s">
        <v>48</v>
      </c>
      <c r="BR74" s="13">
        <v>0</v>
      </c>
      <c r="BS74" s="13">
        <v>0</v>
      </c>
      <c r="BT74" s="1">
        <v>0</v>
      </c>
      <c r="BU74" s="13">
        <v>0</v>
      </c>
      <c r="BV74" s="13" t="s">
        <v>50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34" t="s">
        <v>60</v>
      </c>
    </row>
    <row r="75" spans="1:80" s="33" customFormat="1" x14ac:dyDescent="0.3">
      <c r="A75" s="1">
        <v>74</v>
      </c>
      <c r="B75" s="2">
        <v>73</v>
      </c>
      <c r="C75" s="3" t="s">
        <v>46</v>
      </c>
      <c r="D75" s="3" t="s">
        <v>53</v>
      </c>
      <c r="E75" s="3" t="s">
        <v>74</v>
      </c>
      <c r="F75" s="103">
        <v>182.9</v>
      </c>
      <c r="G75" s="6">
        <v>72.599999999999994</v>
      </c>
      <c r="H75" s="5">
        <f>G75/(('[1]Maya Nonsaddle'!G75/100)^2)</f>
        <v>21.707219340364606</v>
      </c>
      <c r="I75" s="1">
        <v>1</v>
      </c>
      <c r="J75" s="1">
        <v>4</v>
      </c>
      <c r="K75" s="1">
        <v>1</v>
      </c>
      <c r="L75" s="1">
        <v>0</v>
      </c>
      <c r="M75" s="1">
        <v>66</v>
      </c>
      <c r="N75" s="1">
        <v>0</v>
      </c>
      <c r="O75" s="1">
        <v>152</v>
      </c>
      <c r="P75" s="1">
        <v>0</v>
      </c>
      <c r="Q75" s="1">
        <v>18</v>
      </c>
      <c r="R75" s="1">
        <v>0</v>
      </c>
      <c r="S75" s="30">
        <v>98.8</v>
      </c>
      <c r="T75" s="1">
        <v>0</v>
      </c>
      <c r="U75" s="1">
        <v>99</v>
      </c>
      <c r="V75" s="1">
        <v>0</v>
      </c>
      <c r="W75" s="13">
        <v>0</v>
      </c>
      <c r="X75" s="1">
        <v>0</v>
      </c>
      <c r="Y75" s="1">
        <v>0</v>
      </c>
      <c r="Z75" s="1">
        <v>0</v>
      </c>
      <c r="AA75" s="1">
        <v>1</v>
      </c>
      <c r="AB75" s="1">
        <v>0</v>
      </c>
      <c r="AC75" s="1">
        <v>0</v>
      </c>
      <c r="AD75" s="1">
        <v>0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 t="s">
        <v>48</v>
      </c>
      <c r="AQ75" s="1">
        <v>0</v>
      </c>
      <c r="AR75" s="1">
        <v>0</v>
      </c>
      <c r="AS75" s="13" t="s">
        <v>48</v>
      </c>
      <c r="AT75" s="13" t="s">
        <v>48</v>
      </c>
      <c r="AU75" s="13" t="s">
        <v>48</v>
      </c>
      <c r="AV75" s="13" t="s">
        <v>48</v>
      </c>
      <c r="AW75" s="1" t="s">
        <v>48</v>
      </c>
      <c r="AX75" s="9">
        <f>3.52/5.1</f>
        <v>0.69019607843137265</v>
      </c>
      <c r="AY75" s="47">
        <v>0</v>
      </c>
      <c r="AZ75" s="2">
        <v>0</v>
      </c>
      <c r="BA75" s="2">
        <v>0</v>
      </c>
      <c r="BB75" s="9">
        <f>3.33/3.51</f>
        <v>0.94871794871794879</v>
      </c>
      <c r="BC75" s="2">
        <v>2</v>
      </c>
      <c r="BD75" s="2">
        <v>0</v>
      </c>
      <c r="BE75" s="2">
        <v>0</v>
      </c>
      <c r="BF75" s="1">
        <v>0</v>
      </c>
      <c r="BG75" s="1" t="s">
        <v>48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3" t="s">
        <v>48</v>
      </c>
      <c r="BQ75" s="13" t="s">
        <v>48</v>
      </c>
      <c r="BR75" s="1">
        <v>0</v>
      </c>
      <c r="BS75" s="1">
        <v>0</v>
      </c>
      <c r="BT75" s="1">
        <v>0</v>
      </c>
      <c r="BU75" s="1">
        <v>0</v>
      </c>
      <c r="BV75" s="13" t="s">
        <v>50</v>
      </c>
      <c r="BW75" s="13">
        <v>0</v>
      </c>
      <c r="BX75" s="1">
        <v>0</v>
      </c>
      <c r="BY75" s="1">
        <v>0</v>
      </c>
      <c r="BZ75" s="1">
        <v>0</v>
      </c>
      <c r="CA75" s="1">
        <v>0</v>
      </c>
      <c r="CB75" s="32" t="s">
        <v>54</v>
      </c>
    </row>
    <row r="76" spans="1:80" s="39" customFormat="1" x14ac:dyDescent="0.3">
      <c r="A76" s="1">
        <v>75</v>
      </c>
      <c r="B76" s="19">
        <v>45</v>
      </c>
      <c r="C76" s="19" t="s">
        <v>46</v>
      </c>
      <c r="D76" s="19" t="s">
        <v>47</v>
      </c>
      <c r="E76" s="19" t="s">
        <v>100</v>
      </c>
      <c r="F76" s="103">
        <v>190.5</v>
      </c>
      <c r="G76" s="36">
        <v>127.5</v>
      </c>
      <c r="H76" s="22">
        <f>G76/(('[1]Maya Nonsaddle'!G76/100)^2)</f>
        <v>35.133403600140532</v>
      </c>
      <c r="I76" s="37">
        <v>1</v>
      </c>
      <c r="J76" s="37">
        <v>1</v>
      </c>
      <c r="K76" s="37">
        <v>2</v>
      </c>
      <c r="L76" s="37">
        <v>0</v>
      </c>
      <c r="M76" s="37">
        <v>99</v>
      </c>
      <c r="N76" s="37">
        <v>0</v>
      </c>
      <c r="O76" s="37">
        <v>115</v>
      </c>
      <c r="P76" s="37">
        <v>0</v>
      </c>
      <c r="Q76" s="37">
        <v>18</v>
      </c>
      <c r="R76" s="37">
        <v>0</v>
      </c>
      <c r="S76" s="22">
        <v>97.8</v>
      </c>
      <c r="T76" s="37">
        <v>0</v>
      </c>
      <c r="U76" s="37">
        <v>97</v>
      </c>
      <c r="V76" s="37">
        <v>0</v>
      </c>
      <c r="W76" s="13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1</v>
      </c>
      <c r="AC76" s="37">
        <v>0</v>
      </c>
      <c r="AD76" s="37">
        <v>0</v>
      </c>
      <c r="AE76" s="37">
        <v>0</v>
      </c>
      <c r="AF76" s="37">
        <v>0</v>
      </c>
      <c r="AG76" s="37">
        <v>1</v>
      </c>
      <c r="AH76" s="37">
        <v>0</v>
      </c>
      <c r="AI76" s="37">
        <v>0</v>
      </c>
      <c r="AJ76" s="37">
        <v>1</v>
      </c>
      <c r="AK76" s="37">
        <v>0</v>
      </c>
      <c r="AL76" s="37">
        <v>0</v>
      </c>
      <c r="AM76" s="37">
        <v>0</v>
      </c>
      <c r="AN76" s="37">
        <v>0</v>
      </c>
      <c r="AO76" s="37" t="s">
        <v>48</v>
      </c>
      <c r="AP76" s="37" t="s">
        <v>48</v>
      </c>
      <c r="AQ76" s="37">
        <v>1</v>
      </c>
      <c r="AR76" s="37" t="s">
        <v>48</v>
      </c>
      <c r="AS76" s="13" t="s">
        <v>48</v>
      </c>
      <c r="AT76" s="13" t="s">
        <v>48</v>
      </c>
      <c r="AU76" s="13" t="s">
        <v>48</v>
      </c>
      <c r="AV76" s="13" t="s">
        <v>48</v>
      </c>
      <c r="AW76" s="37" t="s">
        <v>48</v>
      </c>
      <c r="AX76" s="26">
        <f>5.94/6.37</f>
        <v>0.93249607535321821</v>
      </c>
      <c r="AY76" s="91">
        <v>0</v>
      </c>
      <c r="AZ76" s="2">
        <v>1</v>
      </c>
      <c r="BA76" s="2">
        <v>0</v>
      </c>
      <c r="BB76" s="26">
        <f>3.25/3.75</f>
        <v>0.8666666666666667</v>
      </c>
      <c r="BC76" s="19">
        <v>4</v>
      </c>
      <c r="BD76" s="19">
        <v>0</v>
      </c>
      <c r="BE76" s="19">
        <v>0</v>
      </c>
      <c r="BF76" s="37">
        <v>1</v>
      </c>
      <c r="BG76" s="37" t="s">
        <v>94</v>
      </c>
      <c r="BH76" s="37">
        <v>0</v>
      </c>
      <c r="BI76" s="1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7">
        <v>0</v>
      </c>
      <c r="BP76" s="13" t="s">
        <v>48</v>
      </c>
      <c r="BQ76" s="13" t="s">
        <v>48</v>
      </c>
      <c r="BR76" s="37">
        <v>0</v>
      </c>
      <c r="BS76" s="37">
        <v>0</v>
      </c>
      <c r="BT76" s="1">
        <v>0</v>
      </c>
      <c r="BU76" s="37">
        <v>0</v>
      </c>
      <c r="BV76" s="37" t="s">
        <v>50</v>
      </c>
      <c r="BW76" s="37">
        <v>1</v>
      </c>
      <c r="BX76" s="37">
        <v>0</v>
      </c>
      <c r="BY76" s="37">
        <v>0</v>
      </c>
      <c r="BZ76" s="37">
        <v>0</v>
      </c>
      <c r="CA76" s="37">
        <v>0</v>
      </c>
      <c r="CB76" s="38" t="s">
        <v>61</v>
      </c>
    </row>
    <row r="77" spans="1:80" s="33" customFormat="1" x14ac:dyDescent="0.3">
      <c r="A77" s="1">
        <v>76</v>
      </c>
      <c r="B77" s="2">
        <v>75</v>
      </c>
      <c r="C77" s="3" t="s">
        <v>46</v>
      </c>
      <c r="D77" s="7" t="s">
        <v>53</v>
      </c>
      <c r="E77" s="3">
        <v>2</v>
      </c>
      <c r="F77" s="103">
        <v>172.7</v>
      </c>
      <c r="G77" s="6">
        <v>127.5</v>
      </c>
      <c r="H77" s="5">
        <f>G77/(('[1]Maya Nonsaddle'!G77/100)^2)</f>
        <v>42.739056066347423</v>
      </c>
      <c r="I77" s="1">
        <v>1</v>
      </c>
      <c r="J77" s="1">
        <v>5</v>
      </c>
      <c r="K77" s="1">
        <v>2</v>
      </c>
      <c r="L77" s="1">
        <v>0</v>
      </c>
      <c r="M77" s="1">
        <v>104</v>
      </c>
      <c r="N77" s="1">
        <v>0</v>
      </c>
      <c r="O77" s="1">
        <v>114</v>
      </c>
      <c r="P77" s="1">
        <v>0</v>
      </c>
      <c r="Q77" s="1">
        <v>26</v>
      </c>
      <c r="R77" s="1">
        <v>0</v>
      </c>
      <c r="S77" s="30">
        <v>98</v>
      </c>
      <c r="T77" s="1">
        <v>1</v>
      </c>
      <c r="U77" s="1">
        <v>80</v>
      </c>
      <c r="V77" s="1">
        <v>1</v>
      </c>
      <c r="W77" s="13">
        <v>0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  <c r="AC77" s="1">
        <v>1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1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 t="s">
        <v>48</v>
      </c>
      <c r="AQ77" s="1">
        <v>1</v>
      </c>
      <c r="AR77" s="1" t="s">
        <v>48</v>
      </c>
      <c r="AS77" s="13">
        <v>0</v>
      </c>
      <c r="AT77" s="13">
        <v>0</v>
      </c>
      <c r="AU77" s="13">
        <v>0</v>
      </c>
      <c r="AV77" s="13">
        <v>0</v>
      </c>
      <c r="AW77" s="1">
        <v>44</v>
      </c>
      <c r="AX77" s="9">
        <f>5.29/3.93</f>
        <v>1.3460559796437659</v>
      </c>
      <c r="AY77" s="47">
        <v>0</v>
      </c>
      <c r="AZ77" s="2">
        <v>0</v>
      </c>
      <c r="BA77" s="2">
        <v>1</v>
      </c>
      <c r="BB77" s="9">
        <f>2.95/2.83</f>
        <v>1.0424028268551238</v>
      </c>
      <c r="BC77" s="2">
        <v>5</v>
      </c>
      <c r="BD77" s="2">
        <v>1</v>
      </c>
      <c r="BE77" s="2">
        <v>0</v>
      </c>
      <c r="BF77" s="1">
        <v>1</v>
      </c>
      <c r="BG77" s="1" t="s">
        <v>101</v>
      </c>
      <c r="BH77" s="1">
        <v>1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3" t="s">
        <v>48</v>
      </c>
      <c r="BQ77" s="13" t="s">
        <v>48</v>
      </c>
      <c r="BR77" s="1">
        <v>0</v>
      </c>
      <c r="BS77" s="1">
        <v>0</v>
      </c>
      <c r="BT77" s="1">
        <v>0</v>
      </c>
      <c r="BU77" s="1">
        <v>0</v>
      </c>
      <c r="BV77" s="2" t="s">
        <v>82</v>
      </c>
      <c r="BW77" s="13" t="s">
        <v>48</v>
      </c>
      <c r="BX77" s="1" t="s">
        <v>48</v>
      </c>
      <c r="BY77" s="1" t="s">
        <v>48</v>
      </c>
      <c r="BZ77" s="1" t="s">
        <v>48</v>
      </c>
      <c r="CA77" s="1">
        <v>0</v>
      </c>
      <c r="CB77" s="32" t="s">
        <v>71</v>
      </c>
    </row>
    <row r="78" spans="1:80" s="33" customFormat="1" x14ac:dyDescent="0.3">
      <c r="A78" s="1">
        <v>77</v>
      </c>
      <c r="B78" s="2">
        <v>35</v>
      </c>
      <c r="C78" s="3" t="s">
        <v>52</v>
      </c>
      <c r="D78" s="7" t="s">
        <v>53</v>
      </c>
      <c r="E78" s="3">
        <v>2</v>
      </c>
      <c r="F78" s="103">
        <v>180.3</v>
      </c>
      <c r="G78" s="30">
        <v>94.9</v>
      </c>
      <c r="H78" s="5">
        <f>G78/(('[1]Maya Nonsaddle'!G78/100)^2)</f>
        <v>29.179784604361906</v>
      </c>
      <c r="I78" s="1">
        <v>0</v>
      </c>
      <c r="J78" s="1">
        <v>3</v>
      </c>
      <c r="K78" s="1">
        <v>1</v>
      </c>
      <c r="L78" s="1">
        <v>0</v>
      </c>
      <c r="M78" s="1">
        <v>81</v>
      </c>
      <c r="N78" s="1">
        <v>0</v>
      </c>
      <c r="O78" s="1">
        <v>109</v>
      </c>
      <c r="P78" s="1">
        <v>0</v>
      </c>
      <c r="Q78" s="1">
        <v>23</v>
      </c>
      <c r="R78" s="1">
        <v>0</v>
      </c>
      <c r="S78" s="30">
        <v>98</v>
      </c>
      <c r="T78" s="1">
        <v>0</v>
      </c>
      <c r="U78" s="1">
        <v>100</v>
      </c>
      <c r="V78" s="1">
        <v>0</v>
      </c>
      <c r="W78" s="13">
        <v>0</v>
      </c>
      <c r="X78" s="1">
        <v>1</v>
      </c>
      <c r="Y78" s="1">
        <v>1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 t="s">
        <v>48</v>
      </c>
      <c r="AQ78" s="1" t="s">
        <v>48</v>
      </c>
      <c r="AR78" s="1">
        <v>0</v>
      </c>
      <c r="AS78" s="13">
        <v>0</v>
      </c>
      <c r="AT78" s="13">
        <v>0</v>
      </c>
      <c r="AU78" s="13">
        <v>0</v>
      </c>
      <c r="AV78" s="13">
        <v>0</v>
      </c>
      <c r="AW78" s="1" t="s">
        <v>192</v>
      </c>
      <c r="AX78" s="9">
        <f>3.51/4.68</f>
        <v>0.75</v>
      </c>
      <c r="AY78" s="47">
        <v>0</v>
      </c>
      <c r="AZ78" s="2">
        <v>0</v>
      </c>
      <c r="BA78" s="2">
        <v>0</v>
      </c>
      <c r="BB78" s="9">
        <f>2.98/3.43</f>
        <v>0.86880466472303197</v>
      </c>
      <c r="BC78" s="2">
        <v>1</v>
      </c>
      <c r="BD78" s="2">
        <v>0</v>
      </c>
      <c r="BE78" s="2">
        <v>0</v>
      </c>
      <c r="BF78" s="1">
        <v>0</v>
      </c>
      <c r="BG78" s="1" t="s">
        <v>48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3" t="s">
        <v>48</v>
      </c>
      <c r="BQ78" s="13" t="s">
        <v>48</v>
      </c>
      <c r="BR78" s="1">
        <v>0</v>
      </c>
      <c r="BS78" s="1">
        <v>0</v>
      </c>
      <c r="BT78" s="1">
        <v>0</v>
      </c>
      <c r="BU78" s="1">
        <v>0</v>
      </c>
      <c r="BV78" s="2" t="s">
        <v>50</v>
      </c>
      <c r="BW78" s="13">
        <v>0</v>
      </c>
      <c r="BX78" s="1" t="s">
        <v>48</v>
      </c>
      <c r="BY78" s="1">
        <v>1</v>
      </c>
      <c r="BZ78" s="1" t="s">
        <v>48</v>
      </c>
      <c r="CA78" s="1">
        <v>0</v>
      </c>
      <c r="CB78" s="32" t="s">
        <v>55</v>
      </c>
    </row>
    <row r="79" spans="1:80" s="33" customFormat="1" x14ac:dyDescent="0.3">
      <c r="A79" s="1">
        <v>78</v>
      </c>
      <c r="B79" s="2">
        <v>58</v>
      </c>
      <c r="C79" s="3" t="s">
        <v>52</v>
      </c>
      <c r="D79" s="7" t="s">
        <v>53</v>
      </c>
      <c r="E79" s="3" t="s">
        <v>83</v>
      </c>
      <c r="F79" s="103">
        <v>172.7</v>
      </c>
      <c r="G79" s="30">
        <v>85.6</v>
      </c>
      <c r="H79" s="5">
        <f>G79/(('[1]Maya Nonsaddle'!G79/100)^2)</f>
        <v>28.6938290139556</v>
      </c>
      <c r="I79" s="1">
        <v>0</v>
      </c>
      <c r="J79" s="1">
        <v>1</v>
      </c>
      <c r="K79" s="1">
        <v>1</v>
      </c>
      <c r="L79" s="1">
        <v>0</v>
      </c>
      <c r="M79" s="1">
        <v>75</v>
      </c>
      <c r="N79" s="1">
        <v>0</v>
      </c>
      <c r="O79" s="1">
        <v>132</v>
      </c>
      <c r="P79" s="1">
        <v>0</v>
      </c>
      <c r="Q79" s="1">
        <v>18</v>
      </c>
      <c r="R79" s="1">
        <v>0</v>
      </c>
      <c r="S79" s="30">
        <v>97.7</v>
      </c>
      <c r="T79" s="1">
        <v>0</v>
      </c>
      <c r="U79" s="1">
        <v>100</v>
      </c>
      <c r="V79" s="1">
        <v>0</v>
      </c>
      <c r="W79" s="13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 t="s">
        <v>48</v>
      </c>
      <c r="AQ79" s="1">
        <v>0</v>
      </c>
      <c r="AR79" s="1">
        <v>0</v>
      </c>
      <c r="AS79" s="13">
        <v>0</v>
      </c>
      <c r="AT79" s="13">
        <v>0</v>
      </c>
      <c r="AU79" s="13">
        <v>0</v>
      </c>
      <c r="AV79" s="13">
        <v>0</v>
      </c>
      <c r="AW79" s="1" t="s">
        <v>192</v>
      </c>
      <c r="AX79" s="9">
        <f>4/4.64</f>
        <v>0.86206896551724144</v>
      </c>
      <c r="AY79" s="47">
        <v>1</v>
      </c>
      <c r="AZ79" s="2">
        <v>0</v>
      </c>
      <c r="BA79" s="2">
        <v>0</v>
      </c>
      <c r="BB79" s="9">
        <f>3.28/3.42</f>
        <v>0.95906432748538006</v>
      </c>
      <c r="BC79" s="2">
        <v>1</v>
      </c>
      <c r="BD79" s="2">
        <v>0</v>
      </c>
      <c r="BE79" s="2">
        <v>0</v>
      </c>
      <c r="BF79" s="1">
        <v>0</v>
      </c>
      <c r="BG79" s="1" t="s">
        <v>48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3" t="s">
        <v>48</v>
      </c>
      <c r="BQ79" s="13" t="s">
        <v>48</v>
      </c>
      <c r="BR79" s="1">
        <v>0</v>
      </c>
      <c r="BS79" s="1">
        <v>0</v>
      </c>
      <c r="BT79" s="1">
        <v>0</v>
      </c>
      <c r="BU79" s="1">
        <v>0</v>
      </c>
      <c r="BV79" s="2" t="s">
        <v>50</v>
      </c>
      <c r="BW79" s="13">
        <v>0</v>
      </c>
      <c r="BX79" s="1">
        <v>0</v>
      </c>
      <c r="BY79" s="1">
        <v>0</v>
      </c>
      <c r="BZ79" s="1">
        <v>0</v>
      </c>
      <c r="CA79" s="1">
        <v>0</v>
      </c>
      <c r="CB79" s="32" t="s">
        <v>54</v>
      </c>
    </row>
    <row r="80" spans="1:80" x14ac:dyDescent="0.3">
      <c r="A80" s="1">
        <v>79</v>
      </c>
      <c r="B80" s="2">
        <v>59</v>
      </c>
      <c r="C80" s="3" t="s">
        <v>52</v>
      </c>
      <c r="D80" s="7" t="s">
        <v>47</v>
      </c>
      <c r="E80" s="3" t="s">
        <v>74</v>
      </c>
      <c r="F80" s="103">
        <v>167.6</v>
      </c>
      <c r="G80" s="30">
        <v>68</v>
      </c>
      <c r="H80" s="5">
        <f>G80/(('[1]Maya Nonsaddle'!G80/100)^2)</f>
        <v>24.19655895326483</v>
      </c>
      <c r="I80" s="1">
        <v>0</v>
      </c>
      <c r="J80" s="1">
        <v>1</v>
      </c>
      <c r="K80" s="1">
        <v>4</v>
      </c>
      <c r="L80" s="1">
        <v>0</v>
      </c>
      <c r="M80" s="1">
        <v>84</v>
      </c>
      <c r="N80" s="1">
        <v>0</v>
      </c>
      <c r="O80" s="1">
        <v>116</v>
      </c>
      <c r="P80" s="1">
        <v>0</v>
      </c>
      <c r="Q80" s="1">
        <v>20</v>
      </c>
      <c r="R80" s="1">
        <v>0</v>
      </c>
      <c r="S80" s="30">
        <v>97.8</v>
      </c>
      <c r="T80" s="1">
        <v>0</v>
      </c>
      <c r="U80" s="1">
        <v>97</v>
      </c>
      <c r="V80" s="1">
        <v>0</v>
      </c>
      <c r="W80" s="13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 t="s">
        <v>48</v>
      </c>
      <c r="AQ80" s="1" t="s">
        <v>48</v>
      </c>
      <c r="AR80" s="1" t="s">
        <v>48</v>
      </c>
      <c r="AS80" s="13" t="s">
        <v>48</v>
      </c>
      <c r="AT80" s="13" t="s">
        <v>48</v>
      </c>
      <c r="AU80" s="13" t="s">
        <v>48</v>
      </c>
      <c r="AV80" s="13" t="s">
        <v>48</v>
      </c>
      <c r="AW80" s="1" t="s">
        <v>48</v>
      </c>
      <c r="AX80" s="9">
        <f>4.62/4.88</f>
        <v>0.94672131147540983</v>
      </c>
      <c r="AY80" s="47">
        <v>0</v>
      </c>
      <c r="AZ80" s="2">
        <v>0</v>
      </c>
      <c r="BA80" s="2">
        <v>1</v>
      </c>
      <c r="BB80" s="9">
        <f>3.2/3.71</f>
        <v>0.86253369272237201</v>
      </c>
      <c r="BC80" s="2">
        <v>2</v>
      </c>
      <c r="BD80" s="2">
        <v>0</v>
      </c>
      <c r="BE80" s="2">
        <v>0</v>
      </c>
      <c r="BF80" s="1">
        <v>0</v>
      </c>
      <c r="BG80" s="1" t="s">
        <v>48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3" t="s">
        <v>48</v>
      </c>
      <c r="BQ80" s="13" t="s">
        <v>48</v>
      </c>
      <c r="BR80" s="1">
        <v>0</v>
      </c>
      <c r="BS80" s="1">
        <v>0</v>
      </c>
      <c r="BT80" s="1">
        <v>0</v>
      </c>
      <c r="BU80" s="1">
        <v>0</v>
      </c>
      <c r="BV80" s="2" t="s">
        <v>50</v>
      </c>
      <c r="BW80" s="13">
        <v>1</v>
      </c>
      <c r="BX80" s="1">
        <v>0</v>
      </c>
      <c r="BY80" s="1">
        <v>1</v>
      </c>
      <c r="BZ80" s="1">
        <v>0</v>
      </c>
      <c r="CA80" s="1">
        <v>0</v>
      </c>
      <c r="CB80" s="32" t="s">
        <v>54</v>
      </c>
    </row>
    <row r="81" spans="1:80" s="33" customFormat="1" x14ac:dyDescent="0.3">
      <c r="A81" s="1">
        <v>80</v>
      </c>
      <c r="B81" s="2">
        <v>85</v>
      </c>
      <c r="C81" s="3" t="s">
        <v>46</v>
      </c>
      <c r="D81" s="7" t="s">
        <v>47</v>
      </c>
      <c r="E81" s="3">
        <v>13</v>
      </c>
      <c r="F81" s="103">
        <v>175.3</v>
      </c>
      <c r="G81" s="30">
        <v>81.599999999999994</v>
      </c>
      <c r="H81" s="5">
        <f>G81/(('[1]Maya Nonsaddle'!G81/100)^2)</f>
        <v>26.565900642828382</v>
      </c>
      <c r="I81" s="1">
        <v>1</v>
      </c>
      <c r="J81" s="1">
        <v>5</v>
      </c>
      <c r="K81" s="1">
        <v>2</v>
      </c>
      <c r="L81" s="1">
        <v>0</v>
      </c>
      <c r="M81" s="1">
        <v>66</v>
      </c>
      <c r="N81" s="1">
        <v>0</v>
      </c>
      <c r="O81" s="1">
        <v>220</v>
      </c>
      <c r="P81" s="1">
        <v>0</v>
      </c>
      <c r="Q81" s="1">
        <v>20</v>
      </c>
      <c r="R81" s="1">
        <v>0</v>
      </c>
      <c r="S81" s="30">
        <v>97.9</v>
      </c>
      <c r="T81" s="1">
        <v>0</v>
      </c>
      <c r="U81" s="1">
        <v>97</v>
      </c>
      <c r="V81" s="1">
        <v>0</v>
      </c>
      <c r="W81" s="13">
        <v>0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1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1</v>
      </c>
      <c r="AP81" s="1">
        <v>0</v>
      </c>
      <c r="AQ81" s="1" t="s">
        <v>48</v>
      </c>
      <c r="AR81" s="1">
        <v>1</v>
      </c>
      <c r="AS81" s="13">
        <v>1</v>
      </c>
      <c r="AT81" s="13">
        <v>0</v>
      </c>
      <c r="AU81" s="13">
        <v>0</v>
      </c>
      <c r="AV81" s="13">
        <v>0</v>
      </c>
      <c r="AW81" s="1">
        <v>31</v>
      </c>
      <c r="AX81" s="9">
        <f>3.74/4.9</f>
        <v>0.76326530612244892</v>
      </c>
      <c r="AY81" s="47">
        <v>0</v>
      </c>
      <c r="AZ81" s="2">
        <v>0</v>
      </c>
      <c r="BA81" s="2">
        <v>0</v>
      </c>
      <c r="BB81" s="9">
        <f>3.05/3.61</f>
        <v>0.84487534626038774</v>
      </c>
      <c r="BC81" s="2">
        <v>3</v>
      </c>
      <c r="BD81" s="2">
        <v>0</v>
      </c>
      <c r="BE81" s="2">
        <v>0</v>
      </c>
      <c r="BF81" s="1">
        <v>0</v>
      </c>
      <c r="BG81" s="1" t="s">
        <v>48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3" t="s">
        <v>48</v>
      </c>
      <c r="BQ81" s="13" t="s">
        <v>48</v>
      </c>
      <c r="BR81" s="1">
        <v>0</v>
      </c>
      <c r="BS81" s="1">
        <v>0</v>
      </c>
      <c r="BT81" s="1">
        <v>0</v>
      </c>
      <c r="BU81" s="1">
        <v>1</v>
      </c>
      <c r="BV81" s="2" t="s">
        <v>50</v>
      </c>
      <c r="BW81" s="13">
        <v>1</v>
      </c>
      <c r="BX81" s="1">
        <v>0</v>
      </c>
      <c r="BY81" s="1">
        <v>0</v>
      </c>
      <c r="BZ81" s="1">
        <v>0</v>
      </c>
      <c r="CA81" s="1">
        <v>0</v>
      </c>
      <c r="CB81" s="32" t="s">
        <v>54</v>
      </c>
    </row>
    <row r="82" spans="1:80" s="33" customFormat="1" x14ac:dyDescent="0.3">
      <c r="A82" s="1">
        <v>81</v>
      </c>
      <c r="B82" s="2">
        <v>54</v>
      </c>
      <c r="C82" s="3" t="s">
        <v>52</v>
      </c>
      <c r="D82" s="7" t="s">
        <v>53</v>
      </c>
      <c r="E82" s="3" t="s">
        <v>77</v>
      </c>
      <c r="F82" s="103">
        <v>175.3</v>
      </c>
      <c r="G82" s="30">
        <v>78.900000000000006</v>
      </c>
      <c r="H82" s="5">
        <f>G82/(('[1]Maya Nonsaddle'!G82/100)^2)</f>
        <v>25.686881871558327</v>
      </c>
      <c r="I82" s="1">
        <v>0</v>
      </c>
      <c r="J82" s="1">
        <v>4</v>
      </c>
      <c r="K82" s="1">
        <v>1</v>
      </c>
      <c r="L82" s="1">
        <v>0</v>
      </c>
      <c r="M82" s="1">
        <v>94</v>
      </c>
      <c r="N82" s="1">
        <v>0</v>
      </c>
      <c r="O82" s="1">
        <v>127</v>
      </c>
      <c r="P82" s="1">
        <v>0</v>
      </c>
      <c r="Q82" s="1">
        <v>20</v>
      </c>
      <c r="R82" s="1">
        <v>0</v>
      </c>
      <c r="S82" s="30">
        <v>98</v>
      </c>
      <c r="T82" s="1">
        <v>0</v>
      </c>
      <c r="U82" s="1">
        <v>100</v>
      </c>
      <c r="V82" s="1">
        <v>0</v>
      </c>
      <c r="W82" s="13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">
        <v>1</v>
      </c>
      <c r="AP82" s="1">
        <v>1</v>
      </c>
      <c r="AQ82" s="1" t="s">
        <v>48</v>
      </c>
      <c r="AR82" s="1">
        <v>0</v>
      </c>
      <c r="AS82" s="13" t="s">
        <v>48</v>
      </c>
      <c r="AT82" s="13" t="s">
        <v>48</v>
      </c>
      <c r="AU82" s="13" t="s">
        <v>48</v>
      </c>
      <c r="AV82" s="13" t="s">
        <v>48</v>
      </c>
      <c r="AW82" s="1" t="s">
        <v>48</v>
      </c>
      <c r="AX82" s="9">
        <f>4.46/4.76</f>
        <v>0.93697478991596639</v>
      </c>
      <c r="AY82" s="47">
        <v>0</v>
      </c>
      <c r="AZ82" s="2">
        <v>1</v>
      </c>
      <c r="BA82" s="2">
        <v>0</v>
      </c>
      <c r="BB82" s="9">
        <f>2.79/3.12</f>
        <v>0.89423076923076916</v>
      </c>
      <c r="BC82" s="2">
        <v>1</v>
      </c>
      <c r="BD82" s="2">
        <v>1</v>
      </c>
      <c r="BE82" s="2">
        <v>0</v>
      </c>
      <c r="BF82" s="1">
        <v>0</v>
      </c>
      <c r="BG82" s="1" t="s">
        <v>48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3" t="s">
        <v>48</v>
      </c>
      <c r="BQ82" s="13" t="s">
        <v>48</v>
      </c>
      <c r="BR82" s="1">
        <v>0</v>
      </c>
      <c r="BS82" s="1">
        <v>0</v>
      </c>
      <c r="BT82" s="1">
        <v>0</v>
      </c>
      <c r="BU82" s="1">
        <v>0</v>
      </c>
      <c r="BV82" s="2" t="s">
        <v>50</v>
      </c>
      <c r="BW82" s="13">
        <v>0</v>
      </c>
      <c r="BX82" s="1">
        <v>0</v>
      </c>
      <c r="BY82" s="1">
        <v>1</v>
      </c>
      <c r="BZ82" s="1">
        <v>0</v>
      </c>
      <c r="CA82" s="1">
        <v>0</v>
      </c>
      <c r="CB82" s="32" t="s">
        <v>54</v>
      </c>
    </row>
    <row r="83" spans="1:80" s="33" customFormat="1" x14ac:dyDescent="0.3">
      <c r="A83" s="1">
        <v>82</v>
      </c>
      <c r="B83" s="2">
        <v>68</v>
      </c>
      <c r="C83" s="3" t="s">
        <v>52</v>
      </c>
      <c r="D83" s="7" t="s">
        <v>47</v>
      </c>
      <c r="E83" s="3" t="s">
        <v>83</v>
      </c>
      <c r="F83" s="103">
        <v>160</v>
      </c>
      <c r="G83" s="30">
        <v>64.400000000000006</v>
      </c>
      <c r="H83" s="5">
        <f>G83/(('[1]Maya Nonsaddle'!G83/100)^2)</f>
        <v>25.149962116502717</v>
      </c>
      <c r="I83" s="1">
        <v>0</v>
      </c>
      <c r="J83" s="1">
        <v>2</v>
      </c>
      <c r="K83" s="1">
        <v>1</v>
      </c>
      <c r="L83" s="1">
        <v>0</v>
      </c>
      <c r="M83" s="1">
        <v>63</v>
      </c>
      <c r="N83" s="1">
        <v>0</v>
      </c>
      <c r="O83" s="1">
        <v>143</v>
      </c>
      <c r="P83" s="1">
        <v>0</v>
      </c>
      <c r="Q83" s="1">
        <v>24</v>
      </c>
      <c r="R83" s="1">
        <v>0</v>
      </c>
      <c r="S83" s="30">
        <v>98.1</v>
      </c>
      <c r="T83" s="1">
        <v>0</v>
      </c>
      <c r="U83" s="1">
        <v>100</v>
      </c>
      <c r="V83" s="1">
        <v>0</v>
      </c>
      <c r="W83" s="13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 t="s">
        <v>48</v>
      </c>
      <c r="AP83" s="1" t="s">
        <v>48</v>
      </c>
      <c r="AQ83" s="1" t="s">
        <v>48</v>
      </c>
      <c r="AR83" s="1" t="s">
        <v>48</v>
      </c>
      <c r="AS83" s="13">
        <v>0</v>
      </c>
      <c r="AT83" s="13">
        <v>0</v>
      </c>
      <c r="AU83" s="13">
        <v>0</v>
      </c>
      <c r="AV83" s="13">
        <v>0</v>
      </c>
      <c r="AW83" s="1" t="s">
        <v>192</v>
      </c>
      <c r="AX83" s="9">
        <f>3.18/3.92</f>
        <v>0.81122448979591844</v>
      </c>
      <c r="AY83" s="47">
        <v>0</v>
      </c>
      <c r="AZ83" s="2">
        <v>0</v>
      </c>
      <c r="BA83" s="2">
        <v>0</v>
      </c>
      <c r="BB83" s="9">
        <f>2.49/3.14</f>
        <v>0.79299363057324845</v>
      </c>
      <c r="BC83" s="2">
        <v>2</v>
      </c>
      <c r="BD83" s="2">
        <v>1</v>
      </c>
      <c r="BE83" s="2">
        <v>0</v>
      </c>
      <c r="BF83" s="1">
        <v>0</v>
      </c>
      <c r="BG83" s="1" t="s">
        <v>48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3" t="s">
        <v>48</v>
      </c>
      <c r="BQ83" s="13" t="s">
        <v>48</v>
      </c>
      <c r="BR83" s="1">
        <v>0</v>
      </c>
      <c r="BS83" s="1">
        <v>0</v>
      </c>
      <c r="BT83" s="1">
        <v>0</v>
      </c>
      <c r="BU83" s="1">
        <v>0</v>
      </c>
      <c r="BV83" s="2" t="s">
        <v>50</v>
      </c>
      <c r="BW83" s="13">
        <v>0</v>
      </c>
      <c r="BX83" s="1">
        <v>0</v>
      </c>
      <c r="BY83" s="1">
        <v>1</v>
      </c>
      <c r="BZ83" s="1">
        <v>0</v>
      </c>
      <c r="CA83" s="1">
        <v>0</v>
      </c>
      <c r="CB83" s="32" t="s">
        <v>55</v>
      </c>
    </row>
    <row r="84" spans="1:80" s="33" customFormat="1" x14ac:dyDescent="0.3">
      <c r="A84" s="1">
        <v>83</v>
      </c>
      <c r="B84" s="2">
        <v>84</v>
      </c>
      <c r="C84" s="3" t="s">
        <v>46</v>
      </c>
      <c r="D84" s="7" t="s">
        <v>47</v>
      </c>
      <c r="E84" s="3" t="s">
        <v>77</v>
      </c>
      <c r="F84" s="103">
        <v>180.3</v>
      </c>
      <c r="G84" s="30">
        <v>90.7</v>
      </c>
      <c r="H84" s="5">
        <f>G84/(('[1]Maya Nonsaddle'!G84/100)^2)</f>
        <v>27.888371587098259</v>
      </c>
      <c r="I84" s="1">
        <v>1</v>
      </c>
      <c r="J84" s="1">
        <v>5</v>
      </c>
      <c r="K84" s="1">
        <v>4</v>
      </c>
      <c r="L84" s="1">
        <v>0</v>
      </c>
      <c r="M84" s="1">
        <v>63</v>
      </c>
      <c r="N84" s="1">
        <v>0</v>
      </c>
      <c r="O84" s="1">
        <v>169</v>
      </c>
      <c r="P84" s="1">
        <v>0</v>
      </c>
      <c r="Q84" s="1">
        <v>20</v>
      </c>
      <c r="R84" s="1">
        <v>0</v>
      </c>
      <c r="S84" s="30">
        <v>98.4</v>
      </c>
      <c r="T84" s="1">
        <v>0</v>
      </c>
      <c r="U84" s="1">
        <v>97</v>
      </c>
      <c r="V84" s="1">
        <v>0</v>
      </c>
      <c r="W84" s="13">
        <v>0</v>
      </c>
      <c r="X84" s="1">
        <v>0</v>
      </c>
      <c r="Y84" s="1">
        <v>0</v>
      </c>
      <c r="Z84" s="1">
        <v>1</v>
      </c>
      <c r="AA84" s="1">
        <v>1</v>
      </c>
      <c r="AB84" s="1">
        <v>1</v>
      </c>
      <c r="AC84" s="1">
        <v>1</v>
      </c>
      <c r="AD84" s="1">
        <v>0</v>
      </c>
      <c r="AE84" s="1">
        <v>1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1</v>
      </c>
      <c r="AQ84" s="1" t="s">
        <v>48</v>
      </c>
      <c r="AR84" s="1" t="s">
        <v>48</v>
      </c>
      <c r="AS84" s="13" t="s">
        <v>48</v>
      </c>
      <c r="AT84" s="13" t="s">
        <v>48</v>
      </c>
      <c r="AU84" s="13" t="s">
        <v>48</v>
      </c>
      <c r="AV84" s="13" t="s">
        <v>48</v>
      </c>
      <c r="AW84" s="1" t="s">
        <v>48</v>
      </c>
      <c r="AX84" s="9">
        <f>3.37/4.2</f>
        <v>0.80238095238095242</v>
      </c>
      <c r="AY84" s="47">
        <v>0</v>
      </c>
      <c r="AZ84" s="2">
        <v>0</v>
      </c>
      <c r="BA84" s="2">
        <v>0</v>
      </c>
      <c r="BB84" s="9">
        <f>2.84/3.64</f>
        <v>0.78021978021978011</v>
      </c>
      <c r="BC84" s="2">
        <v>1</v>
      </c>
      <c r="BD84" s="2">
        <v>0</v>
      </c>
      <c r="BE84" s="2">
        <v>1</v>
      </c>
      <c r="BF84" s="1">
        <v>0</v>
      </c>
      <c r="BG84" s="1" t="s">
        <v>48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3" t="s">
        <v>48</v>
      </c>
      <c r="BQ84" s="13" t="s">
        <v>48</v>
      </c>
      <c r="BR84" s="1">
        <v>0</v>
      </c>
      <c r="BS84" s="1">
        <v>0</v>
      </c>
      <c r="BT84" s="1">
        <v>0</v>
      </c>
      <c r="BU84" s="1">
        <v>0</v>
      </c>
      <c r="BV84" s="2" t="s">
        <v>50</v>
      </c>
      <c r="BW84" s="13">
        <v>0</v>
      </c>
      <c r="BX84" s="1">
        <v>0</v>
      </c>
      <c r="BY84" s="1">
        <v>1</v>
      </c>
      <c r="BZ84" s="1">
        <v>0</v>
      </c>
      <c r="CA84" s="1">
        <v>0</v>
      </c>
      <c r="CB84" s="32" t="s">
        <v>60</v>
      </c>
    </row>
    <row r="85" spans="1:80" s="33" customFormat="1" x14ac:dyDescent="0.3">
      <c r="A85" s="1">
        <v>84</v>
      </c>
      <c r="B85" s="2">
        <v>68</v>
      </c>
      <c r="C85" s="3" t="s">
        <v>52</v>
      </c>
      <c r="D85" s="7" t="s">
        <v>47</v>
      </c>
      <c r="E85" s="3" t="s">
        <v>77</v>
      </c>
      <c r="F85" s="103">
        <v>162.6</v>
      </c>
      <c r="G85" s="30">
        <v>111.6</v>
      </c>
      <c r="H85" s="5">
        <f>G85/(('[1]Maya Nonsaddle'!G85/100)^2)</f>
        <v>42.231529775559551</v>
      </c>
      <c r="I85" s="1">
        <v>1</v>
      </c>
      <c r="J85" s="1">
        <v>4</v>
      </c>
      <c r="K85" s="1">
        <v>1</v>
      </c>
      <c r="L85" s="1">
        <v>0</v>
      </c>
      <c r="M85" s="1">
        <v>96</v>
      </c>
      <c r="N85" s="1">
        <v>0</v>
      </c>
      <c r="O85" s="1">
        <v>151</v>
      </c>
      <c r="P85" s="1">
        <v>0</v>
      </c>
      <c r="Q85" s="1">
        <v>16</v>
      </c>
      <c r="R85" s="1">
        <v>0</v>
      </c>
      <c r="S85" s="30">
        <v>98.1</v>
      </c>
      <c r="T85" s="1" t="s">
        <v>48</v>
      </c>
      <c r="U85" s="1" t="s">
        <v>48</v>
      </c>
      <c r="V85" s="32" t="s">
        <v>58</v>
      </c>
      <c r="W85" s="13">
        <v>0</v>
      </c>
      <c r="X85" s="1">
        <v>0</v>
      </c>
      <c r="Y85" s="1">
        <v>0</v>
      </c>
      <c r="Z85" s="1">
        <v>0</v>
      </c>
      <c r="AA85" s="1">
        <v>1</v>
      </c>
      <c r="AB85" s="1">
        <v>0</v>
      </c>
      <c r="AC85" s="1">
        <v>1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 t="s">
        <v>48</v>
      </c>
      <c r="AQ85" s="1" t="s">
        <v>48</v>
      </c>
      <c r="AR85" s="1">
        <v>0</v>
      </c>
      <c r="AS85" s="13" t="s">
        <v>48</v>
      </c>
      <c r="AT85" s="13" t="s">
        <v>48</v>
      </c>
      <c r="AU85" s="13" t="s">
        <v>48</v>
      </c>
      <c r="AV85" s="13" t="s">
        <v>48</v>
      </c>
      <c r="AW85" s="1" t="s">
        <v>48</v>
      </c>
      <c r="AX85" s="9">
        <f>4.09/4.78</f>
        <v>0.85564853556485343</v>
      </c>
      <c r="AY85" s="47">
        <v>0</v>
      </c>
      <c r="AZ85" s="2">
        <v>0</v>
      </c>
      <c r="BA85" s="2">
        <v>0</v>
      </c>
      <c r="BB85" s="9">
        <f>2.79/3.29</f>
        <v>0.84802431610942253</v>
      </c>
      <c r="BC85" s="2">
        <v>1</v>
      </c>
      <c r="BD85" s="2">
        <v>1</v>
      </c>
      <c r="BE85" s="2">
        <v>0</v>
      </c>
      <c r="BF85" s="1">
        <v>0</v>
      </c>
      <c r="BG85" s="1" t="s">
        <v>48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3" t="s">
        <v>48</v>
      </c>
      <c r="BQ85" s="13" t="s">
        <v>48</v>
      </c>
      <c r="BR85" s="1">
        <v>0</v>
      </c>
      <c r="BS85" s="1">
        <v>0</v>
      </c>
      <c r="BT85" s="1">
        <v>0</v>
      </c>
      <c r="BU85" s="1">
        <v>0</v>
      </c>
      <c r="BV85" s="2" t="s">
        <v>50</v>
      </c>
      <c r="BW85" s="13">
        <v>0</v>
      </c>
      <c r="BX85" s="1">
        <v>1</v>
      </c>
      <c r="BY85" s="1">
        <v>0</v>
      </c>
      <c r="BZ85" s="1">
        <v>0</v>
      </c>
      <c r="CA85" s="1">
        <v>0</v>
      </c>
      <c r="CB85" s="32" t="s">
        <v>54</v>
      </c>
    </row>
    <row r="86" spans="1:80" s="33" customFormat="1" x14ac:dyDescent="0.3">
      <c r="A86" s="1">
        <v>85</v>
      </c>
      <c r="B86" s="2">
        <v>71</v>
      </c>
      <c r="C86" s="3" t="s">
        <v>46</v>
      </c>
      <c r="D86" s="7" t="s">
        <v>47</v>
      </c>
      <c r="E86" s="3" t="s">
        <v>102</v>
      </c>
      <c r="F86" s="103">
        <v>177.8</v>
      </c>
      <c r="G86" s="30">
        <v>86.2</v>
      </c>
      <c r="H86" s="5">
        <f>G86/(('[1]Maya Nonsaddle'!G86/100)^2)</f>
        <v>27.267401473578456</v>
      </c>
      <c r="I86" s="1">
        <v>1</v>
      </c>
      <c r="J86" s="1">
        <v>5</v>
      </c>
      <c r="K86" s="1">
        <v>2</v>
      </c>
      <c r="L86" s="1">
        <v>1</v>
      </c>
      <c r="M86" s="1">
        <v>131</v>
      </c>
      <c r="N86" s="1">
        <v>0</v>
      </c>
      <c r="O86" s="1">
        <v>130</v>
      </c>
      <c r="P86" s="1">
        <v>0</v>
      </c>
      <c r="Q86" s="1">
        <v>24</v>
      </c>
      <c r="R86" s="1">
        <v>0</v>
      </c>
      <c r="S86" s="30">
        <v>97.5</v>
      </c>
      <c r="T86" s="1">
        <v>0</v>
      </c>
      <c r="U86" s="1">
        <v>95</v>
      </c>
      <c r="V86" s="1">
        <v>0</v>
      </c>
      <c r="W86" s="13">
        <v>0</v>
      </c>
      <c r="X86" s="1">
        <v>0</v>
      </c>
      <c r="Y86" s="1">
        <v>0</v>
      </c>
      <c r="Z86" s="1">
        <v>0</v>
      </c>
      <c r="AA86" s="1">
        <v>1</v>
      </c>
      <c r="AB86" s="1">
        <v>0</v>
      </c>
      <c r="AC86" s="1">
        <v>1</v>
      </c>
      <c r="AD86" s="1">
        <v>0</v>
      </c>
      <c r="AE86" s="1">
        <v>1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0</v>
      </c>
      <c r="AQ86" s="1" t="s">
        <v>48</v>
      </c>
      <c r="AR86" s="1">
        <v>1</v>
      </c>
      <c r="AS86" s="13" t="s">
        <v>48</v>
      </c>
      <c r="AT86" s="13" t="s">
        <v>48</v>
      </c>
      <c r="AU86" s="13" t="s">
        <v>48</v>
      </c>
      <c r="AV86" s="13" t="s">
        <v>48</v>
      </c>
      <c r="AW86" s="1" t="s">
        <v>48</v>
      </c>
      <c r="AX86" s="9">
        <f>4.43/4.79</f>
        <v>0.9248434237995824</v>
      </c>
      <c r="AY86" s="47">
        <v>0</v>
      </c>
      <c r="AZ86" s="2">
        <v>1</v>
      </c>
      <c r="BA86" s="2">
        <v>0</v>
      </c>
      <c r="BB86" s="9">
        <f>3.15/3.21</f>
        <v>0.98130841121495327</v>
      </c>
      <c r="BC86" s="2">
        <v>3</v>
      </c>
      <c r="BD86" s="2">
        <v>0</v>
      </c>
      <c r="BE86" s="2">
        <v>0</v>
      </c>
      <c r="BF86" s="1">
        <v>1</v>
      </c>
      <c r="BG86" s="1" t="s">
        <v>94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3" t="s">
        <v>48</v>
      </c>
      <c r="BQ86" s="13" t="s">
        <v>48</v>
      </c>
      <c r="BR86" s="1">
        <v>0</v>
      </c>
      <c r="BS86" s="1">
        <v>0</v>
      </c>
      <c r="BT86" s="1">
        <v>0</v>
      </c>
      <c r="BU86" s="1">
        <v>0</v>
      </c>
      <c r="BV86" s="2" t="s">
        <v>50</v>
      </c>
      <c r="BW86" s="13">
        <v>0</v>
      </c>
      <c r="BX86" s="1">
        <v>0</v>
      </c>
      <c r="BY86" s="1">
        <v>1</v>
      </c>
      <c r="BZ86" s="1">
        <v>0</v>
      </c>
      <c r="CA86" s="1">
        <v>0</v>
      </c>
      <c r="CB86" s="32" t="s">
        <v>54</v>
      </c>
    </row>
    <row r="87" spans="1:80" s="33" customFormat="1" x14ac:dyDescent="0.3">
      <c r="A87" s="1">
        <v>86</v>
      </c>
      <c r="B87" s="2">
        <v>62</v>
      </c>
      <c r="C87" s="3" t="s">
        <v>52</v>
      </c>
      <c r="D87" s="7" t="s">
        <v>47</v>
      </c>
      <c r="E87" s="3" t="s">
        <v>100</v>
      </c>
      <c r="F87" s="103">
        <v>165.1</v>
      </c>
      <c r="G87" s="30">
        <v>61.2</v>
      </c>
      <c r="H87" s="5">
        <f>G87/(('[1]Maya Nonsaddle'!G87/100)^2)</f>
        <v>22.452115910148979</v>
      </c>
      <c r="I87" s="1">
        <v>0</v>
      </c>
      <c r="J87" s="1">
        <v>1</v>
      </c>
      <c r="K87" s="1">
        <v>4</v>
      </c>
      <c r="L87" s="1">
        <v>0</v>
      </c>
      <c r="M87" s="1">
        <v>104</v>
      </c>
      <c r="N87" s="1">
        <v>0</v>
      </c>
      <c r="O87" s="1">
        <v>141</v>
      </c>
      <c r="P87" s="1">
        <v>0</v>
      </c>
      <c r="Q87" s="1">
        <v>18</v>
      </c>
      <c r="R87" s="1" t="s">
        <v>48</v>
      </c>
      <c r="S87" s="30" t="s">
        <v>48</v>
      </c>
      <c r="T87" s="1">
        <v>0</v>
      </c>
      <c r="U87" s="1">
        <v>99</v>
      </c>
      <c r="V87" s="1">
        <v>0</v>
      </c>
      <c r="W87" s="13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1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1</v>
      </c>
      <c r="AQ87" s="1" t="s">
        <v>48</v>
      </c>
      <c r="AR87" s="1" t="s">
        <v>48</v>
      </c>
      <c r="AS87" s="13" t="s">
        <v>48</v>
      </c>
      <c r="AT87" s="13" t="s">
        <v>48</v>
      </c>
      <c r="AU87" s="13" t="s">
        <v>48</v>
      </c>
      <c r="AV87" s="13" t="s">
        <v>48</v>
      </c>
      <c r="AW87" s="1" t="s">
        <v>48</v>
      </c>
      <c r="AX87" s="9">
        <f>5.36/4.17</f>
        <v>1.2853717026378897</v>
      </c>
      <c r="AY87" s="47">
        <v>0</v>
      </c>
      <c r="AZ87" s="2">
        <v>0</v>
      </c>
      <c r="BA87" s="2">
        <v>1</v>
      </c>
      <c r="BB87" s="9">
        <f>3.24/2.84</f>
        <v>1.1408450704225352</v>
      </c>
      <c r="BC87" s="2">
        <v>3</v>
      </c>
      <c r="BD87" s="2">
        <v>1</v>
      </c>
      <c r="BE87" s="2">
        <v>1</v>
      </c>
      <c r="BF87" s="1">
        <v>0</v>
      </c>
      <c r="BG87" s="1" t="s">
        <v>48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3" t="s">
        <v>48</v>
      </c>
      <c r="BQ87" s="13" t="s">
        <v>48</v>
      </c>
      <c r="BR87" s="1">
        <v>0</v>
      </c>
      <c r="BS87" s="1">
        <v>0</v>
      </c>
      <c r="BT87" s="1">
        <v>0</v>
      </c>
      <c r="BU87" s="1">
        <v>0</v>
      </c>
      <c r="BV87" s="2" t="s">
        <v>50</v>
      </c>
      <c r="BW87" s="13">
        <v>0</v>
      </c>
      <c r="BX87" s="1">
        <v>0</v>
      </c>
      <c r="BY87" s="1">
        <v>0</v>
      </c>
      <c r="BZ87" s="1">
        <v>0</v>
      </c>
      <c r="CA87" s="1">
        <v>0</v>
      </c>
      <c r="CB87" s="32" t="s">
        <v>54</v>
      </c>
    </row>
    <row r="88" spans="1:80" s="33" customFormat="1" x14ac:dyDescent="0.3">
      <c r="A88" s="1">
        <v>87</v>
      </c>
      <c r="B88" s="2">
        <v>43</v>
      </c>
      <c r="C88" s="3" t="s">
        <v>52</v>
      </c>
      <c r="D88" s="7" t="s">
        <v>53</v>
      </c>
      <c r="E88" s="3" t="s">
        <v>74</v>
      </c>
      <c r="F88" s="103">
        <v>162.6</v>
      </c>
      <c r="G88" s="30">
        <v>76</v>
      </c>
      <c r="H88" s="5">
        <f>G88/(('[1]Maya Nonsaddle'!G88/100)^2)</f>
        <v>28.75982314464629</v>
      </c>
      <c r="I88" s="1">
        <v>0</v>
      </c>
      <c r="J88" s="1">
        <v>1</v>
      </c>
      <c r="K88" s="1">
        <v>1</v>
      </c>
      <c r="L88" s="1">
        <v>0</v>
      </c>
      <c r="M88" s="1">
        <v>82</v>
      </c>
      <c r="N88" s="1">
        <v>0</v>
      </c>
      <c r="O88" s="1">
        <v>112</v>
      </c>
      <c r="P88" s="1">
        <v>0</v>
      </c>
      <c r="Q88" s="1">
        <v>14</v>
      </c>
      <c r="R88" s="1">
        <v>0</v>
      </c>
      <c r="S88" s="30">
        <v>98</v>
      </c>
      <c r="T88" s="1">
        <v>0</v>
      </c>
      <c r="U88" s="1">
        <v>96</v>
      </c>
      <c r="V88" s="1">
        <v>0</v>
      </c>
      <c r="W88" s="13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1</v>
      </c>
      <c r="AG88" s="1">
        <v>0</v>
      </c>
      <c r="AH88" s="1">
        <v>0</v>
      </c>
      <c r="AI88" s="1">
        <v>1</v>
      </c>
      <c r="AJ88" s="1">
        <v>1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 t="s">
        <v>48</v>
      </c>
      <c r="AQ88" s="1" t="s">
        <v>48</v>
      </c>
      <c r="AR88" s="1">
        <v>0</v>
      </c>
      <c r="AS88" s="13" t="s">
        <v>48</v>
      </c>
      <c r="AT88" s="13" t="s">
        <v>48</v>
      </c>
      <c r="AU88" s="13" t="s">
        <v>48</v>
      </c>
      <c r="AV88" s="13" t="s">
        <v>48</v>
      </c>
      <c r="AW88" s="1" t="s">
        <v>48</v>
      </c>
      <c r="AX88" s="9">
        <f>4.24/4.44</f>
        <v>0.95495495495495497</v>
      </c>
      <c r="AY88" s="47">
        <v>0</v>
      </c>
      <c r="AZ88" s="2">
        <v>0</v>
      </c>
      <c r="BA88" s="2">
        <v>1</v>
      </c>
      <c r="BB88" s="9">
        <f>2.34/2.38</f>
        <v>0.98319327731092432</v>
      </c>
      <c r="BC88" s="2">
        <v>1</v>
      </c>
      <c r="BD88" s="2">
        <v>0</v>
      </c>
      <c r="BE88" s="2">
        <v>0</v>
      </c>
      <c r="BF88" s="1">
        <v>0</v>
      </c>
      <c r="BG88" s="1" t="s">
        <v>48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3" t="s">
        <v>48</v>
      </c>
      <c r="BQ88" s="13" t="s">
        <v>48</v>
      </c>
      <c r="BR88" s="1">
        <v>0</v>
      </c>
      <c r="BS88" s="1">
        <v>0</v>
      </c>
      <c r="BT88" s="1">
        <v>0</v>
      </c>
      <c r="BU88" s="1">
        <v>0</v>
      </c>
      <c r="BV88" s="2" t="s">
        <v>50</v>
      </c>
      <c r="BW88" s="13">
        <v>0</v>
      </c>
      <c r="BX88" s="1">
        <v>0</v>
      </c>
      <c r="BY88" s="1">
        <v>0</v>
      </c>
      <c r="BZ88" s="1">
        <v>0</v>
      </c>
      <c r="CA88" s="1">
        <v>0</v>
      </c>
      <c r="CB88" s="32" t="s">
        <v>56</v>
      </c>
    </row>
    <row r="89" spans="1:80" s="33" customFormat="1" x14ac:dyDescent="0.3">
      <c r="A89" s="1">
        <v>88</v>
      </c>
      <c r="B89" s="2">
        <v>25</v>
      </c>
      <c r="C89" s="3" t="s">
        <v>52</v>
      </c>
      <c r="D89" s="7" t="s">
        <v>47</v>
      </c>
      <c r="E89" s="3" t="s">
        <v>77</v>
      </c>
      <c r="F89" s="103">
        <v>170.2</v>
      </c>
      <c r="G89" s="30">
        <v>69.5</v>
      </c>
      <c r="H89" s="5">
        <f>G89/(('[1]Maya Nonsaddle'!G89/100)^2)</f>
        <v>23.997597560799932</v>
      </c>
      <c r="I89" s="1">
        <v>1</v>
      </c>
      <c r="J89" s="1">
        <v>1</v>
      </c>
      <c r="K89" s="1">
        <v>4</v>
      </c>
      <c r="L89" s="1">
        <v>0</v>
      </c>
      <c r="M89" s="1">
        <v>67</v>
      </c>
      <c r="N89" s="1">
        <v>0</v>
      </c>
      <c r="O89" s="1">
        <v>108</v>
      </c>
      <c r="P89" s="1">
        <v>0</v>
      </c>
      <c r="Q89" s="1">
        <v>19</v>
      </c>
      <c r="R89" s="1">
        <v>0</v>
      </c>
      <c r="S89" s="30">
        <v>98.1</v>
      </c>
      <c r="T89" s="1">
        <v>0</v>
      </c>
      <c r="U89" s="1">
        <v>100</v>
      </c>
      <c r="V89" s="1">
        <v>0</v>
      </c>
      <c r="W89" s="13">
        <v>0</v>
      </c>
      <c r="X89" s="1">
        <v>0</v>
      </c>
      <c r="Y89" s="1">
        <v>1</v>
      </c>
      <c r="Z89" s="1">
        <v>0</v>
      </c>
      <c r="AA89" s="1">
        <v>0</v>
      </c>
      <c r="AB89" s="1">
        <v>0</v>
      </c>
      <c r="AC89" s="1">
        <v>1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">
        <v>1</v>
      </c>
      <c r="AP89" s="1">
        <v>1</v>
      </c>
      <c r="AQ89" s="1" t="s">
        <v>48</v>
      </c>
      <c r="AR89" s="1" t="s">
        <v>48</v>
      </c>
      <c r="AS89" s="13" t="s">
        <v>48</v>
      </c>
      <c r="AT89" s="13" t="s">
        <v>48</v>
      </c>
      <c r="AU89" s="13" t="s">
        <v>48</v>
      </c>
      <c r="AV89" s="13" t="s">
        <v>48</v>
      </c>
      <c r="AW89" s="1" t="s">
        <v>48</v>
      </c>
      <c r="AX89" s="9">
        <f>3.47/4.12</f>
        <v>0.84223300970873793</v>
      </c>
      <c r="AY89" s="47">
        <v>0</v>
      </c>
      <c r="AZ89" s="2">
        <v>0</v>
      </c>
      <c r="BA89" s="2">
        <v>0</v>
      </c>
      <c r="BB89" s="9">
        <f>2.12/2.19</f>
        <v>0.96803652968036535</v>
      </c>
      <c r="BC89" s="2">
        <v>2</v>
      </c>
      <c r="BD89" s="2">
        <v>0</v>
      </c>
      <c r="BE89" s="2">
        <v>0</v>
      </c>
      <c r="BF89" s="1">
        <v>0</v>
      </c>
      <c r="BG89" s="1" t="s">
        <v>48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3" t="s">
        <v>48</v>
      </c>
      <c r="BQ89" s="13" t="s">
        <v>48</v>
      </c>
      <c r="BR89" s="1">
        <v>0</v>
      </c>
      <c r="BS89" s="1">
        <v>0</v>
      </c>
      <c r="BT89" s="1">
        <v>0</v>
      </c>
      <c r="BU89" s="1">
        <v>0</v>
      </c>
      <c r="BV89" s="2" t="s">
        <v>50</v>
      </c>
      <c r="BW89" s="13">
        <v>0</v>
      </c>
      <c r="BX89" s="1">
        <v>0</v>
      </c>
      <c r="BY89" s="1">
        <v>0</v>
      </c>
      <c r="BZ89" s="1">
        <v>0</v>
      </c>
      <c r="CA89" s="1">
        <v>0</v>
      </c>
      <c r="CB89" s="32" t="s">
        <v>54</v>
      </c>
    </row>
    <row r="90" spans="1:80" x14ac:dyDescent="0.3">
      <c r="A90" s="1">
        <v>89</v>
      </c>
      <c r="B90" s="10">
        <v>42</v>
      </c>
      <c r="C90" s="40" t="s">
        <v>52</v>
      </c>
      <c r="D90" s="7" t="s">
        <v>53</v>
      </c>
      <c r="E90" s="7">
        <v>0</v>
      </c>
      <c r="F90" s="103">
        <v>160</v>
      </c>
      <c r="G90" s="30">
        <v>67</v>
      </c>
      <c r="H90" s="5">
        <f>G90/(('[1]Maya Nonsaddle'!G90/100)^2)</f>
        <v>26.165333257852204</v>
      </c>
      <c r="I90" s="1">
        <v>0</v>
      </c>
      <c r="J90" s="1">
        <v>1</v>
      </c>
      <c r="K90" s="1">
        <v>1</v>
      </c>
      <c r="L90" s="1">
        <v>0</v>
      </c>
      <c r="M90" s="1">
        <v>103</v>
      </c>
      <c r="N90" s="1">
        <v>0</v>
      </c>
      <c r="O90" s="1">
        <v>126</v>
      </c>
      <c r="P90" s="1">
        <v>0</v>
      </c>
      <c r="Q90" s="1">
        <v>17</v>
      </c>
      <c r="R90" s="1">
        <v>0</v>
      </c>
      <c r="S90" s="30">
        <v>98.8</v>
      </c>
      <c r="T90" s="1">
        <v>0</v>
      </c>
      <c r="U90" s="1">
        <v>98</v>
      </c>
      <c r="V90" s="1">
        <v>0</v>
      </c>
      <c r="W90" s="13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0</v>
      </c>
      <c r="AH90" s="1">
        <v>0</v>
      </c>
      <c r="AI90" s="1">
        <v>0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 t="s">
        <v>48</v>
      </c>
      <c r="AQ90" s="1">
        <v>0</v>
      </c>
      <c r="AR90" s="1">
        <v>0</v>
      </c>
      <c r="AS90" s="13" t="s">
        <v>48</v>
      </c>
      <c r="AT90" s="13" t="s">
        <v>48</v>
      </c>
      <c r="AU90" s="13" t="s">
        <v>48</v>
      </c>
      <c r="AV90" s="13" t="s">
        <v>48</v>
      </c>
      <c r="AW90" s="1" t="s">
        <v>48</v>
      </c>
      <c r="AX90" s="41">
        <f>3.89/4.37</f>
        <v>0.89016018306636158</v>
      </c>
      <c r="AY90" s="42">
        <v>1</v>
      </c>
      <c r="AZ90" s="2">
        <v>0</v>
      </c>
      <c r="BA90" s="2">
        <v>0</v>
      </c>
      <c r="BB90" s="41">
        <f>2.58/2.7</f>
        <v>0.95555555555555549</v>
      </c>
      <c r="BC90" s="42">
        <v>1</v>
      </c>
      <c r="BD90" s="42">
        <v>0</v>
      </c>
      <c r="BE90" s="42">
        <v>0</v>
      </c>
      <c r="BF90" s="1">
        <v>0</v>
      </c>
      <c r="BG90" s="1" t="s">
        <v>48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3" t="s">
        <v>48</v>
      </c>
      <c r="BQ90" s="13" t="s">
        <v>48</v>
      </c>
      <c r="BR90" s="1">
        <v>0</v>
      </c>
      <c r="BS90" s="1">
        <v>0</v>
      </c>
      <c r="BT90" s="1">
        <v>0</v>
      </c>
      <c r="BU90" s="1">
        <v>0</v>
      </c>
      <c r="BV90" s="10" t="s">
        <v>50</v>
      </c>
      <c r="BW90" s="13">
        <v>0</v>
      </c>
      <c r="BX90" s="1">
        <v>0</v>
      </c>
      <c r="BY90" s="1">
        <v>1</v>
      </c>
      <c r="BZ90" s="1">
        <v>0</v>
      </c>
      <c r="CA90" s="1">
        <v>0</v>
      </c>
      <c r="CB90" s="32" t="s">
        <v>55</v>
      </c>
    </row>
    <row r="91" spans="1:80" s="35" customFormat="1" x14ac:dyDescent="0.3">
      <c r="A91" s="1">
        <v>90</v>
      </c>
      <c r="B91" s="2">
        <v>41</v>
      </c>
      <c r="C91" s="2" t="s">
        <v>52</v>
      </c>
      <c r="D91" s="10" t="s">
        <v>53</v>
      </c>
      <c r="E91" s="2" t="s">
        <v>87</v>
      </c>
      <c r="F91" s="103">
        <v>165.1</v>
      </c>
      <c r="G91" s="5">
        <v>145</v>
      </c>
      <c r="H91" s="5">
        <f>G91/(('[1]Maya Nonsaddle'!G91/100)^2)</f>
        <v>53.195372662934673</v>
      </c>
      <c r="I91" s="13">
        <v>1</v>
      </c>
      <c r="J91" s="13">
        <v>1</v>
      </c>
      <c r="K91" s="13">
        <v>2</v>
      </c>
      <c r="L91" s="13">
        <v>1</v>
      </c>
      <c r="M91" s="13">
        <v>113</v>
      </c>
      <c r="N91" s="13">
        <v>0</v>
      </c>
      <c r="O91" s="13">
        <v>155</v>
      </c>
      <c r="P91" s="13">
        <v>0</v>
      </c>
      <c r="Q91" s="13">
        <v>20</v>
      </c>
      <c r="R91" s="13">
        <v>0</v>
      </c>
      <c r="S91" s="5">
        <v>98</v>
      </c>
      <c r="T91" s="13">
        <v>0</v>
      </c>
      <c r="U91" s="13">
        <v>94</v>
      </c>
      <c r="V91" s="13">
        <v>0</v>
      </c>
      <c r="W91" s="13">
        <v>0</v>
      </c>
      <c r="X91" s="13">
        <v>0</v>
      </c>
      <c r="Y91" s="13">
        <v>1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 t="s">
        <v>48</v>
      </c>
      <c r="AQ91" s="13" t="s">
        <v>48</v>
      </c>
      <c r="AR91" s="13">
        <v>1</v>
      </c>
      <c r="AS91" s="13" t="s">
        <v>48</v>
      </c>
      <c r="AT91" s="13" t="s">
        <v>48</v>
      </c>
      <c r="AU91" s="13" t="s">
        <v>48</v>
      </c>
      <c r="AV91" s="13" t="s">
        <v>48</v>
      </c>
      <c r="AW91" s="13" t="s">
        <v>48</v>
      </c>
      <c r="AX91" s="9">
        <f>5.1/4.96</f>
        <v>1.0282258064516128</v>
      </c>
      <c r="AY91" s="47">
        <v>0</v>
      </c>
      <c r="AZ91" s="2">
        <v>0</v>
      </c>
      <c r="BA91" s="2">
        <v>1</v>
      </c>
      <c r="BB91" s="9">
        <f>3.43/3.61</f>
        <v>0.95013850415512469</v>
      </c>
      <c r="BC91" s="43">
        <v>2</v>
      </c>
      <c r="BD91" s="43">
        <v>0</v>
      </c>
      <c r="BE91" s="43">
        <v>1</v>
      </c>
      <c r="BF91" s="13">
        <v>0</v>
      </c>
      <c r="BG91" s="13" t="s">
        <v>48</v>
      </c>
      <c r="BH91" s="13">
        <v>0</v>
      </c>
      <c r="BI91" s="1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 t="s">
        <v>48</v>
      </c>
      <c r="BQ91" s="13" t="s">
        <v>48</v>
      </c>
      <c r="BR91" s="13">
        <v>0</v>
      </c>
      <c r="BS91" s="13">
        <v>0</v>
      </c>
      <c r="BT91" s="1">
        <v>0</v>
      </c>
      <c r="BU91" s="13">
        <v>0</v>
      </c>
      <c r="BV91" s="2" t="s">
        <v>50</v>
      </c>
      <c r="BW91" s="13" t="s">
        <v>57</v>
      </c>
      <c r="BX91" s="13" t="s">
        <v>48</v>
      </c>
      <c r="BY91" s="13" t="s">
        <v>48</v>
      </c>
      <c r="BZ91" s="13">
        <v>0</v>
      </c>
      <c r="CA91" s="13">
        <v>0</v>
      </c>
      <c r="CB91" s="34" t="s">
        <v>54</v>
      </c>
    </row>
    <row r="92" spans="1:80" s="33" customFormat="1" x14ac:dyDescent="0.3">
      <c r="A92" s="1">
        <v>91</v>
      </c>
      <c r="B92" s="2">
        <v>53</v>
      </c>
      <c r="C92" s="3" t="s">
        <v>52</v>
      </c>
      <c r="D92" s="7" t="s">
        <v>53</v>
      </c>
      <c r="E92" s="3" t="s">
        <v>83</v>
      </c>
      <c r="F92" s="103">
        <v>160</v>
      </c>
      <c r="G92" s="30">
        <v>108.4</v>
      </c>
      <c r="H92" s="5">
        <f>G92/(('[1]Maya Nonsaddle'!G92/100)^2)</f>
        <v>42.333166047032528</v>
      </c>
      <c r="I92" s="1">
        <v>1</v>
      </c>
      <c r="J92" s="1">
        <v>3</v>
      </c>
      <c r="K92" s="1">
        <v>1</v>
      </c>
      <c r="L92" s="1">
        <v>0</v>
      </c>
      <c r="M92" s="1">
        <v>75</v>
      </c>
      <c r="N92" s="1">
        <v>0</v>
      </c>
      <c r="O92" s="1">
        <v>174</v>
      </c>
      <c r="P92" s="1">
        <v>0</v>
      </c>
      <c r="Q92" s="1">
        <v>22</v>
      </c>
      <c r="R92" s="1">
        <v>0</v>
      </c>
      <c r="S92" s="30">
        <v>99.5</v>
      </c>
      <c r="T92" s="1">
        <v>0</v>
      </c>
      <c r="U92" s="1">
        <v>97</v>
      </c>
      <c r="V92" s="1">
        <v>0</v>
      </c>
      <c r="W92" s="13">
        <v>0</v>
      </c>
      <c r="X92" s="1">
        <v>0</v>
      </c>
      <c r="Y92" s="1">
        <v>0</v>
      </c>
      <c r="Z92" s="1">
        <v>1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 t="s">
        <v>48</v>
      </c>
      <c r="AP92" s="1" t="s">
        <v>48</v>
      </c>
      <c r="AQ92" s="1" t="s">
        <v>48</v>
      </c>
      <c r="AR92" s="1" t="s">
        <v>48</v>
      </c>
      <c r="AS92" s="13">
        <v>0</v>
      </c>
      <c r="AT92" s="13">
        <v>0</v>
      </c>
      <c r="AU92" s="13">
        <v>0</v>
      </c>
      <c r="AV92" s="13">
        <v>0</v>
      </c>
      <c r="AW92" s="1">
        <v>20</v>
      </c>
      <c r="AX92" s="9">
        <f>3.38/3.78</f>
        <v>0.89417989417989419</v>
      </c>
      <c r="AY92" s="47">
        <v>1</v>
      </c>
      <c r="AZ92" s="2">
        <v>0</v>
      </c>
      <c r="BA92" s="2">
        <v>0</v>
      </c>
      <c r="BB92" s="9">
        <f>3.12/3.05</f>
        <v>1.0229508196721313</v>
      </c>
      <c r="BC92" s="2">
        <v>1</v>
      </c>
      <c r="BD92" s="2">
        <v>0</v>
      </c>
      <c r="BE92" s="2">
        <v>0</v>
      </c>
      <c r="BF92" s="1">
        <v>0</v>
      </c>
      <c r="BG92" s="1" t="s">
        <v>48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3" t="s">
        <v>48</v>
      </c>
      <c r="BQ92" s="13" t="s">
        <v>48</v>
      </c>
      <c r="BR92" s="1">
        <v>0</v>
      </c>
      <c r="BS92" s="1">
        <v>0</v>
      </c>
      <c r="BT92" s="1">
        <v>0</v>
      </c>
      <c r="BU92" s="1">
        <v>0</v>
      </c>
      <c r="BV92" s="2" t="s">
        <v>50</v>
      </c>
      <c r="BW92" s="13">
        <v>0</v>
      </c>
      <c r="BX92" s="1">
        <v>0</v>
      </c>
      <c r="BY92" s="1">
        <v>0</v>
      </c>
      <c r="BZ92" s="1">
        <v>0</v>
      </c>
      <c r="CA92" s="1">
        <v>0</v>
      </c>
      <c r="CB92" s="32" t="s">
        <v>103</v>
      </c>
    </row>
    <row r="93" spans="1:80" s="33" customFormat="1" x14ac:dyDescent="0.3">
      <c r="A93" s="1">
        <v>92</v>
      </c>
      <c r="B93" s="2">
        <v>66</v>
      </c>
      <c r="C93" s="3" t="s">
        <v>52</v>
      </c>
      <c r="D93" s="7" t="s">
        <v>47</v>
      </c>
      <c r="E93" s="3" t="s">
        <v>98</v>
      </c>
      <c r="F93" s="103">
        <v>170.2</v>
      </c>
      <c r="G93" s="30">
        <v>133.6</v>
      </c>
      <c r="H93" s="5">
        <f>G93/(('[1]Maya Nonsaddle'!G93/100)^2)</f>
        <v>46.130633584501737</v>
      </c>
      <c r="I93" s="1">
        <v>1</v>
      </c>
      <c r="J93" s="1">
        <v>5</v>
      </c>
      <c r="K93" s="1">
        <v>2</v>
      </c>
      <c r="L93" s="1">
        <v>1</v>
      </c>
      <c r="M93" s="1">
        <v>121</v>
      </c>
      <c r="N93" s="1">
        <v>1</v>
      </c>
      <c r="O93" s="1">
        <v>88</v>
      </c>
      <c r="P93" s="1">
        <v>1</v>
      </c>
      <c r="Q93" s="1">
        <v>30</v>
      </c>
      <c r="R93" s="1" t="s">
        <v>48</v>
      </c>
      <c r="S93" s="30" t="s">
        <v>48</v>
      </c>
      <c r="T93" s="1" t="s">
        <v>48</v>
      </c>
      <c r="U93" s="1" t="s">
        <v>48</v>
      </c>
      <c r="V93" s="1">
        <v>1</v>
      </c>
      <c r="W93" s="1">
        <v>1</v>
      </c>
      <c r="X93" s="1">
        <v>1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 t="s">
        <v>48</v>
      </c>
      <c r="AQ93" s="1">
        <v>0</v>
      </c>
      <c r="AR93" s="1">
        <v>1</v>
      </c>
      <c r="AS93" s="13">
        <v>1</v>
      </c>
      <c r="AT93" s="13">
        <v>1</v>
      </c>
      <c r="AU93" s="13">
        <v>1</v>
      </c>
      <c r="AV93" s="13">
        <v>0</v>
      </c>
      <c r="AW93" s="1">
        <v>50</v>
      </c>
      <c r="AX93" s="9">
        <f>5.56/3.1</f>
        <v>1.7935483870967741</v>
      </c>
      <c r="AY93" s="47">
        <v>0</v>
      </c>
      <c r="AZ93" s="2">
        <v>0</v>
      </c>
      <c r="BA93" s="2">
        <v>1</v>
      </c>
      <c r="BB93" s="9">
        <f>2.91/3.44</f>
        <v>0.84593023255813959</v>
      </c>
      <c r="BC93" s="2">
        <v>4</v>
      </c>
      <c r="BD93" s="2">
        <v>1</v>
      </c>
      <c r="BE93" s="2">
        <v>1</v>
      </c>
      <c r="BF93" s="1">
        <v>0</v>
      </c>
      <c r="BG93" s="1" t="s">
        <v>48</v>
      </c>
      <c r="BH93" s="1">
        <v>1</v>
      </c>
      <c r="BI93" s="1">
        <v>1</v>
      </c>
      <c r="BJ93" s="1">
        <v>0</v>
      </c>
      <c r="BK93" s="1">
        <v>0</v>
      </c>
      <c r="BL93" s="1">
        <v>0</v>
      </c>
      <c r="BM93" s="1">
        <v>0</v>
      </c>
      <c r="BN93" s="1">
        <v>1</v>
      </c>
      <c r="BO93" s="1">
        <v>0</v>
      </c>
      <c r="BP93" s="1">
        <v>1</v>
      </c>
      <c r="BQ93" s="1">
        <v>1</v>
      </c>
      <c r="BR93" s="1">
        <v>1</v>
      </c>
      <c r="BS93" s="32" t="s">
        <v>104</v>
      </c>
      <c r="BT93" s="1">
        <v>0</v>
      </c>
      <c r="BU93" s="1">
        <v>0</v>
      </c>
      <c r="BV93" s="2" t="s">
        <v>50</v>
      </c>
      <c r="BW93" s="13">
        <v>1</v>
      </c>
      <c r="BX93" s="1">
        <v>0</v>
      </c>
      <c r="BY93" s="1">
        <v>1</v>
      </c>
      <c r="BZ93" s="1">
        <v>0</v>
      </c>
      <c r="CA93" s="1">
        <v>0</v>
      </c>
      <c r="CB93" s="32" t="s">
        <v>54</v>
      </c>
    </row>
    <row r="94" spans="1:80" s="33" customFormat="1" x14ac:dyDescent="0.3">
      <c r="A94" s="1">
        <v>93</v>
      </c>
      <c r="B94" s="2">
        <v>72</v>
      </c>
      <c r="C94" s="3" t="s">
        <v>46</v>
      </c>
      <c r="D94" s="7" t="s">
        <v>53</v>
      </c>
      <c r="E94" s="3" t="s">
        <v>105</v>
      </c>
      <c r="F94" s="103">
        <v>177.8</v>
      </c>
      <c r="G94" s="30">
        <v>114.6</v>
      </c>
      <c r="H94" s="5">
        <f>G94/(('[1]Maya Nonsaddle'!G94/100)^2)</f>
        <v>36.25109291034908</v>
      </c>
      <c r="I94" s="1">
        <v>1</v>
      </c>
      <c r="J94" s="1">
        <v>4</v>
      </c>
      <c r="K94" s="1">
        <v>2</v>
      </c>
      <c r="L94" s="1">
        <v>1</v>
      </c>
      <c r="M94" s="1">
        <v>133</v>
      </c>
      <c r="N94" s="1">
        <v>0</v>
      </c>
      <c r="O94" s="1">
        <v>120</v>
      </c>
      <c r="P94" s="1">
        <v>0</v>
      </c>
      <c r="Q94" s="1">
        <v>15</v>
      </c>
      <c r="R94" s="1" t="s">
        <v>48</v>
      </c>
      <c r="S94" s="30" t="s">
        <v>48</v>
      </c>
      <c r="T94" s="1">
        <v>0</v>
      </c>
      <c r="U94" s="1">
        <v>98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1</v>
      </c>
      <c r="AC94" s="1">
        <v>1</v>
      </c>
      <c r="AD94" s="1">
        <v>1</v>
      </c>
      <c r="AE94" s="1">
        <v>1</v>
      </c>
      <c r="AF94" s="1">
        <v>0</v>
      </c>
      <c r="AG94" s="1">
        <v>1</v>
      </c>
      <c r="AH94" s="1">
        <v>0</v>
      </c>
      <c r="AI94" s="1">
        <v>0</v>
      </c>
      <c r="AJ94" s="1">
        <v>0</v>
      </c>
      <c r="AK94" s="1">
        <v>1</v>
      </c>
      <c r="AL94" s="1">
        <v>0</v>
      </c>
      <c r="AM94" s="1">
        <v>0</v>
      </c>
      <c r="AN94" s="1">
        <v>0</v>
      </c>
      <c r="AO94" s="1">
        <v>1</v>
      </c>
      <c r="AP94" s="1">
        <v>1</v>
      </c>
      <c r="AQ94" s="1">
        <v>1</v>
      </c>
      <c r="AR94" s="1">
        <v>0</v>
      </c>
      <c r="AS94" s="13">
        <v>1</v>
      </c>
      <c r="AT94" s="13">
        <v>1</v>
      </c>
      <c r="AU94" s="13">
        <v>1</v>
      </c>
      <c r="AV94" s="13">
        <v>0</v>
      </c>
      <c r="AW94" s="1" t="s">
        <v>192</v>
      </c>
      <c r="AX94" s="9">
        <f>5.16/6.06</f>
        <v>0.85148514851485158</v>
      </c>
      <c r="AY94" s="47">
        <v>1</v>
      </c>
      <c r="AZ94" s="2">
        <v>0</v>
      </c>
      <c r="BA94" s="2">
        <v>0</v>
      </c>
      <c r="BB94" s="9">
        <f>4.24/3.38</f>
        <v>1.2544378698224854</v>
      </c>
      <c r="BC94" s="2">
        <v>5</v>
      </c>
      <c r="BD94" s="2">
        <v>0</v>
      </c>
      <c r="BE94" s="2">
        <v>0</v>
      </c>
      <c r="BF94" s="1">
        <v>1</v>
      </c>
      <c r="BG94" s="1" t="s">
        <v>66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1</v>
      </c>
      <c r="BO94" s="1">
        <v>0</v>
      </c>
      <c r="BP94" s="1">
        <v>0</v>
      </c>
      <c r="BQ94" s="1">
        <v>1</v>
      </c>
      <c r="BR94" s="1">
        <v>1</v>
      </c>
      <c r="BS94" s="1" t="s">
        <v>106</v>
      </c>
      <c r="BT94" s="1">
        <v>0</v>
      </c>
      <c r="BU94" s="1">
        <v>0</v>
      </c>
      <c r="BV94" s="2" t="s">
        <v>50</v>
      </c>
      <c r="BW94" s="13">
        <v>0</v>
      </c>
      <c r="BX94" s="1">
        <v>0</v>
      </c>
      <c r="BY94" s="1">
        <v>0</v>
      </c>
      <c r="BZ94" s="1">
        <v>0</v>
      </c>
      <c r="CA94" s="1">
        <v>0</v>
      </c>
      <c r="CB94" s="32" t="s">
        <v>55</v>
      </c>
    </row>
    <row r="95" spans="1:80" s="33" customFormat="1" x14ac:dyDescent="0.3">
      <c r="A95" s="1">
        <v>94</v>
      </c>
      <c r="B95" s="2">
        <v>30</v>
      </c>
      <c r="C95" s="3" t="s">
        <v>46</v>
      </c>
      <c r="D95" s="7" t="s">
        <v>53</v>
      </c>
      <c r="E95" s="3" t="s">
        <v>98</v>
      </c>
      <c r="F95" s="103">
        <v>180.3</v>
      </c>
      <c r="G95" s="30">
        <v>79</v>
      </c>
      <c r="H95" s="5">
        <f>G95/(('[1]Maya Nonsaddle'!G95/100)^2)</f>
        <v>24.290863896149531</v>
      </c>
      <c r="I95" s="1">
        <v>1</v>
      </c>
      <c r="J95" s="1">
        <v>2</v>
      </c>
      <c r="K95" s="1">
        <v>1</v>
      </c>
      <c r="L95" s="1">
        <v>0</v>
      </c>
      <c r="M95" s="1">
        <v>87</v>
      </c>
      <c r="N95" s="1">
        <v>0</v>
      </c>
      <c r="O95" s="1">
        <v>152</v>
      </c>
      <c r="P95" s="1">
        <v>0</v>
      </c>
      <c r="Q95" s="1">
        <v>18</v>
      </c>
      <c r="R95" s="1">
        <v>0</v>
      </c>
      <c r="S95" s="30">
        <v>97.9</v>
      </c>
      <c r="T95" s="1">
        <v>0</v>
      </c>
      <c r="U95" s="1">
        <v>100</v>
      </c>
      <c r="V95" s="1">
        <v>0</v>
      </c>
      <c r="W95" s="13">
        <v>0</v>
      </c>
      <c r="X95" s="1">
        <v>0</v>
      </c>
      <c r="Y95" s="1">
        <v>1</v>
      </c>
      <c r="Z95" s="1">
        <v>1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32" t="s">
        <v>106</v>
      </c>
      <c r="AG95" s="1">
        <v>0</v>
      </c>
      <c r="AH95" s="1">
        <v>0</v>
      </c>
      <c r="AI95" s="1">
        <v>0</v>
      </c>
      <c r="AJ95" s="1">
        <v>0</v>
      </c>
      <c r="AK95" s="1">
        <v>1</v>
      </c>
      <c r="AL95" s="1">
        <v>0</v>
      </c>
      <c r="AM95" s="1">
        <v>0</v>
      </c>
      <c r="AN95" s="1">
        <v>0</v>
      </c>
      <c r="AO95" s="1" t="s">
        <v>48</v>
      </c>
      <c r="AP95" s="1" t="s">
        <v>48</v>
      </c>
      <c r="AQ95" s="1" t="s">
        <v>48</v>
      </c>
      <c r="AR95" s="1">
        <v>0</v>
      </c>
      <c r="AS95" s="13" t="s">
        <v>48</v>
      </c>
      <c r="AT95" s="13" t="s">
        <v>48</v>
      </c>
      <c r="AU95" s="13" t="s">
        <v>48</v>
      </c>
      <c r="AV95" s="13" t="s">
        <v>48</v>
      </c>
      <c r="AW95" s="1" t="s">
        <v>48</v>
      </c>
      <c r="AX95" s="9">
        <f>3.96/4.47</f>
        <v>0.88590604026845643</v>
      </c>
      <c r="AY95" s="47">
        <v>1</v>
      </c>
      <c r="AZ95" s="2">
        <v>0</v>
      </c>
      <c r="BA95" s="2">
        <v>0</v>
      </c>
      <c r="BB95" s="9">
        <f>2.39/3.22</f>
        <v>0.74223602484472051</v>
      </c>
      <c r="BC95" s="2">
        <v>3</v>
      </c>
      <c r="BD95" s="2">
        <v>0</v>
      </c>
      <c r="BE95" s="2">
        <v>0</v>
      </c>
      <c r="BF95" s="1">
        <v>0</v>
      </c>
      <c r="BG95" s="1" t="s">
        <v>48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3" t="s">
        <v>48</v>
      </c>
      <c r="BQ95" s="13" t="s">
        <v>48</v>
      </c>
      <c r="BR95" s="1">
        <v>0</v>
      </c>
      <c r="BS95" s="1">
        <v>0</v>
      </c>
      <c r="BT95" s="1">
        <v>0</v>
      </c>
      <c r="BU95" s="1">
        <v>0</v>
      </c>
      <c r="BV95" s="2" t="s">
        <v>50</v>
      </c>
      <c r="BW95" s="13">
        <v>0</v>
      </c>
      <c r="BX95" s="1" t="s">
        <v>48</v>
      </c>
      <c r="BY95" s="1" t="s">
        <v>48</v>
      </c>
      <c r="BZ95" s="1">
        <v>0</v>
      </c>
      <c r="CA95" s="1">
        <v>0</v>
      </c>
      <c r="CB95" s="32" t="s">
        <v>107</v>
      </c>
    </row>
    <row r="96" spans="1:80" s="33" customFormat="1" x14ac:dyDescent="0.3">
      <c r="A96" s="1">
        <v>95</v>
      </c>
      <c r="B96" s="2">
        <v>39</v>
      </c>
      <c r="C96" s="3" t="s">
        <v>52</v>
      </c>
      <c r="D96" s="7" t="s">
        <v>47</v>
      </c>
      <c r="E96" s="3" t="s">
        <v>85</v>
      </c>
      <c r="F96" s="103">
        <v>160</v>
      </c>
      <c r="G96" s="30">
        <v>65.8</v>
      </c>
      <c r="H96" s="5">
        <f>G96/(('[1]Maya Nonsaddle'!G96/100)^2)</f>
        <v>25.696700423383209</v>
      </c>
      <c r="I96" s="1">
        <v>0</v>
      </c>
      <c r="J96" s="1">
        <v>1</v>
      </c>
      <c r="K96" s="1">
        <v>1</v>
      </c>
      <c r="L96" s="1">
        <v>0</v>
      </c>
      <c r="M96" s="1">
        <v>96</v>
      </c>
      <c r="N96" s="1">
        <v>0</v>
      </c>
      <c r="O96" s="1">
        <v>135</v>
      </c>
      <c r="P96" s="1">
        <v>0</v>
      </c>
      <c r="Q96" s="1">
        <v>20</v>
      </c>
      <c r="R96" s="1">
        <v>0</v>
      </c>
      <c r="S96" s="30">
        <v>98.1</v>
      </c>
      <c r="T96" s="1">
        <v>0</v>
      </c>
      <c r="U96" s="1">
        <v>100</v>
      </c>
      <c r="V96" s="1">
        <v>0</v>
      </c>
      <c r="W96" s="13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1</v>
      </c>
      <c r="AQ96" s="1" t="s">
        <v>48</v>
      </c>
      <c r="AR96" s="1">
        <v>0</v>
      </c>
      <c r="AS96" s="13" t="s">
        <v>48</v>
      </c>
      <c r="AT96" s="13" t="s">
        <v>48</v>
      </c>
      <c r="AU96" s="13" t="s">
        <v>48</v>
      </c>
      <c r="AV96" s="13" t="s">
        <v>48</v>
      </c>
      <c r="AW96" s="1" t="s">
        <v>48</v>
      </c>
      <c r="AX96" s="9">
        <f>4.27/4.39</f>
        <v>0.97266514806378135</v>
      </c>
      <c r="AY96" s="47">
        <v>0</v>
      </c>
      <c r="AZ96" s="2">
        <v>0</v>
      </c>
      <c r="BA96" s="2">
        <v>1</v>
      </c>
      <c r="BB96" s="9">
        <f>2.76/2.86</f>
        <v>0.965034965034965</v>
      </c>
      <c r="BC96" s="2">
        <v>2</v>
      </c>
      <c r="BD96" s="2">
        <v>0</v>
      </c>
      <c r="BE96" s="2">
        <v>0</v>
      </c>
      <c r="BF96" s="1">
        <v>0</v>
      </c>
      <c r="BG96" s="1" t="s">
        <v>48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3" t="s">
        <v>48</v>
      </c>
      <c r="BQ96" s="13" t="s">
        <v>48</v>
      </c>
      <c r="BR96" s="1">
        <v>0</v>
      </c>
      <c r="BS96" s="1">
        <v>0</v>
      </c>
      <c r="BT96" s="1">
        <v>0</v>
      </c>
      <c r="BU96" s="1">
        <v>0</v>
      </c>
      <c r="BV96" s="2" t="s">
        <v>57</v>
      </c>
      <c r="BW96" s="13" t="s">
        <v>57</v>
      </c>
      <c r="BX96" s="1">
        <v>0</v>
      </c>
      <c r="BY96" s="1">
        <v>1</v>
      </c>
      <c r="BZ96" s="1">
        <v>0</v>
      </c>
      <c r="CA96" s="1">
        <v>0</v>
      </c>
      <c r="CB96" s="32" t="s">
        <v>108</v>
      </c>
    </row>
    <row r="97" spans="1:80" s="33" customFormat="1" x14ac:dyDescent="0.3">
      <c r="A97" s="1">
        <v>96</v>
      </c>
      <c r="B97" s="2">
        <v>60</v>
      </c>
      <c r="C97" s="3" t="s">
        <v>46</v>
      </c>
      <c r="D97" s="7" t="s">
        <v>47</v>
      </c>
      <c r="E97" s="3" t="s">
        <v>83</v>
      </c>
      <c r="F97" s="103">
        <v>188</v>
      </c>
      <c r="G97" s="30">
        <v>99.3</v>
      </c>
      <c r="H97" s="5">
        <f>G97/(('[1]Maya Nonsaddle'!G97/100)^2)</f>
        <v>28.107251247373199</v>
      </c>
      <c r="I97" s="1">
        <v>1</v>
      </c>
      <c r="J97" s="1">
        <v>3</v>
      </c>
      <c r="K97" s="1">
        <v>2</v>
      </c>
      <c r="L97" s="1">
        <v>1</v>
      </c>
      <c r="M97" s="1">
        <v>114</v>
      </c>
      <c r="N97" s="1">
        <v>0</v>
      </c>
      <c r="O97" s="1">
        <v>144</v>
      </c>
      <c r="P97" s="1">
        <v>0</v>
      </c>
      <c r="Q97" s="1">
        <v>18</v>
      </c>
      <c r="R97" s="1">
        <v>0</v>
      </c>
      <c r="S97" s="30">
        <v>97.4</v>
      </c>
      <c r="T97" s="1">
        <v>0</v>
      </c>
      <c r="U97" s="1">
        <v>95</v>
      </c>
      <c r="V97" s="1">
        <v>0</v>
      </c>
      <c r="W97" s="13">
        <v>0</v>
      </c>
      <c r="X97" s="1">
        <v>0</v>
      </c>
      <c r="Y97" s="1">
        <v>0</v>
      </c>
      <c r="Z97" s="1">
        <v>0</v>
      </c>
      <c r="AA97" s="1">
        <v>0</v>
      </c>
      <c r="AB97" s="1">
        <v>1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1</v>
      </c>
      <c r="AL97" s="1">
        <v>0</v>
      </c>
      <c r="AM97" s="1">
        <v>0</v>
      </c>
      <c r="AN97" s="1">
        <v>0</v>
      </c>
      <c r="AO97" s="1">
        <v>1</v>
      </c>
      <c r="AP97" s="1">
        <v>1</v>
      </c>
      <c r="AQ97" s="1">
        <v>1</v>
      </c>
      <c r="AR97" s="1">
        <v>0</v>
      </c>
      <c r="AS97" s="13">
        <v>0</v>
      </c>
      <c r="AT97" s="13">
        <v>0</v>
      </c>
      <c r="AU97" s="13">
        <v>0</v>
      </c>
      <c r="AV97" s="13">
        <v>0</v>
      </c>
      <c r="AW97" s="1" t="s">
        <v>192</v>
      </c>
      <c r="AX97" s="9">
        <f>4.31/4.55</f>
        <v>0.94725274725274722</v>
      </c>
      <c r="AY97" s="47">
        <v>0</v>
      </c>
      <c r="AZ97" s="2">
        <v>0</v>
      </c>
      <c r="BA97" s="2">
        <v>1</v>
      </c>
      <c r="BB97" s="9">
        <f>3.52/4.43</f>
        <v>0.79458239277652376</v>
      </c>
      <c r="BC97" s="2">
        <v>3</v>
      </c>
      <c r="BD97" s="2">
        <v>0</v>
      </c>
      <c r="BE97" s="2">
        <v>0</v>
      </c>
      <c r="BF97" s="1">
        <v>1</v>
      </c>
      <c r="BG97" s="1" t="s">
        <v>70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3" t="s">
        <v>48</v>
      </c>
      <c r="BQ97" s="13" t="s">
        <v>48</v>
      </c>
      <c r="BR97" s="1">
        <v>0</v>
      </c>
      <c r="BS97" s="1">
        <v>0</v>
      </c>
      <c r="BT97" s="1">
        <v>0</v>
      </c>
      <c r="BU97" s="1">
        <v>0</v>
      </c>
      <c r="BV97" s="2" t="s">
        <v>50</v>
      </c>
      <c r="BW97" s="13">
        <v>1</v>
      </c>
      <c r="BX97" s="1">
        <v>0</v>
      </c>
      <c r="BY97" s="1">
        <v>0</v>
      </c>
      <c r="BZ97" s="1">
        <v>0</v>
      </c>
      <c r="CA97" s="1">
        <v>0</v>
      </c>
      <c r="CB97" s="32" t="s">
        <v>55</v>
      </c>
    </row>
    <row r="98" spans="1:80" s="33" customFormat="1" x14ac:dyDescent="0.3">
      <c r="A98" s="1">
        <v>97</v>
      </c>
      <c r="B98" s="2">
        <v>65</v>
      </c>
      <c r="C98" s="3" t="s">
        <v>46</v>
      </c>
      <c r="D98" s="7" t="s">
        <v>47</v>
      </c>
      <c r="E98" s="3" t="s">
        <v>77</v>
      </c>
      <c r="F98" s="103">
        <v>180.3</v>
      </c>
      <c r="G98" s="30">
        <v>104.3</v>
      </c>
      <c r="H98" s="5">
        <f>G98/(('[1]Maya Nonsaddle'!G98/100)^2)</f>
        <v>32.070089928713877</v>
      </c>
      <c r="I98" s="1">
        <v>1</v>
      </c>
      <c r="J98" s="1">
        <v>3</v>
      </c>
      <c r="K98" s="1">
        <v>1</v>
      </c>
      <c r="L98" s="1">
        <v>0</v>
      </c>
      <c r="M98" s="1">
        <v>46</v>
      </c>
      <c r="N98" s="1">
        <v>0</v>
      </c>
      <c r="O98" s="1">
        <v>140</v>
      </c>
      <c r="P98" s="1">
        <v>0</v>
      </c>
      <c r="Q98" s="1">
        <v>16</v>
      </c>
      <c r="R98" s="1">
        <v>0</v>
      </c>
      <c r="S98" s="30">
        <v>98</v>
      </c>
      <c r="T98" s="1">
        <v>1</v>
      </c>
      <c r="U98" s="1" t="s">
        <v>48</v>
      </c>
      <c r="V98" s="1">
        <v>1</v>
      </c>
      <c r="W98" s="13">
        <v>0</v>
      </c>
      <c r="X98" s="1">
        <v>0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 t="s">
        <v>48</v>
      </c>
      <c r="AP98" s="1" t="s">
        <v>48</v>
      </c>
      <c r="AQ98" s="1" t="s">
        <v>48</v>
      </c>
      <c r="AR98" s="1">
        <v>0</v>
      </c>
      <c r="AS98" s="13" t="s">
        <v>48</v>
      </c>
      <c r="AT98" s="13" t="s">
        <v>48</v>
      </c>
      <c r="AU98" s="13" t="s">
        <v>48</v>
      </c>
      <c r="AV98" s="13" t="s">
        <v>48</v>
      </c>
      <c r="AW98" s="1" t="s">
        <v>48</v>
      </c>
      <c r="AX98" s="9">
        <f>3.58/4.15</f>
        <v>0.86265060240963853</v>
      </c>
      <c r="AY98" s="47">
        <v>1</v>
      </c>
      <c r="AZ98" s="2">
        <v>0</v>
      </c>
      <c r="BA98" s="2">
        <v>0</v>
      </c>
      <c r="BB98" s="9">
        <f>2.62/3.28</f>
        <v>0.79878048780487809</v>
      </c>
      <c r="BC98" s="2">
        <v>2</v>
      </c>
      <c r="BD98" s="2">
        <v>0</v>
      </c>
      <c r="BE98" s="2">
        <v>1</v>
      </c>
      <c r="BF98" s="1">
        <v>0</v>
      </c>
      <c r="BG98" s="1" t="s">
        <v>48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3" t="s">
        <v>48</v>
      </c>
      <c r="BQ98" s="13" t="s">
        <v>48</v>
      </c>
      <c r="BR98" s="1">
        <v>0</v>
      </c>
      <c r="BS98" s="1">
        <v>0</v>
      </c>
      <c r="BT98" s="1">
        <v>0</v>
      </c>
      <c r="BU98" s="1">
        <v>0</v>
      </c>
      <c r="BV98" s="2" t="s">
        <v>57</v>
      </c>
      <c r="BW98" s="13" t="s">
        <v>57</v>
      </c>
      <c r="BX98" s="1">
        <v>0</v>
      </c>
      <c r="BY98" s="1">
        <v>0</v>
      </c>
      <c r="BZ98" s="1">
        <v>0</v>
      </c>
      <c r="CA98" s="1">
        <v>0</v>
      </c>
      <c r="CB98" s="32" t="s">
        <v>54</v>
      </c>
    </row>
    <row r="99" spans="1:80" s="33" customFormat="1" x14ac:dyDescent="0.3">
      <c r="A99" s="1">
        <v>98</v>
      </c>
      <c r="B99" s="2">
        <v>52</v>
      </c>
      <c r="C99" s="3" t="s">
        <v>46</v>
      </c>
      <c r="D99" s="7" t="s">
        <v>47</v>
      </c>
      <c r="E99" s="3" t="s">
        <v>109</v>
      </c>
      <c r="F99" s="103">
        <v>175.3</v>
      </c>
      <c r="G99" s="30">
        <v>68</v>
      </c>
      <c r="H99" s="5">
        <f>G99/(('[1]Maya Nonsaddle'!G99/100)^2)</f>
        <v>22.138250535690318</v>
      </c>
      <c r="I99" s="1">
        <v>1</v>
      </c>
      <c r="J99" s="1">
        <v>4</v>
      </c>
      <c r="K99" s="1">
        <v>1</v>
      </c>
      <c r="L99" s="1">
        <v>0</v>
      </c>
      <c r="M99" s="1">
        <v>98</v>
      </c>
      <c r="N99" s="1">
        <v>0</v>
      </c>
      <c r="O99" s="1">
        <v>122</v>
      </c>
      <c r="P99" s="1">
        <v>0</v>
      </c>
      <c r="Q99" s="1">
        <v>18</v>
      </c>
      <c r="R99" s="1">
        <v>0</v>
      </c>
      <c r="S99" s="30">
        <v>97.6</v>
      </c>
      <c r="T99" s="1">
        <v>0</v>
      </c>
      <c r="U99" s="1">
        <v>100</v>
      </c>
      <c r="V99" s="1">
        <v>0</v>
      </c>
      <c r="W99" s="13">
        <v>0</v>
      </c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 t="s">
        <v>48</v>
      </c>
      <c r="AQ99" s="1" t="s">
        <v>48</v>
      </c>
      <c r="AR99" s="1">
        <v>0</v>
      </c>
      <c r="AS99" s="13" t="s">
        <v>48</v>
      </c>
      <c r="AT99" s="13" t="s">
        <v>48</v>
      </c>
      <c r="AU99" s="13" t="s">
        <v>48</v>
      </c>
      <c r="AV99" s="13" t="s">
        <v>48</v>
      </c>
      <c r="AW99" s="1" t="s">
        <v>48</v>
      </c>
      <c r="AX99" s="9">
        <f>4.59/4.89</f>
        <v>0.93865030674846628</v>
      </c>
      <c r="AY99" s="47">
        <v>0</v>
      </c>
      <c r="AZ99" s="2">
        <v>1</v>
      </c>
      <c r="BA99" s="2">
        <v>0</v>
      </c>
      <c r="BB99" s="9">
        <f>3.36/2.98</f>
        <v>1.1275167785234899</v>
      </c>
      <c r="BC99" s="2">
        <v>1</v>
      </c>
      <c r="BD99" s="2">
        <v>0</v>
      </c>
      <c r="BE99" s="2">
        <v>0</v>
      </c>
      <c r="BF99" s="1">
        <v>0</v>
      </c>
      <c r="BG99" s="1" t="s">
        <v>48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3" t="s">
        <v>48</v>
      </c>
      <c r="BQ99" s="13" t="s">
        <v>48</v>
      </c>
      <c r="BR99" s="1">
        <v>0</v>
      </c>
      <c r="BS99" s="1">
        <v>0</v>
      </c>
      <c r="BT99" s="1">
        <v>0</v>
      </c>
      <c r="BU99" s="1">
        <v>0</v>
      </c>
      <c r="BV99" s="2" t="s">
        <v>50</v>
      </c>
      <c r="BW99" s="13">
        <v>0</v>
      </c>
      <c r="BX99" s="1">
        <v>0</v>
      </c>
      <c r="BY99" s="1">
        <v>1</v>
      </c>
      <c r="BZ99" s="1">
        <v>0</v>
      </c>
      <c r="CA99" s="1">
        <v>0</v>
      </c>
      <c r="CB99" s="32" t="s">
        <v>60</v>
      </c>
    </row>
    <row r="100" spans="1:80" s="33" customFormat="1" x14ac:dyDescent="0.3">
      <c r="A100" s="1">
        <v>99</v>
      </c>
      <c r="B100" s="2">
        <v>76</v>
      </c>
      <c r="C100" s="3" t="s">
        <v>52</v>
      </c>
      <c r="D100" s="7" t="s">
        <v>47</v>
      </c>
      <c r="E100" s="3" t="s">
        <v>77</v>
      </c>
      <c r="F100" s="103">
        <v>162.6</v>
      </c>
      <c r="G100" s="30">
        <v>67.8</v>
      </c>
      <c r="H100" s="5">
        <f>G100/(('[1]Maya Nonsaddle'!G100/100)^2)</f>
        <v>25.656789594829188</v>
      </c>
      <c r="I100" s="1">
        <v>0</v>
      </c>
      <c r="J100" s="1">
        <v>2</v>
      </c>
      <c r="K100" s="1">
        <v>1</v>
      </c>
      <c r="L100" s="1">
        <v>0</v>
      </c>
      <c r="M100" s="1">
        <v>108</v>
      </c>
      <c r="N100" s="1">
        <v>0</v>
      </c>
      <c r="O100" s="1">
        <v>212</v>
      </c>
      <c r="P100" s="1">
        <v>0</v>
      </c>
      <c r="Q100" s="1">
        <v>18</v>
      </c>
      <c r="R100" s="1">
        <v>0</v>
      </c>
      <c r="S100" s="30">
        <v>98</v>
      </c>
      <c r="T100" s="1">
        <v>0</v>
      </c>
      <c r="U100" s="1">
        <v>94</v>
      </c>
      <c r="V100" s="1">
        <v>0</v>
      </c>
      <c r="W100" s="13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1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 t="s">
        <v>48</v>
      </c>
      <c r="AQ100" s="1" t="s">
        <v>48</v>
      </c>
      <c r="AR100" s="1">
        <v>0</v>
      </c>
      <c r="AS100" s="13" t="s">
        <v>48</v>
      </c>
      <c r="AT100" s="13" t="s">
        <v>48</v>
      </c>
      <c r="AU100" s="13" t="s">
        <v>48</v>
      </c>
      <c r="AV100" s="13" t="s">
        <v>48</v>
      </c>
      <c r="AW100" s="1" t="s">
        <v>48</v>
      </c>
      <c r="AX100" s="9">
        <f>3.08/4.55</f>
        <v>0.67692307692307696</v>
      </c>
      <c r="AY100" s="47">
        <v>0</v>
      </c>
      <c r="AZ100" s="2">
        <v>0</v>
      </c>
      <c r="BA100" s="2">
        <v>0</v>
      </c>
      <c r="BB100" s="9">
        <f>3.17/3.62</f>
        <v>0.87569060773480656</v>
      </c>
      <c r="BC100" s="2">
        <v>2</v>
      </c>
      <c r="BD100" s="2">
        <v>0</v>
      </c>
      <c r="BE100" s="2">
        <v>0</v>
      </c>
      <c r="BF100" s="1">
        <v>0</v>
      </c>
      <c r="BG100" s="1" t="s">
        <v>48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3" t="s">
        <v>48</v>
      </c>
      <c r="BQ100" s="13" t="s">
        <v>48</v>
      </c>
      <c r="BR100" s="1">
        <v>0</v>
      </c>
      <c r="BS100" s="1">
        <v>0</v>
      </c>
      <c r="BT100" s="1">
        <v>0</v>
      </c>
      <c r="BU100" s="1">
        <v>0</v>
      </c>
      <c r="BV100" s="2" t="s">
        <v>50</v>
      </c>
      <c r="BW100" s="13" t="s">
        <v>57</v>
      </c>
      <c r="BX100" s="1">
        <v>0</v>
      </c>
      <c r="BY100" s="1">
        <v>0</v>
      </c>
      <c r="BZ100" s="1">
        <v>0</v>
      </c>
      <c r="CA100" s="1">
        <v>0</v>
      </c>
      <c r="CB100" s="32" t="s">
        <v>54</v>
      </c>
    </row>
    <row r="101" spans="1:80" s="33" customFormat="1" x14ac:dyDescent="0.3">
      <c r="A101" s="1">
        <v>100</v>
      </c>
      <c r="B101" s="2">
        <v>88</v>
      </c>
      <c r="C101" s="3" t="s">
        <v>52</v>
      </c>
      <c r="D101" s="7" t="s">
        <v>53</v>
      </c>
      <c r="E101" s="3" t="s">
        <v>109</v>
      </c>
      <c r="F101" s="103">
        <v>154.9</v>
      </c>
      <c r="G101" s="30">
        <v>52.6</v>
      </c>
      <c r="H101" s="5">
        <f>G101/(('[1]Maya Nonsaddle'!G101/100)^2)</f>
        <v>21.910820494578374</v>
      </c>
      <c r="I101" s="1">
        <v>1</v>
      </c>
      <c r="J101" s="1">
        <v>5</v>
      </c>
      <c r="K101" s="1">
        <v>1</v>
      </c>
      <c r="L101" s="1">
        <v>0</v>
      </c>
      <c r="M101" s="1">
        <v>69</v>
      </c>
      <c r="N101" s="1">
        <v>1</v>
      </c>
      <c r="O101" s="1">
        <v>94</v>
      </c>
      <c r="P101" s="1">
        <v>0</v>
      </c>
      <c r="Q101" s="1">
        <v>21</v>
      </c>
      <c r="R101" s="1">
        <v>0</v>
      </c>
      <c r="S101" s="30">
        <v>98.3</v>
      </c>
      <c r="T101" s="1">
        <v>0</v>
      </c>
      <c r="U101" s="1">
        <v>98</v>
      </c>
      <c r="V101" s="1">
        <v>0</v>
      </c>
      <c r="W101" s="13">
        <v>0</v>
      </c>
      <c r="X101" s="1">
        <v>1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</v>
      </c>
      <c r="AH101" s="1">
        <v>0</v>
      </c>
      <c r="AI101" s="1">
        <v>0</v>
      </c>
      <c r="AJ101" s="1">
        <v>1</v>
      </c>
      <c r="AK101" s="1">
        <v>1</v>
      </c>
      <c r="AL101" s="1">
        <v>0</v>
      </c>
      <c r="AM101" s="1">
        <v>0</v>
      </c>
      <c r="AN101" s="1">
        <v>1</v>
      </c>
      <c r="AO101" s="1">
        <v>1</v>
      </c>
      <c r="AP101" s="1">
        <v>1</v>
      </c>
      <c r="AQ101" s="1" t="s">
        <v>48</v>
      </c>
      <c r="AR101" s="1">
        <v>0</v>
      </c>
      <c r="AS101" s="13" t="s">
        <v>48</v>
      </c>
      <c r="AT101" s="13" t="s">
        <v>48</v>
      </c>
      <c r="AU101" s="13" t="s">
        <v>48</v>
      </c>
      <c r="AV101" s="13" t="s">
        <v>48</v>
      </c>
      <c r="AW101" s="1" t="s">
        <v>48</v>
      </c>
      <c r="AX101" s="9">
        <f>4.06/4.88</f>
        <v>0.83196721311475408</v>
      </c>
      <c r="AY101" s="47">
        <v>0</v>
      </c>
      <c r="AZ101" s="2">
        <v>0</v>
      </c>
      <c r="BA101" s="2">
        <v>0</v>
      </c>
      <c r="BB101" s="9">
        <f>2.64/3.37</f>
        <v>0.78338278931750738</v>
      </c>
      <c r="BC101" s="2">
        <v>4</v>
      </c>
      <c r="BD101" s="2">
        <v>1</v>
      </c>
      <c r="BE101" s="2">
        <v>0</v>
      </c>
      <c r="BF101" s="1">
        <v>0</v>
      </c>
      <c r="BG101" s="1" t="s">
        <v>48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3" t="s">
        <v>48</v>
      </c>
      <c r="BQ101" s="13" t="s">
        <v>48</v>
      </c>
      <c r="BR101" s="1">
        <v>1</v>
      </c>
      <c r="BS101" s="32" t="s">
        <v>110</v>
      </c>
      <c r="BT101" s="1">
        <v>0</v>
      </c>
      <c r="BU101" s="1">
        <v>1</v>
      </c>
      <c r="BV101" s="2" t="s">
        <v>50</v>
      </c>
      <c r="BW101" s="13">
        <v>1</v>
      </c>
      <c r="BX101" s="1">
        <v>0</v>
      </c>
      <c r="BY101" s="1">
        <v>0</v>
      </c>
      <c r="BZ101" s="1">
        <v>0</v>
      </c>
      <c r="CA101" s="1">
        <v>0</v>
      </c>
      <c r="CB101" s="32" t="s">
        <v>55</v>
      </c>
    </row>
    <row r="102" spans="1:80" s="12" customFormat="1" x14ac:dyDescent="0.3">
      <c r="A102" s="1">
        <v>101</v>
      </c>
      <c r="B102" s="2">
        <v>77</v>
      </c>
      <c r="C102" s="3" t="s">
        <v>46</v>
      </c>
      <c r="D102" s="7" t="s">
        <v>47</v>
      </c>
      <c r="E102" s="3" t="s">
        <v>74</v>
      </c>
      <c r="F102" s="103">
        <v>180.3</v>
      </c>
      <c r="G102" s="30">
        <v>103.4</v>
      </c>
      <c r="H102" s="5">
        <f>G102/(('[1]Maya Nonsaddle'!G102/100)^2)</f>
        <v>31.793358567871667</v>
      </c>
      <c r="I102" s="1">
        <v>0</v>
      </c>
      <c r="J102" s="1">
        <v>3</v>
      </c>
      <c r="K102" s="1">
        <v>1</v>
      </c>
      <c r="L102" s="1">
        <v>0</v>
      </c>
      <c r="M102" s="1">
        <v>101</v>
      </c>
      <c r="N102" s="1">
        <v>0</v>
      </c>
      <c r="O102" s="1">
        <v>196</v>
      </c>
      <c r="P102" s="1">
        <v>0</v>
      </c>
      <c r="Q102" s="1">
        <v>20</v>
      </c>
      <c r="R102" s="1">
        <v>0</v>
      </c>
      <c r="S102" s="30">
        <v>97.6</v>
      </c>
      <c r="T102" s="1">
        <v>0</v>
      </c>
      <c r="U102" s="1">
        <v>100</v>
      </c>
      <c r="V102" s="1">
        <v>0</v>
      </c>
      <c r="W102" s="13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1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 t="s">
        <v>48</v>
      </c>
      <c r="AQ102" s="1">
        <v>0</v>
      </c>
      <c r="AR102" s="1">
        <v>0</v>
      </c>
      <c r="AS102" s="13">
        <v>0</v>
      </c>
      <c r="AT102" s="13">
        <v>0</v>
      </c>
      <c r="AU102" s="13">
        <v>0</v>
      </c>
      <c r="AV102" s="13">
        <v>0</v>
      </c>
      <c r="AW102" s="1" t="s">
        <v>192</v>
      </c>
      <c r="AX102" s="9">
        <f>4.24/5.05</f>
        <v>0.83960396039603968</v>
      </c>
      <c r="AY102" s="47">
        <v>0</v>
      </c>
      <c r="AZ102" s="2">
        <v>0</v>
      </c>
      <c r="BA102" s="2">
        <v>0</v>
      </c>
      <c r="BB102" s="9">
        <f>3.36/3.63</f>
        <v>0.92561983471074383</v>
      </c>
      <c r="BC102" s="2">
        <v>1</v>
      </c>
      <c r="BD102" s="2">
        <v>0</v>
      </c>
      <c r="BE102" s="2">
        <v>0</v>
      </c>
      <c r="BF102" s="1">
        <v>0</v>
      </c>
      <c r="BG102" s="1" t="s">
        <v>48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3" t="s">
        <v>48</v>
      </c>
      <c r="BQ102" s="13" t="s">
        <v>48</v>
      </c>
      <c r="BR102" s="1">
        <v>0</v>
      </c>
      <c r="BS102" s="1">
        <v>0</v>
      </c>
      <c r="BT102" s="1">
        <v>0</v>
      </c>
      <c r="BU102" s="1">
        <v>0</v>
      </c>
      <c r="BV102" s="2" t="s">
        <v>50</v>
      </c>
      <c r="BW102" s="13">
        <v>1</v>
      </c>
      <c r="BX102" s="1">
        <v>0</v>
      </c>
      <c r="BY102" s="1">
        <v>1</v>
      </c>
      <c r="BZ102" s="1">
        <v>0</v>
      </c>
      <c r="CA102" s="1">
        <v>0</v>
      </c>
      <c r="CB102" s="32" t="s">
        <v>54</v>
      </c>
    </row>
    <row r="103" spans="1:80" s="33" customFormat="1" x14ac:dyDescent="0.3">
      <c r="A103" s="1">
        <v>102</v>
      </c>
      <c r="B103" s="2">
        <v>65</v>
      </c>
      <c r="C103" s="3" t="s">
        <v>46</v>
      </c>
      <c r="D103" s="7" t="s">
        <v>47</v>
      </c>
      <c r="E103" s="3" t="s">
        <v>77</v>
      </c>
      <c r="F103" s="103">
        <v>185.4</v>
      </c>
      <c r="G103" s="30">
        <v>90.7</v>
      </c>
      <c r="H103" s="5">
        <f>G103/(('[1]Maya Nonsaddle'!G103/100)^2)</f>
        <v>26.381174924106276</v>
      </c>
      <c r="I103" s="1">
        <v>0</v>
      </c>
      <c r="J103" s="1">
        <v>2</v>
      </c>
      <c r="K103" s="1">
        <v>4</v>
      </c>
      <c r="L103" s="1">
        <v>0</v>
      </c>
      <c r="M103" s="1">
        <v>70</v>
      </c>
      <c r="N103" s="1">
        <v>0</v>
      </c>
      <c r="O103" s="1">
        <v>155</v>
      </c>
      <c r="P103" s="1">
        <v>0</v>
      </c>
      <c r="Q103" s="1">
        <v>18</v>
      </c>
      <c r="R103" s="1">
        <v>0</v>
      </c>
      <c r="S103" s="30">
        <v>98.6</v>
      </c>
      <c r="T103" s="1">
        <v>0</v>
      </c>
      <c r="U103" s="1">
        <v>98</v>
      </c>
      <c r="V103" s="1">
        <v>0</v>
      </c>
      <c r="W103" s="13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1</v>
      </c>
      <c r="AG103" s="1">
        <v>1</v>
      </c>
      <c r="AH103" s="1">
        <v>0</v>
      </c>
      <c r="AI103" s="1">
        <v>1</v>
      </c>
      <c r="AJ103" s="1">
        <v>0</v>
      </c>
      <c r="AK103" s="1">
        <v>1</v>
      </c>
      <c r="AL103" s="1">
        <v>0</v>
      </c>
      <c r="AM103" s="1">
        <v>0</v>
      </c>
      <c r="AN103" s="1">
        <v>0</v>
      </c>
      <c r="AO103" s="1">
        <v>1</v>
      </c>
      <c r="AP103" s="1">
        <v>1</v>
      </c>
      <c r="AQ103" s="1" t="s">
        <v>48</v>
      </c>
      <c r="AR103" s="1" t="s">
        <v>48</v>
      </c>
      <c r="AS103" s="13" t="s">
        <v>48</v>
      </c>
      <c r="AT103" s="13" t="s">
        <v>48</v>
      </c>
      <c r="AU103" s="13" t="s">
        <v>48</v>
      </c>
      <c r="AV103" s="13" t="s">
        <v>48</v>
      </c>
      <c r="AW103" s="1" t="s">
        <v>48</v>
      </c>
      <c r="AX103" s="9">
        <f>4.9/4.79</f>
        <v>1.0229645093945721</v>
      </c>
      <c r="AY103" s="47">
        <v>0</v>
      </c>
      <c r="AZ103" s="2">
        <v>0</v>
      </c>
      <c r="BA103" s="2">
        <v>1</v>
      </c>
      <c r="BB103" s="9">
        <f>2.7/4.45</f>
        <v>0.6067415730337079</v>
      </c>
      <c r="BC103" s="2">
        <v>2</v>
      </c>
      <c r="BD103" s="2">
        <v>1</v>
      </c>
      <c r="BE103" s="2">
        <v>0</v>
      </c>
      <c r="BF103" s="1">
        <v>0</v>
      </c>
      <c r="BG103" s="1" t="s">
        <v>48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3" t="s">
        <v>48</v>
      </c>
      <c r="BQ103" s="13" t="s">
        <v>48</v>
      </c>
      <c r="BR103" s="1">
        <v>0</v>
      </c>
      <c r="BS103" s="1">
        <v>0</v>
      </c>
      <c r="BT103" s="1">
        <v>0</v>
      </c>
      <c r="BU103" s="1">
        <v>1</v>
      </c>
      <c r="BV103" s="2" t="s">
        <v>50</v>
      </c>
      <c r="BW103" s="13">
        <v>0</v>
      </c>
      <c r="BX103" s="1">
        <v>0</v>
      </c>
      <c r="BY103" s="1">
        <v>1</v>
      </c>
      <c r="BZ103" s="1">
        <v>0</v>
      </c>
      <c r="CA103" s="1">
        <v>0</v>
      </c>
      <c r="CB103" s="32" t="s">
        <v>111</v>
      </c>
    </row>
    <row r="104" spans="1:80" s="33" customFormat="1" x14ac:dyDescent="0.3">
      <c r="A104" s="1">
        <v>103</v>
      </c>
      <c r="B104" s="2">
        <v>79</v>
      </c>
      <c r="C104" s="3" t="s">
        <v>46</v>
      </c>
      <c r="D104" s="7" t="s">
        <v>47</v>
      </c>
      <c r="E104" s="3" t="s">
        <v>85</v>
      </c>
      <c r="F104" s="103">
        <v>182.9</v>
      </c>
      <c r="G104" s="30">
        <v>105.2</v>
      </c>
      <c r="H104" s="5">
        <f>G104/(('[1]Maya Nonsaddle'!G104/100)^2)</f>
        <v>31.454538217718412</v>
      </c>
      <c r="I104" s="1">
        <v>1</v>
      </c>
      <c r="J104" s="1">
        <v>5</v>
      </c>
      <c r="K104" s="1">
        <v>2</v>
      </c>
      <c r="L104" s="1">
        <v>0</v>
      </c>
      <c r="M104" s="1">
        <v>85</v>
      </c>
      <c r="N104" s="1">
        <v>0</v>
      </c>
      <c r="O104" s="1">
        <v>124</v>
      </c>
      <c r="P104" s="1">
        <v>0</v>
      </c>
      <c r="Q104" s="1">
        <v>22</v>
      </c>
      <c r="R104" s="1">
        <v>0</v>
      </c>
      <c r="S104" s="30">
        <v>98.1</v>
      </c>
      <c r="T104" s="1">
        <v>0</v>
      </c>
      <c r="U104" s="1">
        <v>97</v>
      </c>
      <c r="V104" s="1">
        <v>1</v>
      </c>
      <c r="W104" s="13">
        <v>0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1</v>
      </c>
      <c r="AD104" s="1">
        <v>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1</v>
      </c>
      <c r="AM104" s="1">
        <v>0</v>
      </c>
      <c r="AN104" s="1">
        <v>1</v>
      </c>
      <c r="AO104" s="1" t="s">
        <v>48</v>
      </c>
      <c r="AP104" s="1" t="s">
        <v>48</v>
      </c>
      <c r="AQ104" s="1">
        <v>1</v>
      </c>
      <c r="AR104" s="1">
        <v>1</v>
      </c>
      <c r="AS104" s="13">
        <v>1</v>
      </c>
      <c r="AT104" s="13">
        <v>1</v>
      </c>
      <c r="AU104" s="13">
        <v>1</v>
      </c>
      <c r="AV104" s="13">
        <v>0</v>
      </c>
      <c r="AW104" s="1" t="s">
        <v>192</v>
      </c>
      <c r="AX104" s="9">
        <f>5.35/4.7</f>
        <v>1.1382978723404253</v>
      </c>
      <c r="AY104" s="47">
        <v>0</v>
      </c>
      <c r="AZ104" s="2">
        <v>0</v>
      </c>
      <c r="BA104" s="2">
        <v>1</v>
      </c>
      <c r="BB104" s="9">
        <f>3.61/3.45</f>
        <v>1.0463768115942027</v>
      </c>
      <c r="BC104" s="2">
        <v>3</v>
      </c>
      <c r="BD104" s="2">
        <v>1</v>
      </c>
      <c r="BE104" s="2">
        <v>1</v>
      </c>
      <c r="BF104" s="1">
        <v>1</v>
      </c>
      <c r="BG104" s="32" t="s">
        <v>112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3" t="s">
        <v>48</v>
      </c>
      <c r="BQ104" s="13" t="s">
        <v>48</v>
      </c>
      <c r="BR104" s="1">
        <v>0</v>
      </c>
      <c r="BS104" s="1">
        <v>0</v>
      </c>
      <c r="BT104" s="1">
        <v>0</v>
      </c>
      <c r="BU104" s="1">
        <v>0</v>
      </c>
      <c r="BV104" s="2" t="s">
        <v>50</v>
      </c>
      <c r="BW104" s="13">
        <v>0</v>
      </c>
      <c r="BX104" s="1">
        <v>0</v>
      </c>
      <c r="BY104" s="1">
        <v>0</v>
      </c>
      <c r="BZ104" s="1">
        <v>0</v>
      </c>
      <c r="CA104" s="1">
        <v>0</v>
      </c>
      <c r="CB104" s="32" t="s">
        <v>55</v>
      </c>
    </row>
    <row r="105" spans="1:80" s="33" customFormat="1" x14ac:dyDescent="0.3">
      <c r="A105" s="1">
        <v>104</v>
      </c>
      <c r="B105" s="2">
        <v>55</v>
      </c>
      <c r="C105" s="3" t="s">
        <v>52</v>
      </c>
      <c r="D105" s="7" t="s">
        <v>53</v>
      </c>
      <c r="E105" s="3" t="s">
        <v>83</v>
      </c>
      <c r="F105" s="103">
        <v>167.6</v>
      </c>
      <c r="G105" s="30">
        <v>90.7</v>
      </c>
      <c r="H105" s="5">
        <f>G105/(('[1]Maya Nonsaddle'!G105/100)^2)</f>
        <v>32.27393966266353</v>
      </c>
      <c r="I105" s="1">
        <v>0</v>
      </c>
      <c r="J105" s="1">
        <v>1</v>
      </c>
      <c r="K105" s="1">
        <v>1</v>
      </c>
      <c r="L105" s="1">
        <v>0</v>
      </c>
      <c r="M105" s="1">
        <v>76</v>
      </c>
      <c r="N105" s="1">
        <v>0</v>
      </c>
      <c r="O105" s="1">
        <v>134</v>
      </c>
      <c r="P105" s="1">
        <v>0</v>
      </c>
      <c r="Q105" s="1">
        <v>20</v>
      </c>
      <c r="R105" s="1">
        <v>0</v>
      </c>
      <c r="S105" s="30">
        <v>97.4</v>
      </c>
      <c r="T105" s="1">
        <v>0</v>
      </c>
      <c r="U105" s="1">
        <v>99</v>
      </c>
      <c r="V105" s="1">
        <v>0</v>
      </c>
      <c r="W105" s="13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 t="s">
        <v>48</v>
      </c>
      <c r="AQ105" s="1">
        <v>0</v>
      </c>
      <c r="AR105" s="1">
        <v>0</v>
      </c>
      <c r="AS105" s="13" t="s">
        <v>48</v>
      </c>
      <c r="AT105" s="13" t="s">
        <v>48</v>
      </c>
      <c r="AU105" s="13" t="s">
        <v>48</v>
      </c>
      <c r="AV105" s="13" t="s">
        <v>48</v>
      </c>
      <c r="AW105" s="1" t="s">
        <v>48</v>
      </c>
      <c r="AX105" s="9">
        <f>3.22/4.07</f>
        <v>0.79115479115479115</v>
      </c>
      <c r="AY105" s="47">
        <v>0</v>
      </c>
      <c r="AZ105" s="2">
        <v>0</v>
      </c>
      <c r="BA105" s="2">
        <v>0</v>
      </c>
      <c r="BB105" s="9">
        <f>2.75/3.06</f>
        <v>0.89869281045751637</v>
      </c>
      <c r="BC105" s="2">
        <v>1</v>
      </c>
      <c r="BD105" s="2">
        <v>1</v>
      </c>
      <c r="BE105" s="2">
        <v>0</v>
      </c>
      <c r="BF105" s="1" t="s">
        <v>48</v>
      </c>
      <c r="BG105" s="1" t="s">
        <v>48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3" t="s">
        <v>48</v>
      </c>
      <c r="BQ105" s="13" t="s">
        <v>48</v>
      </c>
      <c r="BR105" s="1">
        <v>0</v>
      </c>
      <c r="BS105" s="1">
        <v>0</v>
      </c>
      <c r="BT105" s="1">
        <v>0</v>
      </c>
      <c r="BU105" s="1">
        <v>0</v>
      </c>
      <c r="BV105" s="2" t="s">
        <v>50</v>
      </c>
      <c r="BW105" s="13">
        <v>0</v>
      </c>
      <c r="BX105" s="1">
        <v>0</v>
      </c>
      <c r="BY105" s="1">
        <v>1</v>
      </c>
      <c r="BZ105" s="1">
        <v>0</v>
      </c>
      <c r="CA105" s="1">
        <v>0</v>
      </c>
      <c r="CB105" s="32" t="s">
        <v>54</v>
      </c>
    </row>
    <row r="106" spans="1:80" s="33" customFormat="1" x14ac:dyDescent="0.3">
      <c r="A106" s="1">
        <v>105</v>
      </c>
      <c r="B106" s="2">
        <v>58</v>
      </c>
      <c r="C106" s="3" t="s">
        <v>46</v>
      </c>
      <c r="D106" s="7" t="s">
        <v>47</v>
      </c>
      <c r="E106" s="3" t="s">
        <v>77</v>
      </c>
      <c r="F106" s="103">
        <v>188</v>
      </c>
      <c r="G106" s="30">
        <v>81.599999999999994</v>
      </c>
      <c r="H106" s="5">
        <f>G106/(('[1]Maya Nonsaddle'!G106/100)^2)</f>
        <v>23.09719739965411</v>
      </c>
      <c r="I106" s="1">
        <v>1</v>
      </c>
      <c r="J106" s="1">
        <v>4</v>
      </c>
      <c r="K106" s="1">
        <v>1</v>
      </c>
      <c r="L106" s="1">
        <v>1</v>
      </c>
      <c r="M106" s="1">
        <v>113</v>
      </c>
      <c r="N106" s="1">
        <v>0</v>
      </c>
      <c r="O106" s="1">
        <v>144</v>
      </c>
      <c r="P106" s="1">
        <v>0</v>
      </c>
      <c r="Q106" s="1">
        <v>20</v>
      </c>
      <c r="R106" s="1">
        <v>0</v>
      </c>
      <c r="S106" s="30">
        <v>98.1</v>
      </c>
      <c r="T106" s="1">
        <v>0</v>
      </c>
      <c r="U106" s="1">
        <v>97</v>
      </c>
      <c r="V106" s="1">
        <v>0</v>
      </c>
      <c r="W106" s="13">
        <v>0</v>
      </c>
      <c r="X106" s="1">
        <v>0</v>
      </c>
      <c r="Y106" s="1">
        <v>1</v>
      </c>
      <c r="Z106" s="1">
        <v>0</v>
      </c>
      <c r="AA106" s="1">
        <v>0</v>
      </c>
      <c r="AB106" s="1">
        <v>1</v>
      </c>
      <c r="AC106" s="1">
        <v>1</v>
      </c>
      <c r="AD106" s="1">
        <v>1</v>
      </c>
      <c r="AE106" s="1">
        <v>0</v>
      </c>
      <c r="AF106" s="1">
        <v>1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1</v>
      </c>
      <c r="AP106" s="1">
        <v>1</v>
      </c>
      <c r="AQ106" s="1">
        <v>0</v>
      </c>
      <c r="AR106" s="1">
        <v>0</v>
      </c>
      <c r="AS106" s="13">
        <v>0</v>
      </c>
      <c r="AT106" s="13">
        <v>0</v>
      </c>
      <c r="AU106" s="13">
        <v>0</v>
      </c>
      <c r="AV106" s="13">
        <v>0</v>
      </c>
      <c r="AW106" s="1">
        <v>15.4</v>
      </c>
      <c r="AX106" s="9">
        <f>3.59/5.02</f>
        <v>0.71513944223107573</v>
      </c>
      <c r="AY106" s="47">
        <v>0</v>
      </c>
      <c r="AZ106" s="2">
        <v>0</v>
      </c>
      <c r="BA106" s="2">
        <v>0</v>
      </c>
      <c r="BB106" s="9">
        <f>3.12/3.84</f>
        <v>0.81250000000000011</v>
      </c>
      <c r="BC106" s="2">
        <v>1</v>
      </c>
      <c r="BD106" s="2">
        <v>0</v>
      </c>
      <c r="BE106" s="2">
        <v>0</v>
      </c>
      <c r="BF106" s="1">
        <v>0</v>
      </c>
      <c r="BG106" s="1" t="s">
        <v>48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3" t="s">
        <v>48</v>
      </c>
      <c r="BQ106" s="13" t="s">
        <v>48</v>
      </c>
      <c r="BR106" s="1">
        <v>0</v>
      </c>
      <c r="BS106" s="1">
        <v>0</v>
      </c>
      <c r="BT106" s="1">
        <v>0</v>
      </c>
      <c r="BU106" s="1">
        <v>0</v>
      </c>
      <c r="BV106" s="2" t="s">
        <v>50</v>
      </c>
      <c r="BW106" s="13">
        <v>0</v>
      </c>
      <c r="BX106" s="1">
        <v>0</v>
      </c>
      <c r="BY106" s="1">
        <v>1</v>
      </c>
      <c r="BZ106" s="1">
        <v>0</v>
      </c>
      <c r="CA106" s="1">
        <v>0</v>
      </c>
      <c r="CB106" s="32" t="s">
        <v>113</v>
      </c>
    </row>
    <row r="107" spans="1:80" s="33" customFormat="1" x14ac:dyDescent="0.3">
      <c r="A107" s="1">
        <v>106</v>
      </c>
      <c r="B107" s="2">
        <v>23</v>
      </c>
      <c r="C107" s="3" t="s">
        <v>46</v>
      </c>
      <c r="D107" s="7" t="s">
        <v>47</v>
      </c>
      <c r="E107" s="3" t="s">
        <v>77</v>
      </c>
      <c r="F107" s="103">
        <v>170.2</v>
      </c>
      <c r="G107" s="30">
        <v>65.8</v>
      </c>
      <c r="H107" s="5">
        <f>G107/(('[1]Maya Nonsaddle'!G107/100)^2)</f>
        <v>22.72002761871418</v>
      </c>
      <c r="I107" s="1">
        <v>0</v>
      </c>
      <c r="J107" s="1">
        <v>1</v>
      </c>
      <c r="K107" s="1">
        <v>1</v>
      </c>
      <c r="L107" s="1">
        <v>0</v>
      </c>
      <c r="M107" s="1">
        <v>109</v>
      </c>
      <c r="N107" s="1">
        <v>0</v>
      </c>
      <c r="O107" s="1">
        <v>117</v>
      </c>
      <c r="P107" s="1">
        <v>0</v>
      </c>
      <c r="Q107" s="1">
        <v>20</v>
      </c>
      <c r="R107" s="1">
        <v>0</v>
      </c>
      <c r="S107" s="30">
        <v>98.9</v>
      </c>
      <c r="T107" s="1">
        <v>0</v>
      </c>
      <c r="U107" s="1">
        <v>96</v>
      </c>
      <c r="V107" s="1">
        <v>0</v>
      </c>
      <c r="W107" s="13">
        <v>0</v>
      </c>
      <c r="X107" s="1">
        <v>0</v>
      </c>
      <c r="Y107" s="1">
        <v>1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 t="s">
        <v>48</v>
      </c>
      <c r="AP107" s="1" t="s">
        <v>48</v>
      </c>
      <c r="AQ107" s="1" t="s">
        <v>48</v>
      </c>
      <c r="AR107" s="1">
        <v>0</v>
      </c>
      <c r="AS107" s="13" t="s">
        <v>48</v>
      </c>
      <c r="AT107" s="13" t="s">
        <v>48</v>
      </c>
      <c r="AU107" s="13" t="s">
        <v>48</v>
      </c>
      <c r="AV107" s="13" t="s">
        <v>48</v>
      </c>
      <c r="AW107" s="1" t="s">
        <v>48</v>
      </c>
      <c r="AX107" s="9">
        <f>3.13/3.92</f>
        <v>0.79846938775510201</v>
      </c>
      <c r="AY107" s="47">
        <v>0</v>
      </c>
      <c r="AZ107" s="2">
        <v>0</v>
      </c>
      <c r="BA107" s="2">
        <v>0</v>
      </c>
      <c r="BB107" s="9">
        <f>2.16/2.4</f>
        <v>0.90000000000000013</v>
      </c>
      <c r="BC107" s="2">
        <v>2</v>
      </c>
      <c r="BD107" s="2">
        <v>0</v>
      </c>
      <c r="BE107" s="2">
        <v>0</v>
      </c>
      <c r="BF107" s="1" t="s">
        <v>48</v>
      </c>
      <c r="BG107" s="1" t="s">
        <v>48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3" t="s">
        <v>48</v>
      </c>
      <c r="BQ107" s="13" t="s">
        <v>48</v>
      </c>
      <c r="BR107" s="1">
        <v>0</v>
      </c>
      <c r="BS107" s="1">
        <v>0</v>
      </c>
      <c r="BT107" s="1">
        <v>0</v>
      </c>
      <c r="BU107" s="1">
        <v>0</v>
      </c>
      <c r="BV107" s="2" t="s">
        <v>50</v>
      </c>
      <c r="BW107" s="13">
        <v>0</v>
      </c>
      <c r="BX107" s="1">
        <v>0</v>
      </c>
      <c r="BY107" s="1">
        <v>0</v>
      </c>
      <c r="BZ107" s="1">
        <v>0</v>
      </c>
      <c r="CA107" s="1">
        <v>0</v>
      </c>
      <c r="CB107" s="32" t="s">
        <v>54</v>
      </c>
    </row>
    <row r="108" spans="1:80" s="33" customFormat="1" x14ac:dyDescent="0.3">
      <c r="A108" s="1">
        <v>107</v>
      </c>
      <c r="B108" s="2">
        <v>33</v>
      </c>
      <c r="C108" s="3" t="s">
        <v>52</v>
      </c>
      <c r="D108" s="7" t="s">
        <v>47</v>
      </c>
      <c r="E108" s="3" t="s">
        <v>87</v>
      </c>
      <c r="F108" s="103">
        <v>162.6</v>
      </c>
      <c r="G108" s="30">
        <v>82.1</v>
      </c>
      <c r="H108" s="5">
        <f>G108/(('[1]Maya Nonsaddle'!G108/100)^2)</f>
        <v>31.068177370729739</v>
      </c>
      <c r="I108" s="1">
        <v>0</v>
      </c>
      <c r="J108" s="1">
        <v>1</v>
      </c>
      <c r="K108" s="1">
        <v>1</v>
      </c>
      <c r="L108" s="1">
        <v>0</v>
      </c>
      <c r="M108" s="1">
        <v>64</v>
      </c>
      <c r="N108" s="1">
        <v>0</v>
      </c>
      <c r="O108" s="1">
        <v>127</v>
      </c>
      <c r="P108" s="1">
        <v>0</v>
      </c>
      <c r="Q108" s="1">
        <v>18</v>
      </c>
      <c r="R108" s="1" t="s">
        <v>48</v>
      </c>
      <c r="S108" s="30" t="s">
        <v>48</v>
      </c>
      <c r="T108" s="1">
        <v>0</v>
      </c>
      <c r="U108" s="1">
        <v>98</v>
      </c>
      <c r="V108" s="1">
        <v>0</v>
      </c>
      <c r="W108" s="13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1</v>
      </c>
      <c r="AL108" s="1">
        <v>0</v>
      </c>
      <c r="AM108" s="1">
        <v>0</v>
      </c>
      <c r="AN108" s="1">
        <v>0</v>
      </c>
      <c r="AO108" s="1" t="s">
        <v>48</v>
      </c>
      <c r="AP108" s="1" t="s">
        <v>48</v>
      </c>
      <c r="AQ108" s="1" t="s">
        <v>48</v>
      </c>
      <c r="AR108" s="1">
        <v>0</v>
      </c>
      <c r="AS108" s="13" t="s">
        <v>48</v>
      </c>
      <c r="AT108" s="13" t="s">
        <v>48</v>
      </c>
      <c r="AU108" s="13" t="s">
        <v>48</v>
      </c>
      <c r="AV108" s="13" t="s">
        <v>48</v>
      </c>
      <c r="AW108" s="1" t="s">
        <v>48</v>
      </c>
      <c r="AX108" s="9">
        <f>3.68/4.44</f>
        <v>0.8288288288288288</v>
      </c>
      <c r="AY108" s="47">
        <v>0</v>
      </c>
      <c r="AZ108" s="2">
        <v>0</v>
      </c>
      <c r="BA108" s="2">
        <v>0</v>
      </c>
      <c r="BB108" s="9">
        <f>3.03/3.53</f>
        <v>0.85835694050991496</v>
      </c>
      <c r="BC108" s="2">
        <v>4</v>
      </c>
      <c r="BD108" s="2">
        <v>1</v>
      </c>
      <c r="BE108" s="2">
        <v>1</v>
      </c>
      <c r="BF108" s="1">
        <v>0</v>
      </c>
      <c r="BG108" s="1" t="s">
        <v>48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3" t="s">
        <v>48</v>
      </c>
      <c r="BQ108" s="13" t="s">
        <v>48</v>
      </c>
      <c r="BR108" s="1">
        <v>0</v>
      </c>
      <c r="BS108" s="1">
        <v>0</v>
      </c>
      <c r="BT108" s="1">
        <v>0</v>
      </c>
      <c r="BU108" s="1">
        <v>0</v>
      </c>
      <c r="BV108" s="2" t="s">
        <v>57</v>
      </c>
      <c r="BW108" s="13" t="s">
        <v>57</v>
      </c>
      <c r="BX108" s="1">
        <v>0</v>
      </c>
      <c r="BY108" s="1">
        <v>0</v>
      </c>
      <c r="BZ108" s="1">
        <v>0</v>
      </c>
      <c r="CA108" s="1">
        <v>0</v>
      </c>
      <c r="CB108" s="32" t="s">
        <v>55</v>
      </c>
    </row>
    <row r="109" spans="1:80" s="33" customFormat="1" x14ac:dyDescent="0.3">
      <c r="A109" s="1">
        <v>108</v>
      </c>
      <c r="B109" s="2">
        <v>84</v>
      </c>
      <c r="C109" s="3" t="s">
        <v>52</v>
      </c>
      <c r="D109" s="7" t="s">
        <v>47</v>
      </c>
      <c r="E109" s="3" t="s">
        <v>102</v>
      </c>
      <c r="F109" s="103">
        <v>160</v>
      </c>
      <c r="G109" s="30">
        <v>33.700000000000003</v>
      </c>
      <c r="H109" s="5">
        <f>G109/(('[1]Maya Nonsaddle'!G109/100)^2)</f>
        <v>13.160772101337603</v>
      </c>
      <c r="I109" s="1">
        <v>1</v>
      </c>
      <c r="J109" s="1">
        <v>4</v>
      </c>
      <c r="K109" s="1">
        <v>2</v>
      </c>
      <c r="L109" s="1">
        <v>0</v>
      </c>
      <c r="M109" s="1">
        <v>106</v>
      </c>
      <c r="N109" s="1">
        <v>0</v>
      </c>
      <c r="O109" s="1">
        <v>144</v>
      </c>
      <c r="P109" s="1">
        <v>0</v>
      </c>
      <c r="Q109" s="1">
        <v>22</v>
      </c>
      <c r="R109" s="1">
        <v>0</v>
      </c>
      <c r="S109" s="30">
        <v>98.9</v>
      </c>
      <c r="T109" s="1">
        <v>1</v>
      </c>
      <c r="U109" s="1">
        <v>50</v>
      </c>
      <c r="V109" s="1">
        <v>1</v>
      </c>
      <c r="W109" s="13">
        <v>0</v>
      </c>
      <c r="X109" s="1">
        <v>0</v>
      </c>
      <c r="Y109" s="1">
        <v>1</v>
      </c>
      <c r="Z109" s="1">
        <v>0</v>
      </c>
      <c r="AA109" s="1">
        <v>0</v>
      </c>
      <c r="AB109" s="1">
        <v>1</v>
      </c>
      <c r="AC109" s="1">
        <v>1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 t="s">
        <v>48</v>
      </c>
      <c r="AP109" s="1" t="s">
        <v>48</v>
      </c>
      <c r="AQ109" s="1">
        <v>1</v>
      </c>
      <c r="AR109" s="1">
        <v>0</v>
      </c>
      <c r="AS109" s="13" t="s">
        <v>48</v>
      </c>
      <c r="AT109" s="13" t="s">
        <v>48</v>
      </c>
      <c r="AU109" s="13" t="s">
        <v>48</v>
      </c>
      <c r="AV109" s="13" t="s">
        <v>48</v>
      </c>
      <c r="AW109" s="1" t="s">
        <v>48</v>
      </c>
      <c r="AX109" s="9">
        <f>3/4.63</f>
        <v>0.64794816414686829</v>
      </c>
      <c r="AY109" s="47">
        <v>0</v>
      </c>
      <c r="AZ109" s="2">
        <v>0</v>
      </c>
      <c r="BA109" s="2">
        <v>0</v>
      </c>
      <c r="BB109" s="9">
        <f>3.49/2.7</f>
        <v>1.2925925925925925</v>
      </c>
      <c r="BC109" s="2">
        <v>3</v>
      </c>
      <c r="BD109" s="2">
        <v>0</v>
      </c>
      <c r="BE109" s="2">
        <v>0</v>
      </c>
      <c r="BF109" s="1">
        <v>1</v>
      </c>
      <c r="BG109" s="1" t="s">
        <v>114</v>
      </c>
      <c r="BH109" s="1">
        <v>1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3" t="s">
        <v>48</v>
      </c>
      <c r="BQ109" s="13" t="s">
        <v>48</v>
      </c>
      <c r="BR109" s="1">
        <v>0</v>
      </c>
      <c r="BS109" s="1">
        <v>0</v>
      </c>
      <c r="BT109" s="1">
        <v>0</v>
      </c>
      <c r="BU109" s="1">
        <v>0</v>
      </c>
      <c r="BV109" s="2" t="s">
        <v>50</v>
      </c>
      <c r="BW109" s="13">
        <v>0</v>
      </c>
      <c r="BX109" s="1">
        <v>0</v>
      </c>
      <c r="BY109" s="1">
        <v>0</v>
      </c>
      <c r="BZ109" s="1">
        <v>0</v>
      </c>
      <c r="CA109" s="1">
        <v>0</v>
      </c>
      <c r="CB109" s="32" t="s">
        <v>54</v>
      </c>
    </row>
    <row r="110" spans="1:80" s="33" customFormat="1" x14ac:dyDescent="0.3">
      <c r="A110" s="1">
        <v>109</v>
      </c>
      <c r="B110" s="2">
        <v>88</v>
      </c>
      <c r="C110" s="3" t="s">
        <v>52</v>
      </c>
      <c r="D110" s="7" t="s">
        <v>53</v>
      </c>
      <c r="E110" s="3" t="s">
        <v>100</v>
      </c>
      <c r="F110" s="103">
        <v>157.5</v>
      </c>
      <c r="G110" s="30">
        <v>63.9</v>
      </c>
      <c r="H110" s="5">
        <f>G110/(('[1]Maya Nonsaddle'!G110/100)^2)</f>
        <v>25.766180564619194</v>
      </c>
      <c r="I110" s="1">
        <v>1</v>
      </c>
      <c r="J110" s="1">
        <v>3</v>
      </c>
      <c r="K110" s="1">
        <v>2</v>
      </c>
      <c r="L110" s="1">
        <v>0</v>
      </c>
      <c r="M110" s="1">
        <v>63</v>
      </c>
      <c r="N110" s="1">
        <v>0</v>
      </c>
      <c r="O110" s="1">
        <v>174</v>
      </c>
      <c r="P110" s="1">
        <v>0</v>
      </c>
      <c r="Q110" s="1">
        <v>18</v>
      </c>
      <c r="R110" s="1">
        <v>0</v>
      </c>
      <c r="S110" s="30">
        <v>98.3</v>
      </c>
      <c r="T110" s="1">
        <v>0</v>
      </c>
      <c r="U110" s="1">
        <v>97</v>
      </c>
      <c r="V110" s="1">
        <v>0</v>
      </c>
      <c r="W110" s="13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32" t="s">
        <v>106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1</v>
      </c>
      <c r="AQ110" s="1">
        <v>1</v>
      </c>
      <c r="AR110" s="1">
        <v>0</v>
      </c>
      <c r="AS110" s="13">
        <v>0</v>
      </c>
      <c r="AT110" s="13">
        <v>0</v>
      </c>
      <c r="AU110" s="13">
        <v>0</v>
      </c>
      <c r="AV110" s="13">
        <v>0</v>
      </c>
      <c r="AW110" s="1">
        <v>21</v>
      </c>
      <c r="AX110" s="9">
        <f>3.81/3.94</f>
        <v>0.96700507614213205</v>
      </c>
      <c r="AY110" s="47">
        <v>0</v>
      </c>
      <c r="AZ110" s="2">
        <v>0</v>
      </c>
      <c r="BA110" s="2">
        <v>1</v>
      </c>
      <c r="BB110" s="9">
        <f>3.26/4.11</f>
        <v>0.7931873479318734</v>
      </c>
      <c r="BC110" s="2">
        <v>1</v>
      </c>
      <c r="BD110" s="2">
        <v>0</v>
      </c>
      <c r="BE110" s="2">
        <v>1</v>
      </c>
      <c r="BF110" s="1">
        <v>1</v>
      </c>
      <c r="BG110" s="1" t="s">
        <v>94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3" t="s">
        <v>48</v>
      </c>
      <c r="BQ110" s="13" t="s">
        <v>48</v>
      </c>
      <c r="BR110" s="1">
        <v>0</v>
      </c>
      <c r="BS110" s="1">
        <v>0</v>
      </c>
      <c r="BT110" s="1">
        <v>0</v>
      </c>
      <c r="BU110" s="1">
        <v>0</v>
      </c>
      <c r="BV110" s="2" t="s">
        <v>50</v>
      </c>
      <c r="BW110" s="13">
        <v>0</v>
      </c>
      <c r="BX110" s="1">
        <v>0</v>
      </c>
      <c r="BY110" s="1">
        <v>0</v>
      </c>
      <c r="BZ110" s="1">
        <v>0</v>
      </c>
      <c r="CA110" s="1">
        <v>0</v>
      </c>
      <c r="CB110" s="32" t="s">
        <v>54</v>
      </c>
    </row>
    <row r="111" spans="1:80" s="33" customFormat="1" x14ac:dyDescent="0.3">
      <c r="A111" s="1">
        <v>110</v>
      </c>
      <c r="B111" s="2">
        <v>32</v>
      </c>
      <c r="C111" s="3" t="s">
        <v>46</v>
      </c>
      <c r="D111" s="7" t="s">
        <v>47</v>
      </c>
      <c r="E111" s="3" t="s">
        <v>77</v>
      </c>
      <c r="F111" s="103">
        <v>180.3</v>
      </c>
      <c r="G111" s="30">
        <v>69</v>
      </c>
      <c r="H111" s="5">
        <f>G111/(('[1]Maya Nonsaddle'!G111/100)^2)</f>
        <v>21.216070997902754</v>
      </c>
      <c r="I111" s="1">
        <v>0</v>
      </c>
      <c r="J111" s="1">
        <v>1</v>
      </c>
      <c r="K111" s="1">
        <v>4</v>
      </c>
      <c r="L111" s="1">
        <v>0</v>
      </c>
      <c r="M111" s="1">
        <v>75</v>
      </c>
      <c r="N111" s="1">
        <v>0</v>
      </c>
      <c r="O111" s="1">
        <v>109</v>
      </c>
      <c r="P111" s="1">
        <v>0</v>
      </c>
      <c r="Q111" s="1">
        <v>16</v>
      </c>
      <c r="R111" s="1">
        <v>0</v>
      </c>
      <c r="S111" s="30">
        <v>99.2</v>
      </c>
      <c r="T111" s="1">
        <v>0</v>
      </c>
      <c r="U111" s="1">
        <v>95</v>
      </c>
      <c r="V111" s="1">
        <v>0</v>
      </c>
      <c r="W111" s="13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 t="s">
        <v>48</v>
      </c>
      <c r="AP111" s="1" t="s">
        <v>48</v>
      </c>
      <c r="AQ111" s="1" t="s">
        <v>48</v>
      </c>
      <c r="AR111" s="1" t="s">
        <v>48</v>
      </c>
      <c r="AS111" s="13" t="s">
        <v>48</v>
      </c>
      <c r="AT111" s="13" t="s">
        <v>48</v>
      </c>
      <c r="AU111" s="13" t="s">
        <v>48</v>
      </c>
      <c r="AV111" s="13" t="s">
        <v>48</v>
      </c>
      <c r="AW111" s="1" t="s">
        <v>48</v>
      </c>
      <c r="AX111" s="9">
        <f>3.05/4.5</f>
        <v>0.6777777777777777</v>
      </c>
      <c r="AY111" s="47">
        <v>0</v>
      </c>
      <c r="AZ111" s="2">
        <v>0</v>
      </c>
      <c r="BA111" s="2">
        <v>0</v>
      </c>
      <c r="BB111" s="9">
        <f>2.4/2.86</f>
        <v>0.83916083916083917</v>
      </c>
      <c r="BC111" s="2">
        <v>2</v>
      </c>
      <c r="BD111" s="2">
        <v>0</v>
      </c>
      <c r="BE111" s="2">
        <v>0</v>
      </c>
      <c r="BF111" s="1" t="s">
        <v>48</v>
      </c>
      <c r="BG111" s="1" t="s">
        <v>48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3" t="s">
        <v>48</v>
      </c>
      <c r="BQ111" s="13" t="s">
        <v>48</v>
      </c>
      <c r="BR111" s="1">
        <v>0</v>
      </c>
      <c r="BS111" s="1">
        <v>0</v>
      </c>
      <c r="BT111" s="1">
        <v>0</v>
      </c>
      <c r="BU111" s="1">
        <v>0</v>
      </c>
      <c r="BV111" s="2" t="s">
        <v>57</v>
      </c>
      <c r="BW111" s="13" t="s">
        <v>57</v>
      </c>
      <c r="BX111" s="1">
        <v>0</v>
      </c>
      <c r="BY111" s="1">
        <v>0</v>
      </c>
      <c r="BZ111" s="1">
        <v>0</v>
      </c>
      <c r="CA111" s="1">
        <v>0</v>
      </c>
      <c r="CB111" s="32" t="s">
        <v>54</v>
      </c>
    </row>
    <row r="112" spans="1:80" s="33" customFormat="1" x14ac:dyDescent="0.3">
      <c r="A112" s="1">
        <v>111</v>
      </c>
      <c r="B112" s="2">
        <v>62</v>
      </c>
      <c r="C112" s="3" t="s">
        <v>46</v>
      </c>
      <c r="D112" s="7" t="s">
        <v>47</v>
      </c>
      <c r="E112" s="3" t="s">
        <v>77</v>
      </c>
      <c r="F112" s="103">
        <v>177.8</v>
      </c>
      <c r="G112" s="30">
        <v>105.7</v>
      </c>
      <c r="H112" s="5">
        <f>G112/(('[1]Maya Nonsaddle'!G112/100)^2)</f>
        <v>33.435781157276601</v>
      </c>
      <c r="I112" s="1">
        <v>1</v>
      </c>
      <c r="J112" s="1">
        <v>3</v>
      </c>
      <c r="K112" s="1">
        <v>2</v>
      </c>
      <c r="L112" s="1">
        <v>1</v>
      </c>
      <c r="M112" s="1">
        <v>166</v>
      </c>
      <c r="N112" s="1">
        <v>0</v>
      </c>
      <c r="O112" s="1">
        <v>131</v>
      </c>
      <c r="P112" s="1">
        <v>0</v>
      </c>
      <c r="Q112" s="1">
        <v>18</v>
      </c>
      <c r="R112" s="1">
        <v>0</v>
      </c>
      <c r="S112" s="30" t="s">
        <v>48</v>
      </c>
      <c r="T112" s="1" t="s">
        <v>48</v>
      </c>
      <c r="U112" s="1" t="s">
        <v>48</v>
      </c>
      <c r="V112" s="1">
        <v>1</v>
      </c>
      <c r="W112" s="13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>
        <v>0</v>
      </c>
      <c r="AQ112" s="1">
        <v>1</v>
      </c>
      <c r="AR112" s="1">
        <v>0</v>
      </c>
      <c r="AS112" s="13">
        <v>0</v>
      </c>
      <c r="AT112" s="13">
        <v>0</v>
      </c>
      <c r="AU112" s="13">
        <v>0</v>
      </c>
      <c r="AV112" s="13" t="s">
        <v>48</v>
      </c>
      <c r="AW112" s="1">
        <v>29.8</v>
      </c>
      <c r="AX112" s="9">
        <f>3.38/4.45</f>
        <v>0.75955056179775271</v>
      </c>
      <c r="AY112" s="47">
        <v>0</v>
      </c>
      <c r="AZ112" s="2">
        <v>0</v>
      </c>
      <c r="BA112" s="2">
        <v>0</v>
      </c>
      <c r="BB112" s="9">
        <f>3.56/4.31</f>
        <v>0.82598607888631104</v>
      </c>
      <c r="BC112" s="2">
        <v>2</v>
      </c>
      <c r="BD112" s="2">
        <v>0</v>
      </c>
      <c r="BE112" s="2">
        <v>0</v>
      </c>
      <c r="BF112" s="1">
        <v>1</v>
      </c>
      <c r="BG112" s="1" t="s">
        <v>70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3" t="s">
        <v>48</v>
      </c>
      <c r="BQ112" s="13" t="s">
        <v>48</v>
      </c>
      <c r="BR112" s="1">
        <v>0</v>
      </c>
      <c r="BS112" s="1">
        <v>0</v>
      </c>
      <c r="BT112" s="1">
        <v>0</v>
      </c>
      <c r="BU112" s="1">
        <v>0</v>
      </c>
      <c r="BV112" s="2" t="s">
        <v>50</v>
      </c>
      <c r="BW112" s="13">
        <v>0</v>
      </c>
      <c r="BX112" s="1">
        <v>0</v>
      </c>
      <c r="BY112" s="1">
        <v>0</v>
      </c>
      <c r="BZ112" s="1">
        <v>0</v>
      </c>
      <c r="CA112" s="1">
        <v>0</v>
      </c>
      <c r="CB112" s="32" t="s">
        <v>99</v>
      </c>
    </row>
    <row r="113" spans="1:80" s="35" customFormat="1" x14ac:dyDescent="0.3">
      <c r="A113" s="1">
        <v>112</v>
      </c>
      <c r="B113" s="2">
        <v>36</v>
      </c>
      <c r="C113" s="2" t="s">
        <v>46</v>
      </c>
      <c r="D113" s="10" t="s">
        <v>53</v>
      </c>
      <c r="E113" s="2" t="s">
        <v>77</v>
      </c>
      <c r="F113" s="103">
        <v>172.7</v>
      </c>
      <c r="G113" s="5">
        <v>90.7</v>
      </c>
      <c r="H113" s="5">
        <f>G113/(('[1]Maya Nonsaddle'!G113/100)^2)</f>
        <v>30.403391256609503</v>
      </c>
      <c r="I113" s="13">
        <v>0</v>
      </c>
      <c r="J113" s="13">
        <v>1</v>
      </c>
      <c r="K113" s="13">
        <v>1</v>
      </c>
      <c r="L113" s="13">
        <v>0</v>
      </c>
      <c r="M113" s="13">
        <v>105</v>
      </c>
      <c r="N113" s="13">
        <v>0</v>
      </c>
      <c r="O113" s="13">
        <v>136</v>
      </c>
      <c r="P113" s="13">
        <v>0</v>
      </c>
      <c r="Q113" s="13">
        <v>20</v>
      </c>
      <c r="R113" s="13">
        <v>0</v>
      </c>
      <c r="S113" s="5">
        <v>99.8</v>
      </c>
      <c r="T113" s="13">
        <v>0</v>
      </c>
      <c r="U113" s="13">
        <v>91</v>
      </c>
      <c r="V113" s="13">
        <v>0</v>
      </c>
      <c r="W113" s="13">
        <v>0</v>
      </c>
      <c r="X113" s="13">
        <v>0</v>
      </c>
      <c r="Y113" s="13">
        <v>1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1</v>
      </c>
      <c r="AL113" s="13">
        <v>0</v>
      </c>
      <c r="AM113" s="13">
        <v>0</v>
      </c>
      <c r="AN113" s="13">
        <v>0</v>
      </c>
      <c r="AO113" s="13" t="s">
        <v>48</v>
      </c>
      <c r="AP113" s="13" t="s">
        <v>48</v>
      </c>
      <c r="AQ113" s="13" t="s">
        <v>48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 t="s">
        <v>192</v>
      </c>
      <c r="AX113" s="9">
        <f>3.43/4.55</f>
        <v>0.75384615384615394</v>
      </c>
      <c r="AY113" s="47">
        <v>0</v>
      </c>
      <c r="AZ113" s="2">
        <v>0</v>
      </c>
      <c r="BA113" s="2">
        <v>0</v>
      </c>
      <c r="BB113" s="9">
        <f>2.76/3.29</f>
        <v>0.83890577507598774</v>
      </c>
      <c r="BC113" s="2">
        <v>1</v>
      </c>
      <c r="BD113" s="2">
        <v>0</v>
      </c>
      <c r="BE113" s="2">
        <v>0</v>
      </c>
      <c r="BF113" s="13">
        <v>0</v>
      </c>
      <c r="BG113" s="13" t="s">
        <v>48</v>
      </c>
      <c r="BH113" s="13">
        <v>0</v>
      </c>
      <c r="BI113" s="1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 t="s">
        <v>48</v>
      </c>
      <c r="BQ113" s="13" t="s">
        <v>48</v>
      </c>
      <c r="BR113" s="13">
        <v>0</v>
      </c>
      <c r="BS113" s="13">
        <v>0</v>
      </c>
      <c r="BT113" s="1">
        <v>0</v>
      </c>
      <c r="BU113" s="13">
        <v>0</v>
      </c>
      <c r="BV113" s="2" t="s">
        <v>50</v>
      </c>
      <c r="BW113" s="13" t="s">
        <v>57</v>
      </c>
      <c r="BX113" s="13">
        <v>0</v>
      </c>
      <c r="BY113" s="13">
        <v>1</v>
      </c>
      <c r="BZ113" s="13">
        <v>0</v>
      </c>
      <c r="CA113" s="13">
        <v>0</v>
      </c>
      <c r="CB113" s="34" t="s">
        <v>55</v>
      </c>
    </row>
    <row r="114" spans="1:80" s="35" customFormat="1" x14ac:dyDescent="0.3">
      <c r="A114" s="1">
        <v>113</v>
      </c>
      <c r="B114" s="2">
        <v>62</v>
      </c>
      <c r="C114" s="2" t="s">
        <v>52</v>
      </c>
      <c r="D114" s="10" t="s">
        <v>53</v>
      </c>
      <c r="E114" s="2" t="s">
        <v>83</v>
      </c>
      <c r="F114" s="103">
        <v>157.5</v>
      </c>
      <c r="G114" s="5">
        <v>66.400000000000006</v>
      </c>
      <c r="H114" s="5">
        <f>G114/(('[1]Maya Nonsaddle'!G114/100)^2)</f>
        <v>26.774247096881293</v>
      </c>
      <c r="I114" s="13">
        <v>1</v>
      </c>
      <c r="J114" s="13">
        <v>3</v>
      </c>
      <c r="K114" s="13">
        <v>4</v>
      </c>
      <c r="L114" s="13">
        <v>0</v>
      </c>
      <c r="M114" s="13">
        <v>100</v>
      </c>
      <c r="N114" s="13">
        <v>0</v>
      </c>
      <c r="O114" s="13">
        <v>151</v>
      </c>
      <c r="P114" s="13">
        <v>0</v>
      </c>
      <c r="Q114" s="13">
        <v>16</v>
      </c>
      <c r="R114" s="13">
        <v>0</v>
      </c>
      <c r="S114" s="5">
        <v>98.4</v>
      </c>
      <c r="T114" s="13">
        <v>0</v>
      </c>
      <c r="U114" s="13">
        <v>100</v>
      </c>
      <c r="V114" s="13">
        <v>0</v>
      </c>
      <c r="W114" s="13">
        <v>0</v>
      </c>
      <c r="X114" s="13">
        <v>0</v>
      </c>
      <c r="Y114" s="13">
        <v>0</v>
      </c>
      <c r="Z114" s="13">
        <v>1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1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1</v>
      </c>
      <c r="AP114" s="13">
        <v>1</v>
      </c>
      <c r="AQ114" s="13" t="s">
        <v>48</v>
      </c>
      <c r="AR114" s="13" t="s">
        <v>48</v>
      </c>
      <c r="AS114" s="13" t="s">
        <v>48</v>
      </c>
      <c r="AT114" s="13" t="s">
        <v>48</v>
      </c>
      <c r="AU114" s="13" t="s">
        <v>48</v>
      </c>
      <c r="AV114" s="13" t="s">
        <v>48</v>
      </c>
      <c r="AW114" s="13" t="s">
        <v>48</v>
      </c>
      <c r="AX114" s="9">
        <f>3.55/5.28</f>
        <v>0.67234848484848475</v>
      </c>
      <c r="AY114" s="47">
        <v>0</v>
      </c>
      <c r="AZ114" s="2">
        <v>0</v>
      </c>
      <c r="BA114" s="2">
        <v>0</v>
      </c>
      <c r="BB114" s="9">
        <f>2.93/3.09</f>
        <v>0.94822006472491915</v>
      </c>
      <c r="BC114" s="2">
        <v>3</v>
      </c>
      <c r="BD114" s="2">
        <v>0</v>
      </c>
      <c r="BE114" s="2">
        <v>0</v>
      </c>
      <c r="BF114" s="13" t="s">
        <v>48</v>
      </c>
      <c r="BG114" s="13" t="s">
        <v>48</v>
      </c>
      <c r="BH114" s="13">
        <v>0</v>
      </c>
      <c r="BI114" s="1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 t="s">
        <v>48</v>
      </c>
      <c r="BQ114" s="13" t="s">
        <v>48</v>
      </c>
      <c r="BR114" s="13">
        <v>1</v>
      </c>
      <c r="BS114" s="34" t="s">
        <v>115</v>
      </c>
      <c r="BT114" s="13">
        <v>1</v>
      </c>
      <c r="BU114" s="13">
        <v>1</v>
      </c>
      <c r="BV114" s="2" t="s">
        <v>50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34" t="s">
        <v>60</v>
      </c>
    </row>
    <row r="115" spans="1:80" s="35" customFormat="1" x14ac:dyDescent="0.3">
      <c r="A115" s="1">
        <v>114</v>
      </c>
      <c r="B115" s="2">
        <v>63</v>
      </c>
      <c r="C115" s="2" t="s">
        <v>46</v>
      </c>
      <c r="D115" s="10" t="s">
        <v>53</v>
      </c>
      <c r="E115" s="2" t="s">
        <v>98</v>
      </c>
      <c r="F115" s="103">
        <v>190.5</v>
      </c>
      <c r="G115" s="5">
        <v>90.3</v>
      </c>
      <c r="H115" s="5">
        <f>G115/(('[1]Maya Nonsaddle'!G115/100)^2)</f>
        <v>24.882716432099532</v>
      </c>
      <c r="I115" s="13">
        <v>1</v>
      </c>
      <c r="J115" s="13">
        <v>5</v>
      </c>
      <c r="K115" s="13">
        <v>1</v>
      </c>
      <c r="L115" s="13">
        <v>1</v>
      </c>
      <c r="M115" s="13">
        <v>125</v>
      </c>
      <c r="N115" s="13">
        <v>1</v>
      </c>
      <c r="O115" s="13">
        <v>96</v>
      </c>
      <c r="P115" s="13">
        <v>0</v>
      </c>
      <c r="Q115" s="13">
        <v>20</v>
      </c>
      <c r="R115" s="13">
        <v>0</v>
      </c>
      <c r="S115" s="5">
        <v>99.4</v>
      </c>
      <c r="T115" s="13">
        <v>0</v>
      </c>
      <c r="U115" s="13">
        <v>98</v>
      </c>
      <c r="V115" s="13">
        <v>0</v>
      </c>
      <c r="W115" s="13">
        <v>0</v>
      </c>
      <c r="X115" s="13">
        <v>0</v>
      </c>
      <c r="Y115" s="13">
        <v>0</v>
      </c>
      <c r="Z115" s="13">
        <v>1</v>
      </c>
      <c r="AA115" s="13">
        <v>0</v>
      </c>
      <c r="AB115" s="13">
        <v>0</v>
      </c>
      <c r="AC115" s="13">
        <v>1</v>
      </c>
      <c r="AD115" s="13">
        <v>1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1</v>
      </c>
      <c r="AP115" s="13">
        <v>0</v>
      </c>
      <c r="AQ115" s="13" t="s">
        <v>48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22.6</v>
      </c>
      <c r="AX115" s="9">
        <f>4.43/5.52</f>
        <v>0.80253623188405798</v>
      </c>
      <c r="AY115" s="47">
        <v>0</v>
      </c>
      <c r="AZ115" s="2">
        <v>0</v>
      </c>
      <c r="BA115" s="2">
        <v>0</v>
      </c>
      <c r="BB115" s="9">
        <f>3.99/4.19</f>
        <v>0.95226730310262531</v>
      </c>
      <c r="BC115" s="2">
        <v>1</v>
      </c>
      <c r="BD115" s="2">
        <v>0</v>
      </c>
      <c r="BE115" s="2">
        <v>0</v>
      </c>
      <c r="BF115" s="13">
        <v>0</v>
      </c>
      <c r="BG115" s="13">
        <v>0</v>
      </c>
      <c r="BH115" s="13">
        <v>0</v>
      </c>
      <c r="BI115" s="1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 t="s">
        <v>48</v>
      </c>
      <c r="BQ115" s="13" t="s">
        <v>48</v>
      </c>
      <c r="BR115" s="13">
        <v>0</v>
      </c>
      <c r="BS115" s="13">
        <v>0</v>
      </c>
      <c r="BT115" s="13">
        <v>0</v>
      </c>
      <c r="BU115" s="13">
        <v>0</v>
      </c>
      <c r="BV115" s="2" t="s">
        <v>50</v>
      </c>
      <c r="BW115" s="13" t="s">
        <v>48</v>
      </c>
      <c r="BX115" s="13">
        <v>0</v>
      </c>
      <c r="BY115" s="13">
        <v>1</v>
      </c>
      <c r="BZ115" s="13">
        <v>0</v>
      </c>
      <c r="CA115" s="13">
        <v>0</v>
      </c>
      <c r="CB115" s="34" t="s">
        <v>60</v>
      </c>
    </row>
    <row r="116" spans="1:80" s="33" customFormat="1" x14ac:dyDescent="0.3">
      <c r="A116" s="1">
        <v>115</v>
      </c>
      <c r="B116" s="2">
        <v>30</v>
      </c>
      <c r="C116" s="3" t="s">
        <v>46</v>
      </c>
      <c r="D116" s="7" t="s">
        <v>53</v>
      </c>
      <c r="E116" s="3" t="s">
        <v>74</v>
      </c>
      <c r="F116" s="103">
        <v>170.2</v>
      </c>
      <c r="G116" s="30">
        <v>64.7</v>
      </c>
      <c r="H116" s="5">
        <f>G116/(('[1]Maya Nonsaddle'!G116/100)^2)</f>
        <v>22.340209527823824</v>
      </c>
      <c r="I116" s="1">
        <v>0</v>
      </c>
      <c r="J116" s="1">
        <v>1</v>
      </c>
      <c r="K116" s="1">
        <v>1</v>
      </c>
      <c r="L116" s="1">
        <v>0</v>
      </c>
      <c r="M116" s="1">
        <v>67</v>
      </c>
      <c r="N116" s="1">
        <v>0</v>
      </c>
      <c r="O116" s="1">
        <v>111</v>
      </c>
      <c r="P116" s="1">
        <v>0</v>
      </c>
      <c r="Q116" s="1">
        <v>18</v>
      </c>
      <c r="R116" s="1">
        <v>0</v>
      </c>
      <c r="S116" s="30">
        <v>98.4</v>
      </c>
      <c r="T116" s="1">
        <v>0</v>
      </c>
      <c r="U116" s="1">
        <v>95</v>
      </c>
      <c r="V116" s="1">
        <v>0</v>
      </c>
      <c r="W116" s="13">
        <v>0</v>
      </c>
      <c r="X116" s="1">
        <v>0</v>
      </c>
      <c r="Y116" s="1">
        <v>1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 t="s">
        <v>48</v>
      </c>
      <c r="AP116" s="1" t="s">
        <v>48</v>
      </c>
      <c r="AQ116" s="1">
        <v>0</v>
      </c>
      <c r="AR116" s="1">
        <v>0</v>
      </c>
      <c r="AS116" s="13" t="s">
        <v>48</v>
      </c>
      <c r="AT116" s="13" t="s">
        <v>48</v>
      </c>
      <c r="AU116" s="13" t="s">
        <v>48</v>
      </c>
      <c r="AV116" s="13" t="s">
        <v>48</v>
      </c>
      <c r="AW116" s="1" t="s">
        <v>48</v>
      </c>
      <c r="AX116" s="9">
        <f>2.2/4.2</f>
        <v>0.52380952380952384</v>
      </c>
      <c r="AY116" s="47">
        <v>0</v>
      </c>
      <c r="AZ116" s="2">
        <v>0</v>
      </c>
      <c r="BA116" s="2">
        <v>0</v>
      </c>
      <c r="BB116" s="9">
        <f>3.02/2.65</f>
        <v>1.1396226415094339</v>
      </c>
      <c r="BC116" s="2">
        <v>2</v>
      </c>
      <c r="BD116" s="2">
        <v>0</v>
      </c>
      <c r="BE116" s="2">
        <v>0</v>
      </c>
      <c r="BF116" s="1" t="s">
        <v>48</v>
      </c>
      <c r="BG116" s="1" t="s">
        <v>48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3" t="s">
        <v>48</v>
      </c>
      <c r="BQ116" s="13" t="s">
        <v>48</v>
      </c>
      <c r="BR116" s="1">
        <v>0</v>
      </c>
      <c r="BS116" s="1">
        <v>0</v>
      </c>
      <c r="BT116" s="13">
        <v>0</v>
      </c>
      <c r="BU116" s="1">
        <v>0</v>
      </c>
      <c r="BV116" s="2" t="s">
        <v>57</v>
      </c>
      <c r="BW116" s="13" t="s">
        <v>57</v>
      </c>
      <c r="BX116" s="1">
        <v>0</v>
      </c>
      <c r="BY116" s="1">
        <v>1</v>
      </c>
      <c r="BZ116" s="1">
        <v>0</v>
      </c>
      <c r="CA116" s="1">
        <v>0</v>
      </c>
      <c r="CB116" s="32" t="s">
        <v>54</v>
      </c>
    </row>
    <row r="117" spans="1:80" s="35" customFormat="1" x14ac:dyDescent="0.3">
      <c r="A117" s="1">
        <v>116</v>
      </c>
      <c r="B117" s="2" t="s">
        <v>116</v>
      </c>
      <c r="C117" s="2" t="s">
        <v>46</v>
      </c>
      <c r="D117" s="10" t="s">
        <v>53</v>
      </c>
      <c r="E117" s="2" t="s">
        <v>74</v>
      </c>
      <c r="F117" s="103">
        <v>182.9</v>
      </c>
      <c r="G117" s="5">
        <v>90.7</v>
      </c>
      <c r="H117" s="5">
        <f>G117/(('[1]Maya Nonsaddle'!G117/100)^2)</f>
        <v>27.119074299876996</v>
      </c>
      <c r="I117" s="13">
        <v>0</v>
      </c>
      <c r="J117" s="13">
        <v>1</v>
      </c>
      <c r="K117" s="13">
        <v>1</v>
      </c>
      <c r="L117" s="13">
        <v>0</v>
      </c>
      <c r="M117" s="13">
        <v>77</v>
      </c>
      <c r="N117" s="13">
        <v>0</v>
      </c>
      <c r="O117" s="13">
        <v>165</v>
      </c>
      <c r="P117" s="13">
        <v>0</v>
      </c>
      <c r="Q117" s="13">
        <v>28</v>
      </c>
      <c r="R117" s="13">
        <v>0</v>
      </c>
      <c r="S117" s="5">
        <v>98.4</v>
      </c>
      <c r="T117" s="13">
        <v>0</v>
      </c>
      <c r="U117" s="13">
        <v>98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1</v>
      </c>
      <c r="AL117" s="13">
        <v>0</v>
      </c>
      <c r="AM117" s="13">
        <v>0</v>
      </c>
      <c r="AN117" s="13">
        <v>0</v>
      </c>
      <c r="AO117" s="13">
        <v>1</v>
      </c>
      <c r="AP117" s="13">
        <v>1</v>
      </c>
      <c r="AQ117" s="13" t="s">
        <v>48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28.8</v>
      </c>
      <c r="AX117" s="9">
        <f>3.66/4.91</f>
        <v>0.74541751527494904</v>
      </c>
      <c r="AY117" s="47">
        <v>0</v>
      </c>
      <c r="AZ117" s="2">
        <v>0</v>
      </c>
      <c r="BA117" s="2">
        <v>0</v>
      </c>
      <c r="BB117" s="9">
        <f>2.96/3.2</f>
        <v>0.92499999999999993</v>
      </c>
      <c r="BC117" s="2">
        <v>2</v>
      </c>
      <c r="BD117" s="2">
        <v>0</v>
      </c>
      <c r="BE117" s="2">
        <v>0</v>
      </c>
      <c r="BF117" s="13">
        <v>0</v>
      </c>
      <c r="BG117" s="13" t="s">
        <v>48</v>
      </c>
      <c r="BH117" s="13">
        <v>0</v>
      </c>
      <c r="BI117" s="1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 t="s">
        <v>48</v>
      </c>
      <c r="BQ117" s="13" t="s">
        <v>48</v>
      </c>
      <c r="BR117" s="13">
        <v>0</v>
      </c>
      <c r="BS117" s="13">
        <v>0</v>
      </c>
      <c r="BT117" s="13">
        <v>0</v>
      </c>
      <c r="BU117" s="13">
        <v>0</v>
      </c>
      <c r="BV117" s="2" t="s">
        <v>57</v>
      </c>
      <c r="BW117" s="13" t="s">
        <v>57</v>
      </c>
      <c r="BX117" s="13">
        <v>0</v>
      </c>
      <c r="BY117" s="13">
        <v>0</v>
      </c>
      <c r="BZ117" s="13">
        <v>0</v>
      </c>
      <c r="CA117" s="13">
        <v>0</v>
      </c>
      <c r="CB117" s="34" t="s">
        <v>55</v>
      </c>
    </row>
    <row r="118" spans="1:80" s="33" customFormat="1" x14ac:dyDescent="0.3">
      <c r="A118" s="1">
        <v>117</v>
      </c>
      <c r="B118" s="2">
        <v>35</v>
      </c>
      <c r="C118" s="3" t="s">
        <v>46</v>
      </c>
      <c r="D118" s="7" t="s">
        <v>47</v>
      </c>
      <c r="E118" s="3" t="s">
        <v>74</v>
      </c>
      <c r="F118" s="103">
        <v>188</v>
      </c>
      <c r="G118" s="30">
        <v>152</v>
      </c>
      <c r="H118" s="5">
        <f>G118/(('[1]Maya Nonsaddle'!G118/100)^2)</f>
        <v>43.024191234649813</v>
      </c>
      <c r="I118" s="1">
        <v>0</v>
      </c>
      <c r="J118" s="1">
        <v>1</v>
      </c>
      <c r="K118" s="1">
        <v>2</v>
      </c>
      <c r="L118" s="1">
        <v>0</v>
      </c>
      <c r="M118" s="1">
        <v>101</v>
      </c>
      <c r="N118" s="1">
        <v>0</v>
      </c>
      <c r="O118" s="1">
        <v>153</v>
      </c>
      <c r="P118" s="1">
        <v>0</v>
      </c>
      <c r="Q118" s="1">
        <v>19</v>
      </c>
      <c r="R118" s="1">
        <v>0</v>
      </c>
      <c r="S118" s="30">
        <v>98</v>
      </c>
      <c r="T118" s="1">
        <v>0</v>
      </c>
      <c r="U118" s="1">
        <v>93</v>
      </c>
      <c r="V118" s="1">
        <v>0</v>
      </c>
      <c r="W118" s="13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 t="s">
        <v>48</v>
      </c>
      <c r="AQ118" s="1">
        <v>0</v>
      </c>
      <c r="AR118" s="1">
        <v>1</v>
      </c>
      <c r="AS118" s="13">
        <v>1</v>
      </c>
      <c r="AT118" s="13">
        <v>1</v>
      </c>
      <c r="AU118" s="13">
        <v>1</v>
      </c>
      <c r="AV118" s="13">
        <v>0</v>
      </c>
      <c r="AW118" s="1" t="s">
        <v>192</v>
      </c>
      <c r="AX118" s="9">
        <f>5.42/4.85</f>
        <v>1.1175257731958763</v>
      </c>
      <c r="AY118" s="47">
        <v>0</v>
      </c>
      <c r="AZ118" s="2">
        <v>0</v>
      </c>
      <c r="BA118" s="2">
        <v>1</v>
      </c>
      <c r="BB118" s="9">
        <f>3.25/3.69</f>
        <v>0.8807588075880759</v>
      </c>
      <c r="BC118" s="2">
        <v>2</v>
      </c>
      <c r="BD118" s="2">
        <v>1</v>
      </c>
      <c r="BE118" s="2">
        <v>1</v>
      </c>
      <c r="BF118" s="1">
        <v>0</v>
      </c>
      <c r="BG118" s="1" t="s">
        <v>48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3" t="s">
        <v>48</v>
      </c>
      <c r="BQ118" s="13" t="s">
        <v>48</v>
      </c>
      <c r="BR118" s="1">
        <v>0</v>
      </c>
      <c r="BS118" s="1">
        <v>0</v>
      </c>
      <c r="BT118" s="13">
        <v>0</v>
      </c>
      <c r="BU118" s="1">
        <v>0</v>
      </c>
      <c r="BV118" s="2" t="s">
        <v>50</v>
      </c>
      <c r="BW118" s="13">
        <v>0</v>
      </c>
      <c r="BX118" s="1">
        <v>0</v>
      </c>
      <c r="BY118" s="1">
        <v>0</v>
      </c>
      <c r="BZ118" s="1">
        <v>0</v>
      </c>
      <c r="CA118" s="1">
        <v>0</v>
      </c>
      <c r="CB118" s="32" t="s">
        <v>54</v>
      </c>
    </row>
    <row r="119" spans="1:80" s="33" customFormat="1" x14ac:dyDescent="0.3">
      <c r="A119" s="1">
        <v>118</v>
      </c>
      <c r="B119" s="2">
        <v>71</v>
      </c>
      <c r="C119" s="3" t="s">
        <v>46</v>
      </c>
      <c r="D119" s="7" t="s">
        <v>47</v>
      </c>
      <c r="E119" s="3" t="s">
        <v>76</v>
      </c>
      <c r="F119" s="103">
        <v>185.4</v>
      </c>
      <c r="G119" s="8">
        <v>93.4</v>
      </c>
      <c r="H119" s="5">
        <f>G119/(('[1]Maya Nonsaddle'!G119/100)^2)</f>
        <v>27.166502071791907</v>
      </c>
      <c r="I119" s="1">
        <v>0</v>
      </c>
      <c r="J119" s="1">
        <v>2</v>
      </c>
      <c r="K119" s="1">
        <v>1</v>
      </c>
      <c r="L119" s="1">
        <v>0</v>
      </c>
      <c r="M119" s="1">
        <v>80</v>
      </c>
      <c r="N119" s="1">
        <v>0</v>
      </c>
      <c r="O119" s="1">
        <v>169</v>
      </c>
      <c r="P119" s="1">
        <v>0</v>
      </c>
      <c r="Q119" s="1">
        <v>20</v>
      </c>
      <c r="R119" s="1">
        <v>0</v>
      </c>
      <c r="S119" s="30">
        <v>98.7</v>
      </c>
      <c r="T119" s="1">
        <v>0</v>
      </c>
      <c r="U119" s="1">
        <v>100</v>
      </c>
      <c r="V119" s="1">
        <v>0</v>
      </c>
      <c r="W119" s="13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1</v>
      </c>
      <c r="AL119" s="1">
        <v>0</v>
      </c>
      <c r="AM119" s="1">
        <v>0</v>
      </c>
      <c r="AN119" s="1">
        <v>0</v>
      </c>
      <c r="AO119" s="1">
        <v>1</v>
      </c>
      <c r="AP119" s="1">
        <v>1</v>
      </c>
      <c r="AQ119" s="1">
        <v>0</v>
      </c>
      <c r="AR119" s="1">
        <v>0</v>
      </c>
      <c r="AS119" s="94">
        <v>0</v>
      </c>
      <c r="AT119" s="94">
        <v>0</v>
      </c>
      <c r="AU119" s="94">
        <v>0</v>
      </c>
      <c r="AV119" s="94">
        <v>0</v>
      </c>
      <c r="AW119" s="1">
        <v>30.1</v>
      </c>
      <c r="AX119" s="9">
        <f>5.12/4.6</f>
        <v>1.1130434782608696</v>
      </c>
      <c r="AY119" s="47">
        <v>0</v>
      </c>
      <c r="AZ119" s="2">
        <v>0</v>
      </c>
      <c r="BA119" s="2">
        <v>1</v>
      </c>
      <c r="BB119" s="9">
        <f>3.34/3.72</f>
        <v>0.89784946236559127</v>
      </c>
      <c r="BC119" s="2">
        <v>2</v>
      </c>
      <c r="BD119" s="2">
        <v>0</v>
      </c>
      <c r="BE119" s="2">
        <v>0</v>
      </c>
      <c r="BF119" s="1">
        <v>1</v>
      </c>
      <c r="BG119" s="1" t="s">
        <v>94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1</v>
      </c>
      <c r="BP119" s="1">
        <v>0</v>
      </c>
      <c r="BQ119" s="1">
        <v>1</v>
      </c>
      <c r="BR119" s="1">
        <v>0</v>
      </c>
      <c r="BS119" s="1">
        <v>0</v>
      </c>
      <c r="BT119" s="13">
        <v>0</v>
      </c>
      <c r="BU119" s="1" t="s">
        <v>117</v>
      </c>
      <c r="BV119" s="2" t="s">
        <v>50</v>
      </c>
      <c r="BW119" s="13">
        <v>0</v>
      </c>
      <c r="BX119" s="1">
        <v>0</v>
      </c>
      <c r="BY119" s="1">
        <v>1</v>
      </c>
      <c r="BZ119" s="1">
        <v>0</v>
      </c>
      <c r="CA119" s="1">
        <v>0</v>
      </c>
      <c r="CB119" s="32" t="s">
        <v>55</v>
      </c>
    </row>
    <row r="120" spans="1:80" s="33" customFormat="1" x14ac:dyDescent="0.3">
      <c r="A120" s="1">
        <v>119</v>
      </c>
      <c r="B120" s="2">
        <v>64</v>
      </c>
      <c r="C120" s="3" t="s">
        <v>46</v>
      </c>
      <c r="D120" s="7" t="s">
        <v>53</v>
      </c>
      <c r="E120" s="3" t="s">
        <v>83</v>
      </c>
      <c r="F120" s="103">
        <v>193</v>
      </c>
      <c r="G120" s="8">
        <v>99.8</v>
      </c>
      <c r="H120" s="5">
        <v>40.242015967902901</v>
      </c>
      <c r="I120" s="1">
        <v>1</v>
      </c>
      <c r="J120" s="1">
        <v>2</v>
      </c>
      <c r="K120" s="1">
        <v>1</v>
      </c>
      <c r="L120" s="1">
        <v>0</v>
      </c>
      <c r="M120" s="1">
        <v>77</v>
      </c>
      <c r="N120" s="1">
        <v>0</v>
      </c>
      <c r="O120" s="1">
        <v>140</v>
      </c>
      <c r="P120" s="1">
        <v>0</v>
      </c>
      <c r="Q120" s="1">
        <v>16</v>
      </c>
      <c r="R120" s="1">
        <v>0</v>
      </c>
      <c r="S120" s="30">
        <v>98.5</v>
      </c>
      <c r="T120" s="1">
        <v>0</v>
      </c>
      <c r="U120" s="1">
        <v>91</v>
      </c>
      <c r="V120" s="1">
        <v>1</v>
      </c>
      <c r="W120" s="13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1</v>
      </c>
      <c r="AD120" s="1">
        <v>0</v>
      </c>
      <c r="AE120" s="1">
        <v>0</v>
      </c>
      <c r="AF120" s="1">
        <v>0</v>
      </c>
      <c r="AG120" s="1">
        <v>0</v>
      </c>
      <c r="AH120" s="1">
        <v>1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 t="s">
        <v>48</v>
      </c>
      <c r="AQ120" s="1">
        <v>0</v>
      </c>
      <c r="AR120" s="1">
        <v>0</v>
      </c>
      <c r="AS120" s="13">
        <v>0</v>
      </c>
      <c r="AT120" s="13">
        <v>0</v>
      </c>
      <c r="AU120" s="13">
        <v>0</v>
      </c>
      <c r="AV120" s="13">
        <v>0</v>
      </c>
      <c r="AW120" s="1">
        <v>41</v>
      </c>
      <c r="AX120" s="9">
        <f>4.54/4.7</f>
        <v>0.96595744680851059</v>
      </c>
      <c r="AY120" s="47">
        <v>0</v>
      </c>
      <c r="AZ120" s="2">
        <v>0</v>
      </c>
      <c r="BA120" s="2">
        <v>1</v>
      </c>
      <c r="BB120" s="9">
        <f>2.29/4.4</f>
        <v>0.52045454545454539</v>
      </c>
      <c r="BC120" s="2">
        <v>2</v>
      </c>
      <c r="BD120" s="2">
        <v>0</v>
      </c>
      <c r="BE120" s="2">
        <v>0</v>
      </c>
      <c r="BF120" s="1">
        <v>1</v>
      </c>
      <c r="BG120" s="1" t="s">
        <v>89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 t="s">
        <v>48</v>
      </c>
      <c r="BQ120" s="1" t="s">
        <v>48</v>
      </c>
      <c r="BR120" s="1">
        <v>0</v>
      </c>
      <c r="BS120" s="1">
        <v>0</v>
      </c>
      <c r="BT120" s="13">
        <v>0</v>
      </c>
      <c r="BU120" s="1">
        <v>0</v>
      </c>
      <c r="BV120" s="2" t="s">
        <v>57</v>
      </c>
      <c r="BW120" s="13" t="s">
        <v>57</v>
      </c>
      <c r="BX120" s="1">
        <v>0</v>
      </c>
      <c r="BY120" s="1">
        <v>1</v>
      </c>
      <c r="BZ120" s="1">
        <v>0</v>
      </c>
      <c r="CA120" s="1">
        <v>0</v>
      </c>
      <c r="CB120" s="32" t="s">
        <v>84</v>
      </c>
    </row>
    <row r="121" spans="1:80" s="33" customFormat="1" x14ac:dyDescent="0.3">
      <c r="A121" s="1">
        <v>120</v>
      </c>
      <c r="B121" s="2">
        <v>20</v>
      </c>
      <c r="C121" s="3" t="s">
        <v>52</v>
      </c>
      <c r="D121" s="7" t="s">
        <v>53</v>
      </c>
      <c r="E121" s="3" t="s">
        <v>87</v>
      </c>
      <c r="F121" s="103">
        <v>157.5</v>
      </c>
      <c r="G121" s="8">
        <v>81.599999999999994</v>
      </c>
      <c r="H121" s="5">
        <v>22.485378304089942</v>
      </c>
      <c r="I121" s="1">
        <v>1</v>
      </c>
      <c r="J121" s="1">
        <v>3</v>
      </c>
      <c r="K121" s="1">
        <v>3</v>
      </c>
      <c r="L121" s="1">
        <v>1</v>
      </c>
      <c r="M121" s="1">
        <v>139</v>
      </c>
      <c r="N121" s="1">
        <v>0</v>
      </c>
      <c r="O121" s="1">
        <v>118</v>
      </c>
      <c r="P121" s="1" t="s">
        <v>48</v>
      </c>
      <c r="Q121" s="1" t="s">
        <v>48</v>
      </c>
      <c r="R121" s="1" t="s">
        <v>48</v>
      </c>
      <c r="S121" s="30" t="s">
        <v>48</v>
      </c>
      <c r="T121" s="1">
        <v>0</v>
      </c>
      <c r="U121" s="1">
        <v>97</v>
      </c>
      <c r="V121" s="1">
        <v>0</v>
      </c>
      <c r="W121" s="13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</v>
      </c>
      <c r="AO121" s="1" t="s">
        <v>48</v>
      </c>
      <c r="AP121" s="1" t="s">
        <v>48</v>
      </c>
      <c r="AQ121" s="1" t="s">
        <v>48</v>
      </c>
      <c r="AR121" s="1">
        <v>1</v>
      </c>
      <c r="AS121" s="13" t="s">
        <v>48</v>
      </c>
      <c r="AT121" s="13" t="s">
        <v>48</v>
      </c>
      <c r="AU121" s="13" t="s">
        <v>48</v>
      </c>
      <c r="AV121" s="13" t="s">
        <v>48</v>
      </c>
      <c r="AW121" s="1" t="s">
        <v>192</v>
      </c>
      <c r="AX121" s="9">
        <f>4.72/3.52</f>
        <v>1.3409090909090908</v>
      </c>
      <c r="AY121" s="47">
        <v>0</v>
      </c>
      <c r="AZ121" s="2">
        <v>0</v>
      </c>
      <c r="BA121" s="2">
        <v>1</v>
      </c>
      <c r="BB121" s="9">
        <f>2.31/2.8</f>
        <v>0.82500000000000007</v>
      </c>
      <c r="BC121" s="2">
        <v>3</v>
      </c>
      <c r="BD121" s="2">
        <v>1</v>
      </c>
      <c r="BE121" s="2">
        <v>0</v>
      </c>
      <c r="BF121" s="1">
        <v>1</v>
      </c>
      <c r="BG121" s="1" t="s">
        <v>118</v>
      </c>
      <c r="BH121" s="1">
        <v>1</v>
      </c>
      <c r="BI121" s="1">
        <v>0</v>
      </c>
      <c r="BJ121" s="1">
        <v>1</v>
      </c>
      <c r="BK121" s="1">
        <v>1</v>
      </c>
      <c r="BL121" s="1">
        <v>0</v>
      </c>
      <c r="BM121" s="1">
        <v>1</v>
      </c>
      <c r="BN121" s="1">
        <v>1</v>
      </c>
      <c r="BO121" s="1">
        <v>0</v>
      </c>
      <c r="BP121" s="1">
        <v>1</v>
      </c>
      <c r="BQ121" s="1">
        <v>1</v>
      </c>
      <c r="BR121" s="1">
        <v>0</v>
      </c>
      <c r="BS121" s="1">
        <v>0</v>
      </c>
      <c r="BT121" s="13">
        <v>0</v>
      </c>
      <c r="BU121" s="1">
        <v>0</v>
      </c>
      <c r="BV121" s="2" t="s">
        <v>82</v>
      </c>
      <c r="BW121" s="13" t="s">
        <v>48</v>
      </c>
      <c r="BX121" s="1" t="s">
        <v>48</v>
      </c>
      <c r="BY121" s="1" t="s">
        <v>48</v>
      </c>
      <c r="BZ121" s="1">
        <v>0</v>
      </c>
      <c r="CA121" s="1" t="s">
        <v>48</v>
      </c>
      <c r="CB121" s="32" t="s">
        <v>108</v>
      </c>
    </row>
    <row r="122" spans="1:80" s="33" customFormat="1" x14ac:dyDescent="0.3">
      <c r="A122" s="1">
        <v>121</v>
      </c>
      <c r="B122" s="2">
        <v>81</v>
      </c>
      <c r="C122" s="3" t="s">
        <v>46</v>
      </c>
      <c r="D122" s="7" t="s">
        <v>47</v>
      </c>
      <c r="E122" s="3" t="s">
        <v>109</v>
      </c>
      <c r="F122" s="103">
        <v>190.5</v>
      </c>
      <c r="G122" s="8">
        <v>102.1</v>
      </c>
      <c r="H122" s="5">
        <v>26.691738321914823</v>
      </c>
      <c r="I122" s="1">
        <v>1</v>
      </c>
      <c r="J122" s="1">
        <v>5</v>
      </c>
      <c r="K122" s="1">
        <v>2</v>
      </c>
      <c r="L122" s="1">
        <v>0</v>
      </c>
      <c r="M122" s="1">
        <v>74</v>
      </c>
      <c r="N122" s="1">
        <v>0</v>
      </c>
      <c r="O122" s="1">
        <v>136</v>
      </c>
      <c r="P122" s="1">
        <v>0</v>
      </c>
      <c r="Q122" s="1">
        <v>22</v>
      </c>
      <c r="R122" s="1">
        <v>0</v>
      </c>
      <c r="S122" s="30">
        <v>98</v>
      </c>
      <c r="T122" s="1">
        <v>1</v>
      </c>
      <c r="U122" s="1" t="s">
        <v>48</v>
      </c>
      <c r="V122" s="1">
        <v>1</v>
      </c>
      <c r="W122" s="13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1</v>
      </c>
      <c r="AC122" s="1">
        <v>1</v>
      </c>
      <c r="AD122" s="1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1</v>
      </c>
      <c r="AQ122" s="1">
        <v>1</v>
      </c>
      <c r="AR122" s="1">
        <v>1</v>
      </c>
      <c r="AS122" s="13">
        <v>1</v>
      </c>
      <c r="AT122" s="13">
        <v>1</v>
      </c>
      <c r="AU122" s="13">
        <v>1</v>
      </c>
      <c r="AV122" s="13">
        <v>0</v>
      </c>
      <c r="AW122" s="1">
        <v>87</v>
      </c>
      <c r="AX122" s="9">
        <f>4.97/4.07</f>
        <v>1.2211302211302211</v>
      </c>
      <c r="AY122" s="47">
        <v>0</v>
      </c>
      <c r="AZ122" s="2">
        <v>0</v>
      </c>
      <c r="BA122" s="2">
        <v>1</v>
      </c>
      <c r="BB122" s="9">
        <f>3.87/3.76</f>
        <v>1.0292553191489362</v>
      </c>
      <c r="BC122" s="2">
        <v>2</v>
      </c>
      <c r="BD122" s="2">
        <v>1</v>
      </c>
      <c r="BE122" s="2">
        <v>1</v>
      </c>
      <c r="BF122" s="1">
        <v>1</v>
      </c>
      <c r="BG122" s="1" t="s">
        <v>119</v>
      </c>
      <c r="BH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1</v>
      </c>
      <c r="BP122" s="1">
        <v>0</v>
      </c>
      <c r="BQ122" s="1">
        <v>1</v>
      </c>
      <c r="BR122" s="1">
        <v>0</v>
      </c>
      <c r="BS122" s="1">
        <v>0</v>
      </c>
      <c r="BT122" s="13">
        <v>0</v>
      </c>
      <c r="BU122" s="1">
        <v>0</v>
      </c>
      <c r="BV122" s="2" t="s">
        <v>50</v>
      </c>
      <c r="BW122" s="13">
        <v>0</v>
      </c>
      <c r="BX122" s="1">
        <v>1</v>
      </c>
      <c r="BY122" s="1">
        <v>0</v>
      </c>
      <c r="BZ122" s="1">
        <v>0</v>
      </c>
      <c r="CA122" s="1">
        <v>0</v>
      </c>
      <c r="CB122" s="32" t="s">
        <v>54</v>
      </c>
    </row>
    <row r="123" spans="1:80" s="33" customFormat="1" x14ac:dyDescent="0.3">
      <c r="A123" s="1">
        <v>122</v>
      </c>
      <c r="B123" s="2">
        <v>50</v>
      </c>
      <c r="C123" s="3" t="s">
        <v>46</v>
      </c>
      <c r="D123" s="7" t="s">
        <v>120</v>
      </c>
      <c r="E123" s="3" t="s">
        <v>76</v>
      </c>
      <c r="F123" s="103">
        <v>195.6</v>
      </c>
      <c r="G123" s="8">
        <v>179</v>
      </c>
      <c r="H123" s="5">
        <v>72.177563709966137</v>
      </c>
      <c r="I123" s="1">
        <v>0</v>
      </c>
      <c r="J123" s="1">
        <v>1</v>
      </c>
      <c r="K123" s="1">
        <v>1</v>
      </c>
      <c r="L123" s="1">
        <v>0</v>
      </c>
      <c r="M123" s="1">
        <v>66</v>
      </c>
      <c r="N123" s="1">
        <v>0</v>
      </c>
      <c r="O123" s="1">
        <v>198</v>
      </c>
      <c r="P123" s="1">
        <v>0</v>
      </c>
      <c r="Q123" s="1">
        <v>22</v>
      </c>
      <c r="R123" s="1">
        <v>0</v>
      </c>
      <c r="S123" s="30">
        <v>97.7</v>
      </c>
      <c r="T123" s="1">
        <v>0</v>
      </c>
      <c r="U123" s="1">
        <v>96</v>
      </c>
      <c r="V123" s="1">
        <v>0</v>
      </c>
      <c r="W123" s="13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1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 t="s">
        <v>48</v>
      </c>
      <c r="AQ123" s="1">
        <v>0</v>
      </c>
      <c r="AR123" s="1">
        <v>0</v>
      </c>
      <c r="AS123" s="13">
        <v>0</v>
      </c>
      <c r="AT123" s="13">
        <v>0</v>
      </c>
      <c r="AU123" s="13">
        <v>0</v>
      </c>
      <c r="AV123" s="13">
        <v>1</v>
      </c>
      <c r="AW123" s="1" t="s">
        <v>192</v>
      </c>
      <c r="AX123" s="9">
        <f>4.3/5.13</f>
        <v>0.83820662768031184</v>
      </c>
      <c r="AY123" s="47">
        <v>0</v>
      </c>
      <c r="AZ123" s="2">
        <v>0</v>
      </c>
      <c r="BA123" s="2">
        <v>0</v>
      </c>
      <c r="BB123" s="9">
        <f>3.06/3.53</f>
        <v>0.86685552407932021</v>
      </c>
      <c r="BC123" s="2">
        <v>3</v>
      </c>
      <c r="BD123" s="2">
        <v>0</v>
      </c>
      <c r="BE123" s="2">
        <v>1</v>
      </c>
      <c r="BF123" s="1">
        <v>0</v>
      </c>
      <c r="BG123" s="1" t="s">
        <v>48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 t="s">
        <v>48</v>
      </c>
      <c r="BQ123" s="1" t="s">
        <v>48</v>
      </c>
      <c r="BR123" s="1">
        <v>0</v>
      </c>
      <c r="BS123" s="1">
        <v>0</v>
      </c>
      <c r="BT123" s="13">
        <v>0</v>
      </c>
      <c r="BU123" s="1">
        <v>0</v>
      </c>
      <c r="BV123" s="2" t="s">
        <v>50</v>
      </c>
      <c r="BW123" s="13">
        <v>0</v>
      </c>
      <c r="BX123" s="1">
        <v>0</v>
      </c>
      <c r="BY123" s="1">
        <v>1</v>
      </c>
      <c r="BZ123" s="1">
        <v>0</v>
      </c>
      <c r="CA123" s="1">
        <v>0</v>
      </c>
      <c r="CB123" s="32" t="s">
        <v>54</v>
      </c>
    </row>
    <row r="124" spans="1:80" x14ac:dyDescent="0.3">
      <c r="A124" s="1">
        <v>123</v>
      </c>
      <c r="B124" s="2">
        <v>55</v>
      </c>
      <c r="C124" s="3" t="s">
        <v>52</v>
      </c>
      <c r="D124" s="7" t="s">
        <v>53</v>
      </c>
      <c r="E124" s="3" t="s">
        <v>87</v>
      </c>
      <c r="F124" s="103">
        <v>157.5</v>
      </c>
      <c r="G124" s="8">
        <v>130.80000000000001</v>
      </c>
      <c r="H124" s="5">
        <v>47.985894788357626</v>
      </c>
      <c r="I124" s="1">
        <v>0</v>
      </c>
      <c r="J124" s="1">
        <v>1</v>
      </c>
      <c r="K124" s="1">
        <v>1</v>
      </c>
      <c r="L124" s="1">
        <v>0</v>
      </c>
      <c r="M124" s="1">
        <v>98</v>
      </c>
      <c r="N124" s="1">
        <v>0</v>
      </c>
      <c r="O124" s="1">
        <v>160</v>
      </c>
      <c r="P124" s="1">
        <v>0</v>
      </c>
      <c r="Q124" s="1">
        <v>18</v>
      </c>
      <c r="R124" s="1">
        <v>0</v>
      </c>
      <c r="S124" s="30">
        <v>98.6</v>
      </c>
      <c r="T124" s="1">
        <v>0</v>
      </c>
      <c r="U124" s="1">
        <v>100</v>
      </c>
      <c r="V124" s="1">
        <v>0</v>
      </c>
      <c r="W124" s="13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1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1</v>
      </c>
      <c r="AP124" s="1">
        <v>1</v>
      </c>
      <c r="AQ124" s="1">
        <v>0</v>
      </c>
      <c r="AR124" s="1">
        <v>0</v>
      </c>
      <c r="AS124" s="13" t="s">
        <v>48</v>
      </c>
      <c r="AT124" s="13" t="s">
        <v>48</v>
      </c>
      <c r="AU124" s="13" t="s">
        <v>48</v>
      </c>
      <c r="AV124" s="13" t="s">
        <v>48</v>
      </c>
      <c r="AW124" s="1" t="s">
        <v>48</v>
      </c>
      <c r="AX124" s="44">
        <f>3.36/4.8</f>
        <v>0.7</v>
      </c>
      <c r="AY124" s="92">
        <v>0</v>
      </c>
      <c r="AZ124" s="2">
        <v>0</v>
      </c>
      <c r="BA124" s="2">
        <v>0</v>
      </c>
      <c r="BB124" s="44">
        <f>2.83/3.64</f>
        <v>0.77747252747252749</v>
      </c>
      <c r="BC124" s="43">
        <v>1</v>
      </c>
      <c r="BD124" s="43">
        <v>0</v>
      </c>
      <c r="BE124" s="43">
        <v>0</v>
      </c>
      <c r="BF124" s="1">
        <v>0</v>
      </c>
      <c r="BG124" s="1" t="s">
        <v>48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 t="s">
        <v>48</v>
      </c>
      <c r="BQ124" s="1" t="s">
        <v>48</v>
      </c>
      <c r="BR124" s="1">
        <v>0</v>
      </c>
      <c r="BS124" s="1">
        <v>0</v>
      </c>
      <c r="BT124" s="13">
        <v>0</v>
      </c>
      <c r="BU124" s="1">
        <v>0</v>
      </c>
      <c r="BV124" s="2" t="s">
        <v>50</v>
      </c>
      <c r="BW124" s="13">
        <v>0</v>
      </c>
      <c r="BX124" s="1">
        <v>0</v>
      </c>
      <c r="BY124" s="1">
        <v>0</v>
      </c>
      <c r="BZ124" s="1">
        <v>0</v>
      </c>
      <c r="CA124" s="1">
        <v>0</v>
      </c>
      <c r="CB124" s="32" t="s">
        <v>55</v>
      </c>
    </row>
    <row r="125" spans="1:80" s="33" customFormat="1" x14ac:dyDescent="0.3">
      <c r="A125" s="1">
        <v>124</v>
      </c>
      <c r="B125" s="2" t="s">
        <v>121</v>
      </c>
      <c r="C125" s="3" t="s">
        <v>46</v>
      </c>
      <c r="D125" s="7" t="s">
        <v>47</v>
      </c>
      <c r="E125" s="3" t="s">
        <v>85</v>
      </c>
      <c r="F125" s="103">
        <v>165.1</v>
      </c>
      <c r="G125" s="8">
        <v>91.7</v>
      </c>
      <c r="H125" s="5">
        <v>31.663017213314443</v>
      </c>
      <c r="I125" s="1">
        <v>0</v>
      </c>
      <c r="J125" s="1">
        <v>2</v>
      </c>
      <c r="K125" s="1">
        <v>1</v>
      </c>
      <c r="L125" s="1">
        <v>0</v>
      </c>
      <c r="M125" s="1">
        <v>76</v>
      </c>
      <c r="N125" s="1">
        <v>0</v>
      </c>
      <c r="O125" s="1">
        <v>105</v>
      </c>
      <c r="P125" s="1">
        <v>0</v>
      </c>
      <c r="Q125" s="1">
        <v>24</v>
      </c>
      <c r="R125" s="1">
        <v>0</v>
      </c>
      <c r="S125" s="30">
        <v>97.8</v>
      </c>
      <c r="T125" s="1">
        <v>0</v>
      </c>
      <c r="U125" s="1">
        <v>97</v>
      </c>
      <c r="V125" s="1">
        <v>0</v>
      </c>
      <c r="W125" s="13">
        <v>0</v>
      </c>
      <c r="X125" s="1">
        <v>0</v>
      </c>
      <c r="Y125" s="1">
        <v>1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 t="s">
        <v>48</v>
      </c>
      <c r="AQ125" s="1" t="s">
        <v>48</v>
      </c>
      <c r="AR125" s="1">
        <v>0</v>
      </c>
      <c r="AS125" s="13">
        <v>0</v>
      </c>
      <c r="AT125" s="13">
        <v>0</v>
      </c>
      <c r="AU125" s="13">
        <v>0</v>
      </c>
      <c r="AV125" s="13">
        <v>0</v>
      </c>
      <c r="AW125" s="1" t="s">
        <v>192</v>
      </c>
      <c r="AX125" s="9">
        <f>3.02/4.7</f>
        <v>0.64255319148936163</v>
      </c>
      <c r="AY125" s="47">
        <v>0</v>
      </c>
      <c r="AZ125" s="2">
        <v>0</v>
      </c>
      <c r="BA125" s="2">
        <v>0</v>
      </c>
      <c r="BB125" s="9">
        <f>2.68/3.09</f>
        <v>0.86731391585760531</v>
      </c>
      <c r="BC125" s="2">
        <v>3</v>
      </c>
      <c r="BD125" s="2">
        <v>0</v>
      </c>
      <c r="BE125" s="2">
        <v>0</v>
      </c>
      <c r="BF125" s="1">
        <v>0</v>
      </c>
      <c r="BG125" s="1" t="s">
        <v>48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 t="s">
        <v>48</v>
      </c>
      <c r="BQ125" s="1" t="s">
        <v>48</v>
      </c>
      <c r="BR125" s="1">
        <v>0</v>
      </c>
      <c r="BS125" s="1">
        <v>0</v>
      </c>
      <c r="BT125" s="13">
        <v>0</v>
      </c>
      <c r="BU125" s="1">
        <v>0</v>
      </c>
      <c r="BV125" s="2" t="s">
        <v>50</v>
      </c>
      <c r="BW125" s="13">
        <v>0</v>
      </c>
      <c r="BX125" s="1">
        <v>0</v>
      </c>
      <c r="BY125" s="1">
        <v>1</v>
      </c>
      <c r="BZ125" s="1">
        <v>0</v>
      </c>
      <c r="CA125" s="1">
        <v>0</v>
      </c>
      <c r="CB125" s="32" t="s">
        <v>54</v>
      </c>
    </row>
    <row r="126" spans="1:80" x14ac:dyDescent="0.3">
      <c r="A126" s="1">
        <v>125</v>
      </c>
      <c r="B126" s="2" t="s">
        <v>122</v>
      </c>
      <c r="C126" s="3" t="s">
        <v>52</v>
      </c>
      <c r="D126" s="7" t="s">
        <v>53</v>
      </c>
      <c r="E126" s="3" t="s">
        <v>77</v>
      </c>
      <c r="F126" s="103">
        <v>170.2</v>
      </c>
      <c r="G126" s="8">
        <v>94.4</v>
      </c>
      <c r="H126" s="5">
        <f>G126/(145/100)^2</f>
        <v>44.898929845422117</v>
      </c>
      <c r="I126" s="1">
        <v>0</v>
      </c>
      <c r="J126" s="1">
        <v>1</v>
      </c>
      <c r="K126" s="1">
        <v>1</v>
      </c>
      <c r="L126" s="1">
        <v>0</v>
      </c>
      <c r="M126" s="1">
        <v>87</v>
      </c>
      <c r="N126" s="1">
        <v>0</v>
      </c>
      <c r="O126" s="1">
        <v>121</v>
      </c>
      <c r="P126" s="1">
        <v>0</v>
      </c>
      <c r="Q126" s="1">
        <v>23</v>
      </c>
      <c r="R126" s="1">
        <v>0</v>
      </c>
      <c r="S126" s="30">
        <v>98.1</v>
      </c>
      <c r="T126" s="1">
        <v>0</v>
      </c>
      <c r="U126" s="1">
        <v>99</v>
      </c>
      <c r="V126" s="1">
        <v>0</v>
      </c>
      <c r="W126" s="13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0</v>
      </c>
      <c r="AM126" s="1">
        <v>0</v>
      </c>
      <c r="AN126" s="1">
        <v>0</v>
      </c>
      <c r="AO126" s="1">
        <v>0</v>
      </c>
      <c r="AP126" s="1" t="s">
        <v>48</v>
      </c>
      <c r="AQ126" s="1" t="s">
        <v>48</v>
      </c>
      <c r="AR126" s="1">
        <v>0</v>
      </c>
      <c r="AS126" s="13">
        <v>0</v>
      </c>
      <c r="AT126" s="13">
        <v>0</v>
      </c>
      <c r="AU126" s="13">
        <v>0</v>
      </c>
      <c r="AV126" s="13">
        <v>0</v>
      </c>
      <c r="AW126" s="1">
        <v>27</v>
      </c>
      <c r="AX126" s="9">
        <f>3.08/3.95</f>
        <v>0.77974683544303791</v>
      </c>
      <c r="AY126" s="47">
        <v>0</v>
      </c>
      <c r="AZ126" s="2">
        <v>0</v>
      </c>
      <c r="BA126" s="2">
        <v>0</v>
      </c>
      <c r="BB126" s="9">
        <f>2.08/2.42</f>
        <v>0.85950413223140498</v>
      </c>
      <c r="BC126" s="2">
        <v>2</v>
      </c>
      <c r="BD126" s="2">
        <v>0</v>
      </c>
      <c r="BE126" s="2">
        <v>0</v>
      </c>
      <c r="BF126" s="1">
        <v>0</v>
      </c>
      <c r="BG126" s="1" t="s">
        <v>48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 t="s">
        <v>48</v>
      </c>
      <c r="BQ126" s="1" t="s">
        <v>48</v>
      </c>
      <c r="BR126" s="1">
        <v>0</v>
      </c>
      <c r="BS126" s="1">
        <v>0</v>
      </c>
      <c r="BT126" s="13">
        <v>0</v>
      </c>
      <c r="BU126" s="1">
        <v>0</v>
      </c>
      <c r="BV126" s="2" t="s">
        <v>50</v>
      </c>
      <c r="BW126" s="13">
        <v>1</v>
      </c>
      <c r="BX126" s="1">
        <v>0</v>
      </c>
      <c r="BY126" s="1">
        <v>0</v>
      </c>
      <c r="BZ126" s="1">
        <v>0</v>
      </c>
      <c r="CA126" s="1">
        <v>0</v>
      </c>
      <c r="CB126" s="32" t="s">
        <v>123</v>
      </c>
    </row>
    <row r="127" spans="1:80" s="33" customFormat="1" x14ac:dyDescent="0.3">
      <c r="A127" s="1">
        <v>126</v>
      </c>
      <c r="B127" s="2">
        <v>26</v>
      </c>
      <c r="C127" s="3" t="s">
        <v>52</v>
      </c>
      <c r="D127" s="7" t="s">
        <v>47</v>
      </c>
      <c r="E127" s="3" t="s">
        <v>87</v>
      </c>
      <c r="F127" s="103">
        <v>167.6</v>
      </c>
      <c r="G127" s="8">
        <v>77.599999999999994</v>
      </c>
      <c r="H127" s="5">
        <f>G127/(('[1]Maya Nonsaddle'!G127/100)^2)</f>
        <v>27.612543746666919</v>
      </c>
      <c r="I127" s="1">
        <v>0</v>
      </c>
      <c r="J127" s="1">
        <v>1</v>
      </c>
      <c r="K127" s="1">
        <v>1</v>
      </c>
      <c r="L127" s="1">
        <v>0</v>
      </c>
      <c r="M127" s="1">
        <v>96</v>
      </c>
      <c r="N127" s="1">
        <v>0</v>
      </c>
      <c r="O127" s="1">
        <v>127</v>
      </c>
      <c r="P127" s="1">
        <v>0</v>
      </c>
      <c r="Q127" s="1">
        <v>16</v>
      </c>
      <c r="R127" s="1">
        <v>0</v>
      </c>
      <c r="S127" s="30">
        <v>97.8</v>
      </c>
      <c r="T127" s="1">
        <v>0</v>
      </c>
      <c r="U127" s="1">
        <v>100</v>
      </c>
      <c r="V127" s="1">
        <v>0</v>
      </c>
      <c r="W127" s="13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1</v>
      </c>
      <c r="AL127" s="1">
        <v>0</v>
      </c>
      <c r="AM127" s="1">
        <v>0</v>
      </c>
      <c r="AN127" s="1">
        <v>0</v>
      </c>
      <c r="AO127" s="1" t="s">
        <v>48</v>
      </c>
      <c r="AP127" s="1" t="s">
        <v>48</v>
      </c>
      <c r="AQ127" s="1">
        <v>0</v>
      </c>
      <c r="AR127" s="1">
        <v>0</v>
      </c>
      <c r="AS127" s="13" t="s">
        <v>48</v>
      </c>
      <c r="AT127" s="13" t="s">
        <v>48</v>
      </c>
      <c r="AU127" s="13" t="s">
        <v>48</v>
      </c>
      <c r="AV127" s="13" t="s">
        <v>48</v>
      </c>
      <c r="AW127" s="1" t="s">
        <v>48</v>
      </c>
      <c r="AX127" s="9">
        <f>3.1/3.83</f>
        <v>0.80939947780678856</v>
      </c>
      <c r="AY127" s="47">
        <v>0</v>
      </c>
      <c r="AZ127" s="2">
        <v>0</v>
      </c>
      <c r="BA127" s="2">
        <v>0</v>
      </c>
      <c r="BB127" s="9">
        <f>2.81/2.92</f>
        <v>0.96232876712328774</v>
      </c>
      <c r="BC127" s="2">
        <v>1</v>
      </c>
      <c r="BD127" s="2">
        <v>0</v>
      </c>
      <c r="BE127" s="2">
        <v>0</v>
      </c>
      <c r="BF127" s="1">
        <v>0</v>
      </c>
      <c r="BG127" s="1" t="s">
        <v>48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 t="s">
        <v>48</v>
      </c>
      <c r="BQ127" s="1" t="s">
        <v>48</v>
      </c>
      <c r="BR127" s="1">
        <v>0</v>
      </c>
      <c r="BS127" s="1">
        <v>0</v>
      </c>
      <c r="BT127" s="13">
        <v>0</v>
      </c>
      <c r="BU127" s="1">
        <v>0</v>
      </c>
      <c r="BV127" s="2" t="s">
        <v>50</v>
      </c>
      <c r="BW127" s="13">
        <v>0</v>
      </c>
      <c r="BX127" s="1">
        <v>0</v>
      </c>
      <c r="BY127" s="1">
        <v>0</v>
      </c>
      <c r="BZ127" s="1">
        <v>0</v>
      </c>
      <c r="CA127" s="1">
        <v>0</v>
      </c>
      <c r="CB127" s="32" t="s">
        <v>55</v>
      </c>
    </row>
    <row r="128" spans="1:80" s="35" customFormat="1" x14ac:dyDescent="0.3">
      <c r="A128" s="1">
        <v>127</v>
      </c>
      <c r="B128" s="2" t="s">
        <v>116</v>
      </c>
      <c r="C128" s="2" t="s">
        <v>52</v>
      </c>
      <c r="D128" s="10" t="s">
        <v>53</v>
      </c>
      <c r="E128" s="2" t="s">
        <v>87</v>
      </c>
      <c r="F128" s="103">
        <v>167.6</v>
      </c>
      <c r="G128" s="16">
        <v>97.6</v>
      </c>
      <c r="H128" s="5">
        <f>G128/(('[1]Maya Nonsaddle'!G128/100)^2)</f>
        <v>34.729178732921284</v>
      </c>
      <c r="I128" s="13">
        <v>0</v>
      </c>
      <c r="J128" s="13">
        <v>1</v>
      </c>
      <c r="K128" s="13">
        <v>2</v>
      </c>
      <c r="L128" s="13">
        <v>0</v>
      </c>
      <c r="M128" s="13">
        <v>100</v>
      </c>
      <c r="N128" s="13">
        <v>0</v>
      </c>
      <c r="O128" s="13">
        <v>113</v>
      </c>
      <c r="P128" s="13">
        <v>0</v>
      </c>
      <c r="Q128" s="13">
        <v>20</v>
      </c>
      <c r="R128" s="13">
        <v>0</v>
      </c>
      <c r="S128" s="5">
        <v>99.1</v>
      </c>
      <c r="T128" s="13">
        <v>0</v>
      </c>
      <c r="U128" s="13">
        <v>100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1</v>
      </c>
      <c r="AP128" s="13">
        <v>1</v>
      </c>
      <c r="AQ128" s="13" t="s">
        <v>48</v>
      </c>
      <c r="AR128" s="13">
        <v>0</v>
      </c>
      <c r="AS128" s="13">
        <v>1</v>
      </c>
      <c r="AT128" s="13">
        <v>0</v>
      </c>
      <c r="AU128" s="13">
        <v>0</v>
      </c>
      <c r="AV128" s="13">
        <v>0</v>
      </c>
      <c r="AW128" s="13">
        <v>30</v>
      </c>
      <c r="AX128" s="9">
        <f>3.67/4.56</f>
        <v>0.80482456140350878</v>
      </c>
      <c r="AY128" s="47">
        <v>0</v>
      </c>
      <c r="AZ128" s="2">
        <v>0</v>
      </c>
      <c r="BA128" s="2">
        <v>0</v>
      </c>
      <c r="BB128" s="9">
        <f>2.57/2.91</f>
        <v>0.88316151202749127</v>
      </c>
      <c r="BC128" s="2">
        <v>1</v>
      </c>
      <c r="BD128" s="2">
        <v>0</v>
      </c>
      <c r="BE128" s="2">
        <v>0</v>
      </c>
      <c r="BF128" s="13">
        <v>0</v>
      </c>
      <c r="BG128" s="13" t="s">
        <v>48</v>
      </c>
      <c r="BH128" s="13">
        <v>0</v>
      </c>
      <c r="BI128" s="1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 t="s">
        <v>48</v>
      </c>
      <c r="BQ128" s="13" t="s">
        <v>48</v>
      </c>
      <c r="BR128" s="13">
        <v>0</v>
      </c>
      <c r="BS128" s="13">
        <v>0</v>
      </c>
      <c r="BT128" s="13">
        <v>0</v>
      </c>
      <c r="BU128" s="13">
        <v>0</v>
      </c>
      <c r="BV128" s="2" t="s">
        <v>57</v>
      </c>
      <c r="BW128" s="13" t="s">
        <v>57</v>
      </c>
      <c r="BX128" s="13">
        <v>0</v>
      </c>
      <c r="BY128" s="13">
        <v>1</v>
      </c>
      <c r="BZ128" s="13">
        <v>0</v>
      </c>
      <c r="CA128" s="13">
        <v>0</v>
      </c>
      <c r="CB128" s="34" t="s">
        <v>108</v>
      </c>
    </row>
    <row r="129" spans="1:80" s="33" customFormat="1" x14ac:dyDescent="0.3">
      <c r="A129" s="1">
        <v>128</v>
      </c>
      <c r="B129" s="2" t="s">
        <v>124</v>
      </c>
      <c r="C129" s="3" t="s">
        <v>46</v>
      </c>
      <c r="D129" s="7" t="s">
        <v>53</v>
      </c>
      <c r="E129" s="3" t="s">
        <v>74</v>
      </c>
      <c r="F129" s="103">
        <v>185.4</v>
      </c>
      <c r="G129" s="8">
        <v>111.1</v>
      </c>
      <c r="H129" s="5">
        <f>G129/(('[1]Maya Nonsaddle'!G129/100)^2)</f>
        <v>32.314757817731056</v>
      </c>
      <c r="I129" s="1">
        <v>0</v>
      </c>
      <c r="J129" s="1">
        <v>1</v>
      </c>
      <c r="K129" s="1">
        <v>2</v>
      </c>
      <c r="L129" s="1">
        <v>0</v>
      </c>
      <c r="M129" s="1">
        <v>90</v>
      </c>
      <c r="N129" s="1">
        <v>0</v>
      </c>
      <c r="O129" s="1">
        <v>128</v>
      </c>
      <c r="P129" s="1">
        <v>0</v>
      </c>
      <c r="Q129" s="1">
        <v>18</v>
      </c>
      <c r="R129" s="1">
        <v>0</v>
      </c>
      <c r="S129" s="30">
        <v>97.9</v>
      </c>
      <c r="T129" s="1">
        <v>0</v>
      </c>
      <c r="U129" s="1">
        <v>99</v>
      </c>
      <c r="V129" s="1">
        <v>0</v>
      </c>
      <c r="W129" s="13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1</v>
      </c>
      <c r="AD129" s="1">
        <v>0</v>
      </c>
      <c r="AE129" s="1">
        <v>0</v>
      </c>
      <c r="AF129" s="1">
        <v>0</v>
      </c>
      <c r="AG129" s="1">
        <v>1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1</v>
      </c>
      <c r="AP129" s="1">
        <v>0</v>
      </c>
      <c r="AQ129" s="1" t="s">
        <v>48</v>
      </c>
      <c r="AR129" s="1">
        <v>0</v>
      </c>
      <c r="AS129" s="13">
        <v>1</v>
      </c>
      <c r="AT129" s="13">
        <v>0</v>
      </c>
      <c r="AU129" s="13">
        <v>0</v>
      </c>
      <c r="AV129" s="13">
        <v>0</v>
      </c>
      <c r="AW129" s="1">
        <v>29.5</v>
      </c>
      <c r="AX129" s="9">
        <f>3.77/5.43</f>
        <v>0.69429097605893186</v>
      </c>
      <c r="AY129" s="47">
        <v>0</v>
      </c>
      <c r="AZ129" s="2">
        <v>0</v>
      </c>
      <c r="BA129" s="2">
        <v>0</v>
      </c>
      <c r="BB129" s="9">
        <f>2.34/2.35</f>
        <v>0.99574468085106371</v>
      </c>
      <c r="BC129" s="2">
        <v>2</v>
      </c>
      <c r="BD129" s="2">
        <v>0</v>
      </c>
      <c r="BE129" s="2">
        <v>0</v>
      </c>
      <c r="BF129" s="1" t="s">
        <v>48</v>
      </c>
      <c r="BG129" s="1" t="s">
        <v>48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 t="s">
        <v>48</v>
      </c>
      <c r="BQ129" s="1" t="s">
        <v>48</v>
      </c>
      <c r="BR129" s="1">
        <v>0</v>
      </c>
      <c r="BS129" s="1">
        <v>0</v>
      </c>
      <c r="BT129" s="13">
        <v>0</v>
      </c>
      <c r="BU129" s="1">
        <v>0</v>
      </c>
      <c r="BV129" s="2" t="s">
        <v>50</v>
      </c>
      <c r="BW129" s="13">
        <v>0</v>
      </c>
      <c r="BX129" s="1">
        <v>0</v>
      </c>
      <c r="BY129" s="1">
        <v>0</v>
      </c>
      <c r="BZ129" s="1">
        <v>0</v>
      </c>
      <c r="CA129" s="1">
        <v>0</v>
      </c>
      <c r="CB129" s="32" t="s">
        <v>61</v>
      </c>
    </row>
    <row r="130" spans="1:80" s="35" customFormat="1" x14ac:dyDescent="0.3">
      <c r="A130" s="1">
        <v>129</v>
      </c>
      <c r="B130" s="2" t="s">
        <v>125</v>
      </c>
      <c r="C130" s="2" t="s">
        <v>46</v>
      </c>
      <c r="D130" s="10" t="s">
        <v>47</v>
      </c>
      <c r="E130" s="2" t="s">
        <v>109</v>
      </c>
      <c r="F130" s="103">
        <v>188</v>
      </c>
      <c r="G130" s="16">
        <v>117.9</v>
      </c>
      <c r="H130" s="5">
        <f>G130/(('[1]Maya Nonsaddle'!G130/100)^2)</f>
        <v>33.372053595823772</v>
      </c>
      <c r="I130" s="13">
        <v>1</v>
      </c>
      <c r="J130" s="13">
        <v>3</v>
      </c>
      <c r="K130" s="13">
        <v>2</v>
      </c>
      <c r="L130" s="13">
        <v>0</v>
      </c>
      <c r="M130" s="13">
        <v>65</v>
      </c>
      <c r="N130" s="13">
        <v>0</v>
      </c>
      <c r="O130" s="13">
        <v>122</v>
      </c>
      <c r="P130" s="13">
        <v>0</v>
      </c>
      <c r="Q130" s="13">
        <v>20</v>
      </c>
      <c r="R130" s="13">
        <v>0</v>
      </c>
      <c r="S130" s="5">
        <v>98.2</v>
      </c>
      <c r="T130" s="13">
        <v>0</v>
      </c>
      <c r="U130" s="13">
        <v>97</v>
      </c>
      <c r="V130" s="13">
        <v>0</v>
      </c>
      <c r="W130" s="13">
        <v>0</v>
      </c>
      <c r="X130" s="13">
        <v>0</v>
      </c>
      <c r="Y130" s="13">
        <v>1</v>
      </c>
      <c r="Z130" s="13">
        <v>1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 t="s">
        <v>48</v>
      </c>
      <c r="AQ130" s="13">
        <v>0</v>
      </c>
      <c r="AR130" s="13">
        <v>0</v>
      </c>
      <c r="AS130" s="13">
        <v>1</v>
      </c>
      <c r="AT130" s="13">
        <v>0</v>
      </c>
      <c r="AU130" s="13">
        <v>0</v>
      </c>
      <c r="AV130" s="13">
        <v>0</v>
      </c>
      <c r="AW130" s="13">
        <v>35.5</v>
      </c>
      <c r="AX130" s="9">
        <f>5.33/3.51</f>
        <v>1.5185185185185186</v>
      </c>
      <c r="AY130" s="47">
        <v>0</v>
      </c>
      <c r="AZ130" s="2">
        <v>0</v>
      </c>
      <c r="BA130" s="2">
        <v>1</v>
      </c>
      <c r="BB130" s="9">
        <f>3.1/3.43</f>
        <v>0.90379008746355682</v>
      </c>
      <c r="BC130" s="2">
        <v>2</v>
      </c>
      <c r="BD130" s="2">
        <v>1</v>
      </c>
      <c r="BE130" s="2">
        <v>1</v>
      </c>
      <c r="BF130" s="13">
        <v>0</v>
      </c>
      <c r="BG130" s="13" t="s">
        <v>48</v>
      </c>
      <c r="BH130" s="13">
        <v>0</v>
      </c>
      <c r="BI130" s="1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 t="s">
        <v>48</v>
      </c>
      <c r="BQ130" s="13" t="s">
        <v>48</v>
      </c>
      <c r="BR130" s="13">
        <v>0</v>
      </c>
      <c r="BS130" s="13">
        <v>0</v>
      </c>
      <c r="BT130" s="13">
        <v>0</v>
      </c>
      <c r="BU130" s="13">
        <v>0</v>
      </c>
      <c r="BV130" s="2" t="s">
        <v>50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34" t="s">
        <v>60</v>
      </c>
    </row>
    <row r="131" spans="1:80" s="35" customFormat="1" x14ac:dyDescent="0.3">
      <c r="A131" s="1">
        <v>130</v>
      </c>
      <c r="B131" s="2">
        <v>64</v>
      </c>
      <c r="C131" s="2" t="s">
        <v>46</v>
      </c>
      <c r="D131" s="10" t="s">
        <v>53</v>
      </c>
      <c r="E131" s="2" t="s">
        <v>77</v>
      </c>
      <c r="F131" s="103">
        <v>167.6</v>
      </c>
      <c r="G131" s="16">
        <v>59</v>
      </c>
      <c r="H131" s="5">
        <f>G131/(('[1]Maya Nonsaddle'!G131/100)^2)</f>
        <v>20.994073209450367</v>
      </c>
      <c r="I131" s="13">
        <v>0</v>
      </c>
      <c r="J131" s="13">
        <v>2</v>
      </c>
      <c r="K131" s="13">
        <v>1</v>
      </c>
      <c r="L131" s="13">
        <v>0</v>
      </c>
      <c r="M131" s="13">
        <v>84</v>
      </c>
      <c r="N131" s="13">
        <v>0</v>
      </c>
      <c r="O131" s="13">
        <v>137</v>
      </c>
      <c r="P131" s="13">
        <v>0</v>
      </c>
      <c r="Q131" s="13">
        <v>17</v>
      </c>
      <c r="R131" s="13">
        <v>0</v>
      </c>
      <c r="S131" s="5">
        <v>97.9</v>
      </c>
      <c r="T131" s="13">
        <v>0</v>
      </c>
      <c r="U131" s="13">
        <v>96</v>
      </c>
      <c r="V131" s="13">
        <v>0</v>
      </c>
      <c r="W131" s="13">
        <v>0</v>
      </c>
      <c r="X131" s="13">
        <v>0</v>
      </c>
      <c r="Y131" s="13">
        <v>1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1</v>
      </c>
      <c r="AP131" s="13">
        <v>0</v>
      </c>
      <c r="AQ131" s="13" t="s">
        <v>48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 t="s">
        <v>192</v>
      </c>
      <c r="AX131" s="9">
        <f>4.66/4.44</f>
        <v>1.0495495495495495</v>
      </c>
      <c r="AY131" s="47">
        <v>0</v>
      </c>
      <c r="AZ131" s="2">
        <v>0</v>
      </c>
      <c r="BA131" s="2">
        <v>1</v>
      </c>
      <c r="BB131" s="9">
        <f>2.76/3.5</f>
        <v>0.78857142857142848</v>
      </c>
      <c r="BC131" s="2">
        <v>1</v>
      </c>
      <c r="BD131" s="2">
        <v>0</v>
      </c>
      <c r="BE131" s="2">
        <v>0</v>
      </c>
      <c r="BF131" s="13">
        <v>0</v>
      </c>
      <c r="BG131" s="13" t="s">
        <v>48</v>
      </c>
      <c r="BH131" s="13">
        <v>0</v>
      </c>
      <c r="BI131" s="1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 t="s">
        <v>48</v>
      </c>
      <c r="BQ131" s="13" t="s">
        <v>48</v>
      </c>
      <c r="BR131" s="13">
        <v>0</v>
      </c>
      <c r="BS131" s="13">
        <v>0</v>
      </c>
      <c r="BT131" s="13">
        <v>0</v>
      </c>
      <c r="BU131" s="13">
        <v>0</v>
      </c>
      <c r="BV131" s="2" t="s">
        <v>57</v>
      </c>
      <c r="BW131" s="13" t="s">
        <v>57</v>
      </c>
      <c r="BX131" s="13">
        <v>0</v>
      </c>
      <c r="BY131" s="13">
        <v>1</v>
      </c>
      <c r="BZ131" s="13">
        <v>0</v>
      </c>
      <c r="CA131" s="13">
        <v>0</v>
      </c>
      <c r="CB131" s="34" t="s">
        <v>54</v>
      </c>
    </row>
    <row r="132" spans="1:80" s="33" customFormat="1" x14ac:dyDescent="0.3">
      <c r="A132" s="1">
        <v>131</v>
      </c>
      <c r="B132" s="2" t="s">
        <v>126</v>
      </c>
      <c r="C132" s="3" t="s">
        <v>46</v>
      </c>
      <c r="D132" s="7" t="s">
        <v>53</v>
      </c>
      <c r="E132" s="3">
        <v>14</v>
      </c>
      <c r="F132" s="103">
        <v>188</v>
      </c>
      <c r="G132" s="8">
        <v>122.4</v>
      </c>
      <c r="H132" s="5">
        <f>G132/(('[1]Maya Nonsaddle'!G132/100)^2)</f>
        <v>34.645796099481167</v>
      </c>
      <c r="I132" s="1">
        <v>1</v>
      </c>
      <c r="J132" s="1">
        <v>1</v>
      </c>
      <c r="K132" s="1">
        <v>3</v>
      </c>
      <c r="L132" s="1">
        <v>1</v>
      </c>
      <c r="M132" s="1">
        <v>110</v>
      </c>
      <c r="N132" s="1">
        <v>0</v>
      </c>
      <c r="O132" s="1">
        <v>148</v>
      </c>
      <c r="P132" s="1">
        <v>0</v>
      </c>
      <c r="Q132" s="1">
        <v>20</v>
      </c>
      <c r="R132" s="1">
        <v>0</v>
      </c>
      <c r="S132" s="30">
        <v>99</v>
      </c>
      <c r="T132" s="1">
        <v>0</v>
      </c>
      <c r="U132" s="1">
        <v>96</v>
      </c>
      <c r="V132" s="1">
        <v>0</v>
      </c>
      <c r="W132" s="13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1</v>
      </c>
      <c r="AP132" s="1">
        <v>1</v>
      </c>
      <c r="AQ132" s="1">
        <v>1</v>
      </c>
      <c r="AR132" s="1">
        <v>1</v>
      </c>
      <c r="AS132" s="13">
        <v>1</v>
      </c>
      <c r="AT132" s="13">
        <v>1</v>
      </c>
      <c r="AU132" s="13">
        <v>1</v>
      </c>
      <c r="AV132" s="13">
        <v>0</v>
      </c>
      <c r="AW132" s="1">
        <v>58.8</v>
      </c>
      <c r="AX132" s="9">
        <f>5.46/3.52</f>
        <v>1.5511363636363635</v>
      </c>
      <c r="AY132" s="47">
        <v>0</v>
      </c>
      <c r="AZ132" s="2">
        <v>0</v>
      </c>
      <c r="BA132" s="2">
        <v>1</v>
      </c>
      <c r="BB132" s="9">
        <f>3.12/2.49</f>
        <v>1.2530120481927711</v>
      </c>
      <c r="BC132" s="2">
        <v>2</v>
      </c>
      <c r="BD132" s="2">
        <v>1</v>
      </c>
      <c r="BE132" s="2">
        <v>1</v>
      </c>
      <c r="BF132" s="1" t="s">
        <v>48</v>
      </c>
      <c r="BG132" s="1" t="s">
        <v>48</v>
      </c>
      <c r="BH132" s="1">
        <v>1</v>
      </c>
      <c r="BI132" s="1">
        <v>0</v>
      </c>
      <c r="BJ132" s="1">
        <v>1</v>
      </c>
      <c r="BK132" s="1">
        <v>1</v>
      </c>
      <c r="BL132" s="1">
        <v>0</v>
      </c>
      <c r="BM132" s="1">
        <v>1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3">
        <v>0</v>
      </c>
      <c r="BU132" s="1">
        <v>0</v>
      </c>
      <c r="BV132" s="2" t="s">
        <v>82</v>
      </c>
      <c r="BW132" s="13" t="s">
        <v>48</v>
      </c>
      <c r="BX132" s="1" t="s">
        <v>48</v>
      </c>
      <c r="BY132" s="1" t="s">
        <v>48</v>
      </c>
      <c r="BZ132" s="1" t="s">
        <v>48</v>
      </c>
      <c r="CA132" s="1">
        <v>1</v>
      </c>
      <c r="CB132" s="32" t="s">
        <v>54</v>
      </c>
    </row>
    <row r="133" spans="1:80" s="33" customFormat="1" x14ac:dyDescent="0.3">
      <c r="A133" s="1">
        <v>132</v>
      </c>
      <c r="B133" s="2">
        <v>46</v>
      </c>
      <c r="C133" s="3" t="s">
        <v>46</v>
      </c>
      <c r="D133" s="7" t="s">
        <v>53</v>
      </c>
      <c r="E133" s="3" t="s">
        <v>98</v>
      </c>
      <c r="F133" s="103">
        <v>172.7</v>
      </c>
      <c r="G133" s="8">
        <v>72.599999999999994</v>
      </c>
      <c r="H133" s="5">
        <f>G133/(('[1]Maya Nonsaddle'!G133/100)^2)</f>
        <v>24.336121336602531</v>
      </c>
      <c r="I133" s="1">
        <v>1</v>
      </c>
      <c r="J133" s="1">
        <v>2</v>
      </c>
      <c r="K133" s="1">
        <v>2</v>
      </c>
      <c r="L133" s="1">
        <v>0</v>
      </c>
      <c r="M133" s="1">
        <v>98</v>
      </c>
      <c r="N133" s="1">
        <v>0</v>
      </c>
      <c r="O133" s="1">
        <v>109</v>
      </c>
      <c r="P133" s="1">
        <v>0</v>
      </c>
      <c r="Q133" s="1">
        <v>20</v>
      </c>
      <c r="R133" s="1">
        <v>0</v>
      </c>
      <c r="S133" s="30">
        <v>98.6</v>
      </c>
      <c r="T133" s="1">
        <v>0</v>
      </c>
      <c r="U133" s="1">
        <v>97</v>
      </c>
      <c r="V133" s="1">
        <v>0</v>
      </c>
      <c r="W133" s="13">
        <v>0</v>
      </c>
      <c r="X133" s="1">
        <v>0</v>
      </c>
      <c r="Y133" s="1">
        <v>1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1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 t="s">
        <v>48</v>
      </c>
      <c r="AQ133" s="1" t="s">
        <v>48</v>
      </c>
      <c r="AR133" s="1">
        <v>0</v>
      </c>
      <c r="AS133" s="13">
        <v>1</v>
      </c>
      <c r="AT133" s="13">
        <v>1</v>
      </c>
      <c r="AU133" s="13">
        <v>1</v>
      </c>
      <c r="AV133" s="13">
        <v>0</v>
      </c>
      <c r="AW133" s="1">
        <v>57.5</v>
      </c>
      <c r="AX133" s="9">
        <f>3.91/6.48</f>
        <v>0.60339506172839508</v>
      </c>
      <c r="AY133" s="47">
        <v>0</v>
      </c>
      <c r="AZ133" s="2">
        <v>0</v>
      </c>
      <c r="BA133" s="2">
        <v>0</v>
      </c>
      <c r="BB133" s="9">
        <f>2.74/2.73</f>
        <v>1.0036630036630036</v>
      </c>
      <c r="BC133" s="2">
        <v>5</v>
      </c>
      <c r="BD133" s="2">
        <v>0</v>
      </c>
      <c r="BE133" s="2">
        <v>0</v>
      </c>
      <c r="BF133" s="1">
        <v>0</v>
      </c>
      <c r="BG133" s="1" t="s">
        <v>48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 t="s">
        <v>48</v>
      </c>
      <c r="BQ133" s="1" t="s">
        <v>48</v>
      </c>
      <c r="BR133" s="1">
        <v>0</v>
      </c>
      <c r="BS133" s="1">
        <v>0</v>
      </c>
      <c r="BT133" s="13">
        <v>0</v>
      </c>
      <c r="BU133" s="1">
        <v>0</v>
      </c>
      <c r="BV133" s="2" t="s">
        <v>57</v>
      </c>
      <c r="BW133" s="13" t="s">
        <v>57</v>
      </c>
      <c r="BX133" s="1">
        <v>0</v>
      </c>
      <c r="BY133" s="1">
        <v>0</v>
      </c>
      <c r="BZ133" s="1">
        <v>0</v>
      </c>
      <c r="CA133" s="1">
        <v>0</v>
      </c>
      <c r="CB133" s="32" t="s">
        <v>54</v>
      </c>
    </row>
    <row r="134" spans="1:80" s="35" customFormat="1" x14ac:dyDescent="0.3">
      <c r="A134" s="1">
        <v>133</v>
      </c>
      <c r="B134" s="2" t="s">
        <v>127</v>
      </c>
      <c r="C134" s="2" t="s">
        <v>52</v>
      </c>
      <c r="D134" s="10" t="s">
        <v>53</v>
      </c>
      <c r="E134" s="2" t="s">
        <v>85</v>
      </c>
      <c r="F134" s="103">
        <v>160</v>
      </c>
      <c r="G134" s="16">
        <v>97.1</v>
      </c>
      <c r="H134" s="5">
        <f>G134/(('[1]Maya Nonsaddle'!G134/100)^2)</f>
        <v>37.920206855782823</v>
      </c>
      <c r="I134" s="13">
        <v>0</v>
      </c>
      <c r="J134" s="13">
        <v>1</v>
      </c>
      <c r="K134" s="13">
        <v>1</v>
      </c>
      <c r="L134" s="13">
        <v>0</v>
      </c>
      <c r="M134" s="13">
        <v>91</v>
      </c>
      <c r="N134" s="13">
        <v>0</v>
      </c>
      <c r="O134" s="13">
        <v>109</v>
      </c>
      <c r="P134" s="13">
        <v>0</v>
      </c>
      <c r="Q134" s="13">
        <v>27</v>
      </c>
      <c r="R134" s="13">
        <v>0</v>
      </c>
      <c r="S134" s="5">
        <v>98.2</v>
      </c>
      <c r="T134" s="13">
        <v>0</v>
      </c>
      <c r="U134" s="13">
        <v>99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1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 t="s">
        <v>48</v>
      </c>
      <c r="AQ134" s="13" t="s">
        <v>48</v>
      </c>
      <c r="AR134" s="13" t="s">
        <v>48</v>
      </c>
      <c r="AS134" s="13">
        <v>0</v>
      </c>
      <c r="AT134" s="13">
        <v>0</v>
      </c>
      <c r="AU134" s="13">
        <v>0</v>
      </c>
      <c r="AV134" s="13">
        <v>0</v>
      </c>
      <c r="AW134" s="13">
        <v>17.899999999999999</v>
      </c>
      <c r="AX134" s="9">
        <f>4.04/4.12</f>
        <v>0.98058252427184467</v>
      </c>
      <c r="AY134" s="47">
        <v>0</v>
      </c>
      <c r="AZ134" s="2">
        <v>0</v>
      </c>
      <c r="BA134" s="2">
        <v>1</v>
      </c>
      <c r="BB134" s="9">
        <f>2.18/2.83</f>
        <v>0.77031802120141346</v>
      </c>
      <c r="BC134" s="2">
        <v>2</v>
      </c>
      <c r="BD134" s="2">
        <v>0</v>
      </c>
      <c r="BE134" s="2">
        <v>0</v>
      </c>
      <c r="BF134" s="13">
        <v>0</v>
      </c>
      <c r="BG134" s="13" t="s">
        <v>48</v>
      </c>
      <c r="BH134" s="13">
        <v>0</v>
      </c>
      <c r="BI134" s="1">
        <v>0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 t="s">
        <v>48</v>
      </c>
      <c r="BQ134" s="13" t="s">
        <v>48</v>
      </c>
      <c r="BR134" s="13">
        <v>0</v>
      </c>
      <c r="BS134" s="13">
        <v>0</v>
      </c>
      <c r="BT134" s="13">
        <v>0</v>
      </c>
      <c r="BU134" s="13">
        <v>0</v>
      </c>
      <c r="BV134" s="2" t="s">
        <v>50</v>
      </c>
      <c r="BW134" s="13">
        <v>0</v>
      </c>
      <c r="BX134" s="13">
        <v>0</v>
      </c>
      <c r="BY134" s="13">
        <v>1</v>
      </c>
      <c r="BZ134" s="13">
        <v>0</v>
      </c>
      <c r="CA134" s="13">
        <v>0</v>
      </c>
      <c r="CB134" s="34" t="s">
        <v>60</v>
      </c>
    </row>
    <row r="135" spans="1:80" s="33" customFormat="1" x14ac:dyDescent="0.3">
      <c r="A135" s="1">
        <v>134</v>
      </c>
      <c r="B135" s="2">
        <v>86</v>
      </c>
      <c r="C135" s="3" t="s">
        <v>52</v>
      </c>
      <c r="D135" s="3" t="s">
        <v>47</v>
      </c>
      <c r="E135" s="3" t="s">
        <v>87</v>
      </c>
      <c r="F135" s="103">
        <v>152.4</v>
      </c>
      <c r="G135" s="30">
        <v>50.3</v>
      </c>
      <c r="H135" s="5">
        <f>G135/(('[1]Maya Nonsaddle'!G135/100)^2)</f>
        <v>21.656987758419959</v>
      </c>
      <c r="I135" s="1">
        <v>1</v>
      </c>
      <c r="J135" s="1">
        <v>4</v>
      </c>
      <c r="K135" s="1">
        <v>1</v>
      </c>
      <c r="L135" s="1">
        <v>0</v>
      </c>
      <c r="M135" s="1">
        <v>59</v>
      </c>
      <c r="N135" s="1">
        <v>0</v>
      </c>
      <c r="O135" s="1">
        <v>130</v>
      </c>
      <c r="P135" s="1">
        <v>0</v>
      </c>
      <c r="Q135" s="1">
        <v>18</v>
      </c>
      <c r="R135" s="1" t="s">
        <v>48</v>
      </c>
      <c r="S135" s="30" t="s">
        <v>48</v>
      </c>
      <c r="T135" s="1">
        <v>0</v>
      </c>
      <c r="U135" s="1">
        <v>96</v>
      </c>
      <c r="V135" s="1">
        <v>0</v>
      </c>
      <c r="W135" s="13">
        <v>0</v>
      </c>
      <c r="X135" s="1">
        <v>0</v>
      </c>
      <c r="Y135" s="1">
        <v>0</v>
      </c>
      <c r="Z135" s="1">
        <v>0</v>
      </c>
      <c r="AA135" s="1">
        <v>1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 t="s">
        <v>48</v>
      </c>
      <c r="AP135" s="1" t="s">
        <v>48</v>
      </c>
      <c r="AQ135" s="1" t="s">
        <v>48</v>
      </c>
      <c r="AR135" s="1">
        <v>0</v>
      </c>
      <c r="AS135" s="13" t="s">
        <v>48</v>
      </c>
      <c r="AT135" s="13" t="s">
        <v>48</v>
      </c>
      <c r="AU135" s="13" t="s">
        <v>48</v>
      </c>
      <c r="AV135" s="13" t="s">
        <v>48</v>
      </c>
      <c r="AW135" s="1" t="s">
        <v>48</v>
      </c>
      <c r="AX135" s="9">
        <f>3.45/4.52</f>
        <v>0.76327433628318597</v>
      </c>
      <c r="AY135" s="47">
        <v>0</v>
      </c>
      <c r="AZ135" s="2">
        <v>0</v>
      </c>
      <c r="BA135" s="2">
        <v>0</v>
      </c>
      <c r="BB135" s="9">
        <f>2.67/2.73</f>
        <v>0.97802197802197799</v>
      </c>
      <c r="BC135" s="2">
        <v>2</v>
      </c>
      <c r="BD135" s="2">
        <v>0</v>
      </c>
      <c r="BE135" s="2">
        <v>0</v>
      </c>
      <c r="BF135" s="1">
        <v>1</v>
      </c>
      <c r="BG135" s="1" t="s">
        <v>89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 t="s">
        <v>48</v>
      </c>
      <c r="BQ135" s="1" t="s">
        <v>48</v>
      </c>
      <c r="BR135" s="1">
        <v>0</v>
      </c>
      <c r="BS135" s="1">
        <v>0</v>
      </c>
      <c r="BT135" s="13">
        <v>0</v>
      </c>
      <c r="BU135" s="1">
        <v>0</v>
      </c>
      <c r="BV135" s="2" t="s">
        <v>50</v>
      </c>
      <c r="BW135" s="13">
        <v>0</v>
      </c>
      <c r="BX135" s="1">
        <v>0</v>
      </c>
      <c r="BY135" s="1">
        <v>0</v>
      </c>
      <c r="BZ135" s="1">
        <v>0</v>
      </c>
      <c r="CA135" s="1">
        <v>0</v>
      </c>
      <c r="CB135" s="32" t="s">
        <v>60</v>
      </c>
    </row>
    <row r="136" spans="1:80" s="35" customFormat="1" x14ac:dyDescent="0.3">
      <c r="A136" s="1">
        <v>135</v>
      </c>
      <c r="B136" s="2">
        <v>52</v>
      </c>
      <c r="C136" s="2" t="s">
        <v>46</v>
      </c>
      <c r="D136" s="2" t="s">
        <v>53</v>
      </c>
      <c r="E136" s="2" t="s">
        <v>109</v>
      </c>
      <c r="F136" s="103">
        <v>170.2</v>
      </c>
      <c r="G136" s="5">
        <v>126.6</v>
      </c>
      <c r="H136" s="5">
        <f>G136/(('[1]Maya Nonsaddle'!G136/100)^2)</f>
        <v>43.713609369744908</v>
      </c>
      <c r="I136" s="13">
        <v>0</v>
      </c>
      <c r="J136" s="13">
        <v>1</v>
      </c>
      <c r="K136" s="13">
        <v>1</v>
      </c>
      <c r="L136" s="13">
        <v>0</v>
      </c>
      <c r="M136" s="13">
        <v>83</v>
      </c>
      <c r="N136" s="13">
        <v>0</v>
      </c>
      <c r="O136" s="13">
        <v>143</v>
      </c>
      <c r="P136" s="13">
        <v>0</v>
      </c>
      <c r="Q136" s="13">
        <v>24</v>
      </c>
      <c r="R136" s="13">
        <v>0</v>
      </c>
      <c r="S136" s="5">
        <v>98.2</v>
      </c>
      <c r="T136" s="13">
        <v>0</v>
      </c>
      <c r="U136" s="13">
        <v>96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 t="s">
        <v>48</v>
      </c>
      <c r="AP136" s="13" t="s">
        <v>48</v>
      </c>
      <c r="AQ136" s="13">
        <v>0</v>
      </c>
      <c r="AR136" s="13">
        <v>0</v>
      </c>
      <c r="AS136" s="13" t="s">
        <v>48</v>
      </c>
      <c r="AT136" s="13" t="s">
        <v>48</v>
      </c>
      <c r="AU136" s="13" t="s">
        <v>48</v>
      </c>
      <c r="AV136" s="13" t="s">
        <v>48</v>
      </c>
      <c r="AW136" s="13" t="s">
        <v>48</v>
      </c>
      <c r="AX136" s="9">
        <f>5.06/4.47</f>
        <v>1.1319910514541387</v>
      </c>
      <c r="AY136" s="47">
        <v>0</v>
      </c>
      <c r="AZ136" s="2">
        <v>0</v>
      </c>
      <c r="BA136" s="2">
        <v>1</v>
      </c>
      <c r="BB136" s="9">
        <f>2.8/3.42</f>
        <v>0.81871345029239762</v>
      </c>
      <c r="BC136" s="2">
        <v>3</v>
      </c>
      <c r="BD136" s="2">
        <v>0</v>
      </c>
      <c r="BE136" s="2">
        <v>0</v>
      </c>
      <c r="BF136" s="13">
        <v>0</v>
      </c>
      <c r="BG136" s="13" t="s">
        <v>48</v>
      </c>
      <c r="BH136" s="13">
        <v>0</v>
      </c>
      <c r="BI136" s="1">
        <v>0</v>
      </c>
      <c r="BJ136" s="13">
        <v>0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 t="s">
        <v>48</v>
      </c>
      <c r="BQ136" s="13" t="s">
        <v>48</v>
      </c>
      <c r="BR136" s="13">
        <v>1</v>
      </c>
      <c r="BS136" s="34" t="s">
        <v>128</v>
      </c>
      <c r="BT136" s="13">
        <v>0</v>
      </c>
      <c r="BU136" s="13">
        <v>0</v>
      </c>
      <c r="BV136" s="2" t="s">
        <v>50</v>
      </c>
      <c r="BW136" s="13">
        <v>0</v>
      </c>
      <c r="BX136" s="13">
        <v>0</v>
      </c>
      <c r="BY136" s="13">
        <v>1</v>
      </c>
      <c r="BZ136" s="13">
        <v>0</v>
      </c>
      <c r="CA136" s="13">
        <v>0</v>
      </c>
      <c r="CB136" s="34" t="s">
        <v>54</v>
      </c>
    </row>
    <row r="137" spans="1:80" s="33" customFormat="1" x14ac:dyDescent="0.3">
      <c r="A137" s="1">
        <v>136</v>
      </c>
      <c r="B137" s="2">
        <v>50</v>
      </c>
      <c r="C137" s="3" t="s">
        <v>46</v>
      </c>
      <c r="D137" s="3" t="s">
        <v>47</v>
      </c>
      <c r="E137" s="3" t="s">
        <v>85</v>
      </c>
      <c r="F137" s="103">
        <v>177.8</v>
      </c>
      <c r="G137" s="30">
        <v>159.9</v>
      </c>
      <c r="H137" s="5">
        <f>G137/(('[1]Maya Nonsaddle'!G137/100)^2)</f>
        <v>50.580713406324769</v>
      </c>
      <c r="I137" s="1">
        <v>1</v>
      </c>
      <c r="J137" s="1">
        <v>2</v>
      </c>
      <c r="K137" s="1">
        <v>1</v>
      </c>
      <c r="L137" s="1">
        <v>1</v>
      </c>
      <c r="M137" s="1">
        <v>118</v>
      </c>
      <c r="N137" s="1">
        <v>0</v>
      </c>
      <c r="O137" s="1">
        <v>133</v>
      </c>
      <c r="P137" s="1">
        <v>0</v>
      </c>
      <c r="Q137" s="1">
        <v>17</v>
      </c>
      <c r="R137" s="1">
        <v>0</v>
      </c>
      <c r="S137" s="30">
        <v>100.1</v>
      </c>
      <c r="T137" s="1">
        <v>0</v>
      </c>
      <c r="U137" s="1">
        <v>98</v>
      </c>
      <c r="V137" s="1">
        <v>0</v>
      </c>
      <c r="W137" s="13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1</v>
      </c>
      <c r="AP137" s="1">
        <v>1</v>
      </c>
      <c r="AQ137" s="1">
        <v>0</v>
      </c>
      <c r="AR137" s="1">
        <v>0</v>
      </c>
      <c r="AS137" s="13">
        <v>0</v>
      </c>
      <c r="AT137" s="13">
        <v>0</v>
      </c>
      <c r="AU137" s="13">
        <v>0</v>
      </c>
      <c r="AV137" s="13">
        <v>1</v>
      </c>
      <c r="AW137" s="1">
        <v>22.7</v>
      </c>
      <c r="AX137" s="9">
        <f>4.06/4.07</f>
        <v>0.99754299754299736</v>
      </c>
      <c r="AY137" s="47">
        <v>0</v>
      </c>
      <c r="AZ137" s="2">
        <v>0</v>
      </c>
      <c r="BA137" s="2">
        <v>1</v>
      </c>
      <c r="BB137" s="9">
        <f>3/3.14</f>
        <v>0.95541401273885351</v>
      </c>
      <c r="BC137" s="2">
        <v>2</v>
      </c>
      <c r="BD137" s="2">
        <v>0</v>
      </c>
      <c r="BE137" s="2">
        <v>0</v>
      </c>
      <c r="BF137" s="1">
        <v>0</v>
      </c>
      <c r="BG137" s="1" t="s">
        <v>48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 t="s">
        <v>48</v>
      </c>
      <c r="BQ137" s="1" t="s">
        <v>48</v>
      </c>
      <c r="BR137" s="1">
        <v>0</v>
      </c>
      <c r="BS137" s="1">
        <v>0</v>
      </c>
      <c r="BT137" s="13">
        <v>0</v>
      </c>
      <c r="BU137" s="1">
        <v>0</v>
      </c>
      <c r="BV137" s="2" t="s">
        <v>50</v>
      </c>
      <c r="BW137" s="13">
        <v>0</v>
      </c>
      <c r="BX137" s="1">
        <v>0</v>
      </c>
      <c r="BY137" s="1">
        <v>1</v>
      </c>
      <c r="BZ137" s="1">
        <v>0</v>
      </c>
      <c r="CA137" s="1">
        <v>0</v>
      </c>
      <c r="CB137" s="32" t="s">
        <v>54</v>
      </c>
    </row>
    <row r="138" spans="1:80" s="35" customFormat="1" x14ac:dyDescent="0.3">
      <c r="A138" s="1">
        <v>137</v>
      </c>
      <c r="B138" s="2">
        <v>77</v>
      </c>
      <c r="C138" s="2" t="s">
        <v>52</v>
      </c>
      <c r="D138" s="2" t="s">
        <v>53</v>
      </c>
      <c r="E138" s="2" t="s">
        <v>100</v>
      </c>
      <c r="F138" s="103">
        <v>147.30000000000001</v>
      </c>
      <c r="G138" s="5">
        <v>90.7</v>
      </c>
      <c r="H138" s="5">
        <f>G138/(('[1]Maya Nonsaddle'!G138/100)^2)</f>
        <v>41.791106174364565</v>
      </c>
      <c r="I138" s="13">
        <v>0</v>
      </c>
      <c r="J138" s="13">
        <v>2</v>
      </c>
      <c r="K138" s="13">
        <v>1</v>
      </c>
      <c r="L138" s="13">
        <v>0</v>
      </c>
      <c r="M138" s="13">
        <v>73</v>
      </c>
      <c r="N138" s="13">
        <v>0</v>
      </c>
      <c r="O138" s="13">
        <v>115</v>
      </c>
      <c r="P138" s="13">
        <v>0</v>
      </c>
      <c r="Q138" s="13">
        <v>20</v>
      </c>
      <c r="R138" s="13" t="s">
        <v>48</v>
      </c>
      <c r="S138" s="5" t="s">
        <v>48</v>
      </c>
      <c r="T138" s="13">
        <v>0</v>
      </c>
      <c r="U138" s="13">
        <v>97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1</v>
      </c>
      <c r="AG138" s="13">
        <v>0</v>
      </c>
      <c r="AH138" s="13">
        <v>0</v>
      </c>
      <c r="AI138" s="13">
        <v>0</v>
      </c>
      <c r="AJ138" s="13">
        <v>0</v>
      </c>
      <c r="AK138" s="13">
        <v>1</v>
      </c>
      <c r="AL138" s="13">
        <v>0</v>
      </c>
      <c r="AM138" s="13">
        <v>0</v>
      </c>
      <c r="AN138" s="13">
        <v>0</v>
      </c>
      <c r="AO138" s="13">
        <v>1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 t="s">
        <v>192</v>
      </c>
      <c r="AX138" s="9">
        <f>3.85/4.67</f>
        <v>0.82441113490364026</v>
      </c>
      <c r="AY138" s="47">
        <v>0</v>
      </c>
      <c r="AZ138" s="2">
        <v>0</v>
      </c>
      <c r="BA138" s="2">
        <v>0</v>
      </c>
      <c r="BB138" s="9">
        <f>2.87/3.68</f>
        <v>0.77989130434782605</v>
      </c>
      <c r="BC138" s="2">
        <v>1</v>
      </c>
      <c r="BD138" s="2">
        <v>0</v>
      </c>
      <c r="BE138" s="2">
        <v>0</v>
      </c>
      <c r="BF138" s="13">
        <v>0</v>
      </c>
      <c r="BG138" s="13" t="s">
        <v>48</v>
      </c>
      <c r="BH138" s="13">
        <v>0</v>
      </c>
      <c r="BI138" s="1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 t="s">
        <v>48</v>
      </c>
      <c r="BQ138" s="13" t="s">
        <v>48</v>
      </c>
      <c r="BR138" s="13">
        <v>0</v>
      </c>
      <c r="BS138" s="13">
        <v>0</v>
      </c>
      <c r="BT138" s="13">
        <v>0</v>
      </c>
      <c r="BU138" s="13" t="s">
        <v>117</v>
      </c>
      <c r="BV138" s="2" t="s">
        <v>50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34" t="s">
        <v>55</v>
      </c>
    </row>
    <row r="139" spans="1:80" s="35" customFormat="1" x14ac:dyDescent="0.3">
      <c r="A139" s="1">
        <v>138</v>
      </c>
      <c r="B139" s="2">
        <v>64</v>
      </c>
      <c r="C139" s="2" t="s">
        <v>52</v>
      </c>
      <c r="D139" s="2" t="s">
        <v>47</v>
      </c>
      <c r="E139" s="2" t="s">
        <v>74</v>
      </c>
      <c r="F139" s="103">
        <v>165.1</v>
      </c>
      <c r="G139" s="5">
        <v>104.3</v>
      </c>
      <c r="H139" s="5">
        <f>G139/(('[1]Maya Nonsaddle'!G139/100)^2)</f>
        <v>38.263981853407493</v>
      </c>
      <c r="I139" s="13">
        <v>0</v>
      </c>
      <c r="J139" s="13">
        <v>1</v>
      </c>
      <c r="K139" s="13">
        <v>1</v>
      </c>
      <c r="L139" s="13">
        <v>0</v>
      </c>
      <c r="M139" s="13">
        <v>67</v>
      </c>
      <c r="N139" s="13">
        <v>0</v>
      </c>
      <c r="O139" s="13">
        <v>138</v>
      </c>
      <c r="P139" s="13">
        <v>0</v>
      </c>
      <c r="Q139" s="13">
        <v>16</v>
      </c>
      <c r="R139" s="13">
        <v>0</v>
      </c>
      <c r="S139" s="5">
        <v>97.9</v>
      </c>
      <c r="T139" s="13">
        <v>0</v>
      </c>
      <c r="U139" s="13">
        <v>97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1</v>
      </c>
      <c r="AH139" s="13">
        <v>0</v>
      </c>
      <c r="AI139" s="13">
        <v>1</v>
      </c>
      <c r="AJ139" s="13">
        <v>1</v>
      </c>
      <c r="AK139" s="13">
        <v>0</v>
      </c>
      <c r="AL139" s="13">
        <v>0</v>
      </c>
      <c r="AM139" s="13">
        <v>0</v>
      </c>
      <c r="AN139" s="13">
        <v>0</v>
      </c>
      <c r="AO139" s="13">
        <v>1</v>
      </c>
      <c r="AP139" s="13">
        <v>0</v>
      </c>
      <c r="AQ139" s="13" t="s">
        <v>48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 t="s">
        <v>192</v>
      </c>
      <c r="AX139" s="9">
        <f>3.95/4.84</f>
        <v>0.81611570247933896</v>
      </c>
      <c r="AY139" s="47">
        <v>0</v>
      </c>
      <c r="AZ139" s="2">
        <v>0</v>
      </c>
      <c r="BA139" s="2">
        <v>0</v>
      </c>
      <c r="BB139" s="9">
        <f>2.91/3.42</f>
        <v>0.85087719298245623</v>
      </c>
      <c r="BC139" s="2">
        <v>1</v>
      </c>
      <c r="BD139" s="2">
        <v>0</v>
      </c>
      <c r="BE139" s="2">
        <v>0</v>
      </c>
      <c r="BF139" s="13">
        <v>0</v>
      </c>
      <c r="BG139" s="13" t="s">
        <v>48</v>
      </c>
      <c r="BH139" s="13">
        <v>0</v>
      </c>
      <c r="BI139" s="1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 t="s">
        <v>48</v>
      </c>
      <c r="BQ139" s="13" t="s">
        <v>48</v>
      </c>
      <c r="BR139" s="13">
        <v>0</v>
      </c>
      <c r="BS139" s="13">
        <v>0</v>
      </c>
      <c r="BT139" s="13">
        <v>0</v>
      </c>
      <c r="BU139" s="13">
        <v>0</v>
      </c>
      <c r="BV139" s="2" t="s">
        <v>50</v>
      </c>
      <c r="BW139" s="13">
        <v>0</v>
      </c>
      <c r="BX139" s="13">
        <v>0</v>
      </c>
      <c r="BY139" s="13">
        <v>1</v>
      </c>
      <c r="BZ139" s="13">
        <v>0</v>
      </c>
      <c r="CA139" s="13">
        <v>0</v>
      </c>
      <c r="CB139" s="34" t="s">
        <v>56</v>
      </c>
    </row>
    <row r="140" spans="1:80" s="35" customFormat="1" x14ac:dyDescent="0.3">
      <c r="A140" s="1">
        <v>139</v>
      </c>
      <c r="B140" s="2">
        <v>70</v>
      </c>
      <c r="C140" s="2" t="s">
        <v>52</v>
      </c>
      <c r="D140" s="2" t="s">
        <v>53</v>
      </c>
      <c r="E140" s="2" t="s">
        <v>77</v>
      </c>
      <c r="F140" s="103">
        <v>160</v>
      </c>
      <c r="G140" s="5">
        <v>64.400000000000006</v>
      </c>
      <c r="H140" s="5">
        <f>G140/(('[1]Maya Nonsaddle'!G140/100)^2)</f>
        <v>25.149962116502717</v>
      </c>
      <c r="I140" s="13">
        <v>0</v>
      </c>
      <c r="J140" s="13">
        <v>2</v>
      </c>
      <c r="K140" s="13">
        <v>2</v>
      </c>
      <c r="L140" s="13">
        <v>0</v>
      </c>
      <c r="M140" s="13">
        <v>80</v>
      </c>
      <c r="N140" s="13">
        <v>0</v>
      </c>
      <c r="O140" s="13">
        <v>127</v>
      </c>
      <c r="P140" s="13">
        <v>0</v>
      </c>
      <c r="Q140" s="13">
        <v>16</v>
      </c>
      <c r="R140" s="13">
        <v>0</v>
      </c>
      <c r="S140" s="5">
        <v>98.1</v>
      </c>
      <c r="T140" s="13">
        <v>0</v>
      </c>
      <c r="U140" s="13">
        <v>100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1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 t="s">
        <v>48</v>
      </c>
      <c r="AQ140" s="13">
        <v>1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25</v>
      </c>
      <c r="AX140" s="9">
        <f>3.62/3.99</f>
        <v>0.90726817042606511</v>
      </c>
      <c r="AY140" s="47">
        <v>0</v>
      </c>
      <c r="AZ140" s="2">
        <v>1</v>
      </c>
      <c r="BA140" s="2">
        <v>0</v>
      </c>
      <c r="BB140" s="9">
        <f>2.13/3.1</f>
        <v>0.68709677419354831</v>
      </c>
      <c r="BC140" s="2">
        <v>2</v>
      </c>
      <c r="BD140" s="2">
        <v>0</v>
      </c>
      <c r="BE140" s="2">
        <v>0</v>
      </c>
      <c r="BF140" s="13">
        <v>0</v>
      </c>
      <c r="BG140" s="13" t="s">
        <v>48</v>
      </c>
      <c r="BH140" s="13">
        <v>0</v>
      </c>
      <c r="BI140" s="1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 t="s">
        <v>48</v>
      </c>
      <c r="BQ140" s="13" t="s">
        <v>48</v>
      </c>
      <c r="BR140" s="13">
        <v>0</v>
      </c>
      <c r="BS140" s="13">
        <v>0</v>
      </c>
      <c r="BT140" s="13">
        <v>0</v>
      </c>
      <c r="BU140" s="13">
        <v>0</v>
      </c>
      <c r="BV140" s="2" t="s">
        <v>50</v>
      </c>
      <c r="BW140" s="13">
        <v>0</v>
      </c>
      <c r="BX140" s="13">
        <v>0</v>
      </c>
      <c r="BY140" s="13">
        <v>1</v>
      </c>
      <c r="BZ140" s="13">
        <v>0</v>
      </c>
      <c r="CA140" s="13">
        <v>0</v>
      </c>
      <c r="CB140" s="34" t="s">
        <v>54</v>
      </c>
    </row>
    <row r="141" spans="1:80" s="33" customFormat="1" x14ac:dyDescent="0.3">
      <c r="A141" s="1">
        <v>140</v>
      </c>
      <c r="B141" s="2">
        <v>62</v>
      </c>
      <c r="C141" s="3" t="s">
        <v>46</v>
      </c>
      <c r="D141" s="3" t="s">
        <v>47</v>
      </c>
      <c r="E141" s="3" t="s">
        <v>77</v>
      </c>
      <c r="F141" s="103">
        <v>177.8</v>
      </c>
      <c r="G141" s="30">
        <v>117.9</v>
      </c>
      <c r="H141" s="5">
        <f>G141/(('[1]Maya Nonsaddle'!G141/100)^2)</f>
        <v>37.294972549128772</v>
      </c>
      <c r="I141" s="1">
        <v>1</v>
      </c>
      <c r="J141" s="1">
        <v>5</v>
      </c>
      <c r="K141" s="1">
        <v>1</v>
      </c>
      <c r="L141" s="1">
        <v>0</v>
      </c>
      <c r="M141" s="1">
        <v>86</v>
      </c>
      <c r="N141" s="1">
        <v>0</v>
      </c>
      <c r="O141" s="1">
        <v>104</v>
      </c>
      <c r="P141" s="1">
        <v>0</v>
      </c>
      <c r="Q141" s="1">
        <v>16</v>
      </c>
      <c r="R141" s="1">
        <v>0</v>
      </c>
      <c r="S141" s="30">
        <v>97.6</v>
      </c>
      <c r="T141" s="1">
        <v>0</v>
      </c>
      <c r="U141" s="1">
        <v>98</v>
      </c>
      <c r="V141" s="1">
        <v>0</v>
      </c>
      <c r="W141" s="13">
        <v>0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v>1</v>
      </c>
      <c r="AD141" s="1">
        <v>0</v>
      </c>
      <c r="AE141" s="1">
        <v>1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 t="s">
        <v>48</v>
      </c>
      <c r="AQ141" s="1">
        <v>0</v>
      </c>
      <c r="AR141" s="1">
        <v>0</v>
      </c>
      <c r="AS141" s="13" t="s">
        <v>48</v>
      </c>
      <c r="AT141" s="13" t="s">
        <v>48</v>
      </c>
      <c r="AU141" s="13" t="s">
        <v>48</v>
      </c>
      <c r="AV141" s="13" t="s">
        <v>48</v>
      </c>
      <c r="AW141" s="1" t="s">
        <v>48</v>
      </c>
      <c r="AX141" s="9">
        <f>4.06/3.42</f>
        <v>1.1871345029239766</v>
      </c>
      <c r="AY141" s="47">
        <v>0</v>
      </c>
      <c r="AZ141" s="2">
        <v>0</v>
      </c>
      <c r="BA141" s="2">
        <v>1</v>
      </c>
      <c r="BB141" s="9">
        <f>3.43/3.98</f>
        <v>0.86180904522613067</v>
      </c>
      <c r="BC141" s="2">
        <v>1</v>
      </c>
      <c r="BD141" s="2">
        <v>0</v>
      </c>
      <c r="BE141" s="2">
        <v>0</v>
      </c>
      <c r="BF141" s="1">
        <v>0</v>
      </c>
      <c r="BG141" s="1" t="s">
        <v>48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 t="s">
        <v>48</v>
      </c>
      <c r="BQ141" s="1" t="s">
        <v>48</v>
      </c>
      <c r="BR141" s="1">
        <v>0</v>
      </c>
      <c r="BS141" s="1">
        <v>0</v>
      </c>
      <c r="BT141" s="13">
        <v>0</v>
      </c>
      <c r="BU141" s="1">
        <v>0</v>
      </c>
      <c r="BV141" s="2" t="s">
        <v>50</v>
      </c>
      <c r="BW141" s="13">
        <v>0</v>
      </c>
      <c r="BX141" s="1">
        <v>0</v>
      </c>
      <c r="BY141" s="1">
        <v>0</v>
      </c>
      <c r="BZ141" s="1">
        <v>0</v>
      </c>
      <c r="CA141" s="1">
        <v>0</v>
      </c>
      <c r="CB141" s="32" t="s">
        <v>60</v>
      </c>
    </row>
    <row r="142" spans="1:80" s="33" customFormat="1" x14ac:dyDescent="0.3">
      <c r="A142" s="1">
        <v>141</v>
      </c>
      <c r="B142" s="2">
        <v>72</v>
      </c>
      <c r="C142" s="3" t="s">
        <v>52</v>
      </c>
      <c r="D142" s="3" t="s">
        <v>47</v>
      </c>
      <c r="E142" s="3">
        <v>7</v>
      </c>
      <c r="F142" s="103">
        <v>167.6</v>
      </c>
      <c r="G142" s="30">
        <v>108.8</v>
      </c>
      <c r="H142" s="5">
        <f>G142/(('[1]Maya Nonsaddle'!G142/100)^2)</f>
        <v>38.714494325223725</v>
      </c>
      <c r="I142" s="1">
        <v>1</v>
      </c>
      <c r="J142" s="1">
        <v>4</v>
      </c>
      <c r="K142" s="1">
        <v>2</v>
      </c>
      <c r="L142" s="1">
        <v>1</v>
      </c>
      <c r="M142" s="1">
        <v>130</v>
      </c>
      <c r="N142" s="1">
        <v>0</v>
      </c>
      <c r="O142" s="1">
        <v>169</v>
      </c>
      <c r="P142" s="1">
        <v>0</v>
      </c>
      <c r="Q142" s="1">
        <v>28</v>
      </c>
      <c r="R142" s="1">
        <v>0</v>
      </c>
      <c r="S142" s="30">
        <v>98.8</v>
      </c>
      <c r="T142" s="1">
        <v>1</v>
      </c>
      <c r="U142" s="1">
        <v>50</v>
      </c>
      <c r="V142" s="1">
        <v>1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1</v>
      </c>
      <c r="AE142" s="1">
        <v>1</v>
      </c>
      <c r="AF142" s="1">
        <v>0</v>
      </c>
      <c r="AG142" s="1">
        <v>1</v>
      </c>
      <c r="AH142" s="1">
        <v>1</v>
      </c>
      <c r="AI142" s="1">
        <v>0</v>
      </c>
      <c r="AJ142" s="1">
        <v>0</v>
      </c>
      <c r="AK142" s="1">
        <v>1</v>
      </c>
      <c r="AL142" s="1">
        <v>0</v>
      </c>
      <c r="AM142" s="1">
        <v>0</v>
      </c>
      <c r="AN142" s="1">
        <v>0</v>
      </c>
      <c r="AO142" s="1">
        <v>1</v>
      </c>
      <c r="AP142" s="1">
        <v>1</v>
      </c>
      <c r="AQ142" s="1">
        <v>1</v>
      </c>
      <c r="AR142" s="1">
        <v>1</v>
      </c>
      <c r="AS142" s="13">
        <v>1</v>
      </c>
      <c r="AT142" s="13">
        <v>1</v>
      </c>
      <c r="AU142" s="13">
        <v>1</v>
      </c>
      <c r="AV142" s="13">
        <v>0</v>
      </c>
      <c r="AW142" s="1">
        <v>47</v>
      </c>
      <c r="AX142" s="9">
        <f>4.94/3.44</f>
        <v>1.4360465116279071</v>
      </c>
      <c r="AY142" s="47">
        <v>0</v>
      </c>
      <c r="AZ142" s="2">
        <v>0</v>
      </c>
      <c r="BA142" s="2">
        <v>1</v>
      </c>
      <c r="BB142" s="9">
        <f>3.37/3</f>
        <v>1.1233333333333333</v>
      </c>
      <c r="BC142" s="2">
        <v>5</v>
      </c>
      <c r="BD142" s="2">
        <v>1</v>
      </c>
      <c r="BE142" s="2">
        <v>1</v>
      </c>
      <c r="BF142" s="1">
        <v>1</v>
      </c>
      <c r="BG142" s="1" t="s">
        <v>75</v>
      </c>
      <c r="BH142" s="1">
        <v>1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 s="1">
        <v>0</v>
      </c>
      <c r="BQ142" s="1">
        <v>0</v>
      </c>
      <c r="BR142" s="1">
        <v>0</v>
      </c>
      <c r="BS142" s="1">
        <v>0</v>
      </c>
      <c r="BT142" s="13">
        <v>0</v>
      </c>
      <c r="BU142" s="1">
        <v>0</v>
      </c>
      <c r="BV142" s="2" t="s">
        <v>50</v>
      </c>
      <c r="BW142" s="13">
        <v>1</v>
      </c>
      <c r="BX142" s="1">
        <v>0</v>
      </c>
      <c r="BY142" s="1">
        <v>1</v>
      </c>
      <c r="BZ142" s="1">
        <v>0</v>
      </c>
      <c r="CA142" s="1">
        <v>0</v>
      </c>
      <c r="CB142" s="32" t="s">
        <v>129</v>
      </c>
    </row>
    <row r="143" spans="1:80" s="35" customFormat="1" x14ac:dyDescent="0.3">
      <c r="A143" s="1">
        <v>142</v>
      </c>
      <c r="B143" s="2">
        <v>68</v>
      </c>
      <c r="C143" s="2" t="s">
        <v>46</v>
      </c>
      <c r="D143" s="2" t="s">
        <v>47</v>
      </c>
      <c r="E143" s="2" t="s">
        <v>83</v>
      </c>
      <c r="F143" s="103">
        <v>172.7</v>
      </c>
      <c r="G143" s="15">
        <v>90</v>
      </c>
      <c r="H143" s="5">
        <f>G143/(('[1]Maya Nonsaddle'!G143/100)^2)</f>
        <v>30.168745458598181</v>
      </c>
      <c r="I143" s="13">
        <v>1</v>
      </c>
      <c r="J143" s="13">
        <v>5</v>
      </c>
      <c r="K143" s="13">
        <v>1</v>
      </c>
      <c r="L143" s="2">
        <v>0</v>
      </c>
      <c r="M143" s="13">
        <v>99</v>
      </c>
      <c r="N143" s="13">
        <v>0</v>
      </c>
      <c r="O143" s="13">
        <v>121</v>
      </c>
      <c r="P143" s="13">
        <v>0</v>
      </c>
      <c r="Q143" s="13">
        <v>20</v>
      </c>
      <c r="R143" s="13">
        <v>0</v>
      </c>
      <c r="S143" s="5">
        <v>97.3</v>
      </c>
      <c r="T143" s="13">
        <v>0</v>
      </c>
      <c r="U143" s="13">
        <v>96</v>
      </c>
      <c r="V143" s="13">
        <v>0</v>
      </c>
      <c r="W143" s="13">
        <v>0</v>
      </c>
      <c r="X143" s="13">
        <v>0</v>
      </c>
      <c r="Y143" s="13">
        <v>0</v>
      </c>
      <c r="Z143" s="13">
        <v>1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1</v>
      </c>
      <c r="AP143" s="13">
        <v>1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 t="s">
        <v>192</v>
      </c>
      <c r="AX143" s="9">
        <f>4.19/4.24</f>
        <v>0.98820754716981141</v>
      </c>
      <c r="AY143" s="47">
        <v>0</v>
      </c>
      <c r="AZ143" s="2">
        <v>0</v>
      </c>
      <c r="BA143" s="2">
        <v>1</v>
      </c>
      <c r="BB143" s="9">
        <f>2.93/3.34</f>
        <v>0.87724550898203602</v>
      </c>
      <c r="BC143" s="2">
        <v>3</v>
      </c>
      <c r="BD143" s="2">
        <v>0</v>
      </c>
      <c r="BE143" s="2">
        <v>1</v>
      </c>
      <c r="BF143" s="13">
        <v>0</v>
      </c>
      <c r="BG143" s="13" t="s">
        <v>48</v>
      </c>
      <c r="BH143" s="13">
        <v>0</v>
      </c>
      <c r="BI143" s="1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 t="s">
        <v>48</v>
      </c>
      <c r="BQ143" s="13" t="s">
        <v>48</v>
      </c>
      <c r="BR143" s="13">
        <v>0</v>
      </c>
      <c r="BS143" s="13">
        <v>0</v>
      </c>
      <c r="BT143" s="13">
        <v>0</v>
      </c>
      <c r="BU143" s="13">
        <v>0</v>
      </c>
      <c r="BV143" s="2" t="s">
        <v>57</v>
      </c>
      <c r="BW143" s="13" t="s">
        <v>57</v>
      </c>
      <c r="BX143" s="13">
        <v>0</v>
      </c>
      <c r="BY143" s="13">
        <v>0</v>
      </c>
      <c r="BZ143" s="13">
        <v>0</v>
      </c>
      <c r="CA143" s="13">
        <v>1</v>
      </c>
      <c r="CB143" s="18" t="s">
        <v>60</v>
      </c>
    </row>
    <row r="144" spans="1:80" s="33" customFormat="1" x14ac:dyDescent="0.3">
      <c r="A144" s="1">
        <v>143</v>
      </c>
      <c r="B144" s="2">
        <v>70</v>
      </c>
      <c r="C144" s="3" t="s">
        <v>46</v>
      </c>
      <c r="D144" s="3" t="s">
        <v>91</v>
      </c>
      <c r="E144" s="3">
        <v>1</v>
      </c>
      <c r="F144" s="103">
        <v>182.9</v>
      </c>
      <c r="G144" s="6">
        <v>113.3</v>
      </c>
      <c r="H144" s="5">
        <f>G144/(('[1]Maya Nonsaddle'!G144/100)^2)</f>
        <v>33.876418061478098</v>
      </c>
      <c r="I144" s="1">
        <v>1</v>
      </c>
      <c r="J144" s="1">
        <v>4</v>
      </c>
      <c r="K144" s="1">
        <v>3</v>
      </c>
      <c r="L144" s="3">
        <v>1</v>
      </c>
      <c r="M144" s="1">
        <v>119</v>
      </c>
      <c r="N144" s="1">
        <v>0</v>
      </c>
      <c r="O144" s="1">
        <v>105</v>
      </c>
      <c r="P144" s="1">
        <v>0</v>
      </c>
      <c r="Q144" s="1">
        <v>20</v>
      </c>
      <c r="R144" s="1">
        <v>0</v>
      </c>
      <c r="S144" s="30">
        <v>97.8</v>
      </c>
      <c r="T144" s="1">
        <v>0</v>
      </c>
      <c r="U144" s="1">
        <v>99</v>
      </c>
      <c r="V144" s="1">
        <v>0</v>
      </c>
      <c r="W144" s="13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1</v>
      </c>
      <c r="AE144" s="1">
        <v>1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 t="s">
        <v>48</v>
      </c>
      <c r="AP144" s="1" t="s">
        <v>48</v>
      </c>
      <c r="AQ144" s="1">
        <v>1</v>
      </c>
      <c r="AR144" s="1">
        <v>1</v>
      </c>
      <c r="AS144" s="13">
        <v>1</v>
      </c>
      <c r="AT144" s="13">
        <v>1</v>
      </c>
      <c r="AU144" s="13">
        <v>1</v>
      </c>
      <c r="AV144" s="13">
        <v>0</v>
      </c>
      <c r="AW144" s="1" t="s">
        <v>192</v>
      </c>
      <c r="AX144" s="9">
        <f>5.68/4</f>
        <v>1.42</v>
      </c>
      <c r="AY144" s="47">
        <v>0</v>
      </c>
      <c r="AZ144" s="2">
        <v>0</v>
      </c>
      <c r="BA144" s="2">
        <v>1</v>
      </c>
      <c r="BB144" s="9">
        <f>3.56/3.51</f>
        <v>1.0142450142450143</v>
      </c>
      <c r="BC144" s="2">
        <v>5</v>
      </c>
      <c r="BD144" s="2">
        <v>1</v>
      </c>
      <c r="BE144" s="2">
        <v>1</v>
      </c>
      <c r="BF144" s="1">
        <v>0</v>
      </c>
      <c r="BG144" s="1" t="s">
        <v>48</v>
      </c>
      <c r="BH144" s="1">
        <v>1</v>
      </c>
      <c r="BI144" s="1">
        <v>0</v>
      </c>
      <c r="BJ144" s="1">
        <v>1</v>
      </c>
      <c r="BK144" s="1">
        <v>1</v>
      </c>
      <c r="BL144" s="1">
        <v>0</v>
      </c>
      <c r="BM144" s="1">
        <v>1</v>
      </c>
      <c r="BN144" s="1">
        <v>0</v>
      </c>
      <c r="BO144" s="1">
        <v>0</v>
      </c>
      <c r="BP144" s="1" t="s">
        <v>48</v>
      </c>
      <c r="BQ144" s="1" t="s">
        <v>48</v>
      </c>
      <c r="BR144" s="1">
        <v>0</v>
      </c>
      <c r="BS144" s="1">
        <v>0</v>
      </c>
      <c r="BT144" s="13">
        <v>0</v>
      </c>
      <c r="BU144" s="1">
        <v>0</v>
      </c>
      <c r="BV144" s="2" t="s">
        <v>82</v>
      </c>
      <c r="BW144" s="13" t="s">
        <v>48</v>
      </c>
      <c r="BX144" s="1" t="s">
        <v>48</v>
      </c>
      <c r="BY144" s="1" t="s">
        <v>48</v>
      </c>
      <c r="BZ144" s="1" t="s">
        <v>48</v>
      </c>
      <c r="CA144" s="1" t="s">
        <v>48</v>
      </c>
      <c r="CB144" s="12" t="s">
        <v>54</v>
      </c>
    </row>
    <row r="145" spans="1:111" s="33" customFormat="1" x14ac:dyDescent="0.3">
      <c r="A145" s="1">
        <v>144</v>
      </c>
      <c r="B145" s="2">
        <v>61</v>
      </c>
      <c r="C145" s="3" t="s">
        <v>46</v>
      </c>
      <c r="D145" s="3" t="s">
        <v>47</v>
      </c>
      <c r="E145" s="3" t="s">
        <v>77</v>
      </c>
      <c r="F145" s="103">
        <v>172.7</v>
      </c>
      <c r="G145" s="6">
        <v>70.3</v>
      </c>
      <c r="H145" s="5">
        <f>G145/(('[1]Maya Nonsaddle'!G145/100)^2)</f>
        <v>23.565142285993911</v>
      </c>
      <c r="I145" s="1">
        <v>0</v>
      </c>
      <c r="J145" s="1">
        <v>2</v>
      </c>
      <c r="K145" s="1">
        <v>1</v>
      </c>
      <c r="L145" s="3">
        <v>0</v>
      </c>
      <c r="M145" s="1">
        <v>79</v>
      </c>
      <c r="N145" s="1">
        <v>0</v>
      </c>
      <c r="O145" s="1">
        <v>129</v>
      </c>
      <c r="P145" s="1">
        <v>0</v>
      </c>
      <c r="Q145" s="1">
        <v>16</v>
      </c>
      <c r="R145" s="1">
        <v>0</v>
      </c>
      <c r="S145" s="30">
        <v>98.9</v>
      </c>
      <c r="T145" s="1">
        <v>0</v>
      </c>
      <c r="U145" s="1">
        <v>100</v>
      </c>
      <c r="V145" s="1">
        <v>0</v>
      </c>
      <c r="W145" s="13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1</v>
      </c>
      <c r="AM145" s="1">
        <v>0</v>
      </c>
      <c r="AN145" s="1">
        <v>0</v>
      </c>
      <c r="AO145" s="1">
        <v>0</v>
      </c>
      <c r="AP145" s="1" t="s">
        <v>48</v>
      </c>
      <c r="AQ145" s="1" t="s">
        <v>48</v>
      </c>
      <c r="AR145" s="1">
        <v>0</v>
      </c>
      <c r="AS145" s="13" t="s">
        <v>48</v>
      </c>
      <c r="AT145" s="13" t="s">
        <v>48</v>
      </c>
      <c r="AU145" s="13" t="s">
        <v>48</v>
      </c>
      <c r="AV145" s="13" t="s">
        <v>48</v>
      </c>
      <c r="AW145" s="1" t="s">
        <v>48</v>
      </c>
      <c r="AX145" s="9">
        <f>3.47/4.03</f>
        <v>0.86104218362282881</v>
      </c>
      <c r="AY145" s="47">
        <v>1</v>
      </c>
      <c r="AZ145" s="2">
        <v>0</v>
      </c>
      <c r="BA145" s="2">
        <v>0</v>
      </c>
      <c r="BB145" s="9">
        <f>2.32/2.77</f>
        <v>0.83754512635379053</v>
      </c>
      <c r="BC145" s="2">
        <v>2</v>
      </c>
      <c r="BD145" s="2">
        <v>0</v>
      </c>
      <c r="BE145" s="2">
        <v>0</v>
      </c>
      <c r="BF145" s="1">
        <v>0</v>
      </c>
      <c r="BG145" s="1" t="s">
        <v>48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 t="s">
        <v>48</v>
      </c>
      <c r="BQ145" s="1" t="s">
        <v>48</v>
      </c>
      <c r="BR145" s="1">
        <v>0</v>
      </c>
      <c r="BS145" s="1">
        <v>0</v>
      </c>
      <c r="BT145" s="13">
        <v>0</v>
      </c>
      <c r="BU145" s="1">
        <v>0</v>
      </c>
      <c r="BV145" s="2" t="s">
        <v>57</v>
      </c>
      <c r="BW145" s="13" t="s">
        <v>57</v>
      </c>
      <c r="BX145" s="1">
        <v>0</v>
      </c>
      <c r="BY145" s="1">
        <v>0</v>
      </c>
      <c r="BZ145" s="1">
        <v>0</v>
      </c>
      <c r="CA145" s="1">
        <v>0</v>
      </c>
      <c r="CB145" s="12" t="s">
        <v>54</v>
      </c>
    </row>
    <row r="146" spans="1:111" s="35" customFormat="1" x14ac:dyDescent="0.3">
      <c r="A146" s="1">
        <v>145</v>
      </c>
      <c r="B146" s="2">
        <v>90</v>
      </c>
      <c r="C146" s="2" t="s">
        <v>46</v>
      </c>
      <c r="D146" s="2" t="s">
        <v>47</v>
      </c>
      <c r="E146" s="2" t="s">
        <v>109</v>
      </c>
      <c r="F146" s="103">
        <v>175.3</v>
      </c>
      <c r="G146" s="15">
        <v>77.8</v>
      </c>
      <c r="H146" s="5">
        <f>G146/(('[1]Maya Nonsaddle'!G146/100)^2)</f>
        <v>25.328763112892744</v>
      </c>
      <c r="I146" s="13">
        <v>1</v>
      </c>
      <c r="J146" s="13">
        <v>4</v>
      </c>
      <c r="K146" s="13">
        <v>2</v>
      </c>
      <c r="L146" s="2">
        <v>0</v>
      </c>
      <c r="M146" s="13">
        <v>96</v>
      </c>
      <c r="N146" s="13">
        <v>0</v>
      </c>
      <c r="O146" s="13">
        <v>168</v>
      </c>
      <c r="P146" s="13">
        <v>0</v>
      </c>
      <c r="Q146" s="13">
        <v>18</v>
      </c>
      <c r="R146" s="13">
        <v>0</v>
      </c>
      <c r="S146" s="5">
        <v>97.3</v>
      </c>
      <c r="T146" s="13">
        <v>1</v>
      </c>
      <c r="U146" s="13">
        <v>80</v>
      </c>
      <c r="V146" s="13">
        <v>1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1</v>
      </c>
      <c r="AF146" s="13">
        <v>0</v>
      </c>
      <c r="AG146" s="13">
        <v>1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1</v>
      </c>
      <c r="AN146" s="13">
        <v>0</v>
      </c>
      <c r="AO146" s="13">
        <v>0</v>
      </c>
      <c r="AP146" s="13" t="s">
        <v>48</v>
      </c>
      <c r="AQ146" s="13">
        <v>0</v>
      </c>
      <c r="AR146" s="13">
        <v>1</v>
      </c>
      <c r="AS146" s="13" t="s">
        <v>48</v>
      </c>
      <c r="AT146" s="13" t="s">
        <v>48</v>
      </c>
      <c r="AU146" s="13" t="s">
        <v>48</v>
      </c>
      <c r="AV146" s="13" t="s">
        <v>48</v>
      </c>
      <c r="AW146" s="13" t="s">
        <v>48</v>
      </c>
      <c r="AX146" s="9">
        <f>3.5/4.48</f>
        <v>0.78124999999999989</v>
      </c>
      <c r="AY146" s="47">
        <v>0</v>
      </c>
      <c r="AZ146" s="2">
        <v>0</v>
      </c>
      <c r="BA146" s="2">
        <v>0</v>
      </c>
      <c r="BB146" s="9">
        <f>2.76/3.5</f>
        <v>0.78857142857142848</v>
      </c>
      <c r="BC146" s="2">
        <v>1</v>
      </c>
      <c r="BD146" s="2">
        <v>1</v>
      </c>
      <c r="BE146" s="2">
        <v>1</v>
      </c>
      <c r="BF146" s="13">
        <v>1</v>
      </c>
      <c r="BG146" s="13" t="s">
        <v>75</v>
      </c>
      <c r="BH146" s="13">
        <v>0</v>
      </c>
      <c r="BI146" s="1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 t="s">
        <v>48</v>
      </c>
      <c r="BQ146" s="13" t="s">
        <v>48</v>
      </c>
      <c r="BR146" s="13">
        <v>0</v>
      </c>
      <c r="BS146" s="13">
        <v>0</v>
      </c>
      <c r="BT146" s="13">
        <v>0</v>
      </c>
      <c r="BU146" s="13">
        <v>0</v>
      </c>
      <c r="BV146" s="2" t="s">
        <v>50</v>
      </c>
      <c r="BW146" s="13">
        <v>1</v>
      </c>
      <c r="BX146" s="13">
        <v>0</v>
      </c>
      <c r="BY146" s="13">
        <v>0</v>
      </c>
      <c r="BZ146" s="13">
        <v>0</v>
      </c>
      <c r="CA146" s="13">
        <v>0</v>
      </c>
      <c r="CB146" s="18" t="s">
        <v>61</v>
      </c>
    </row>
    <row r="147" spans="1:111" s="33" customFormat="1" x14ac:dyDescent="0.3">
      <c r="A147" s="1">
        <v>146</v>
      </c>
      <c r="B147" s="2">
        <v>55</v>
      </c>
      <c r="C147" s="3" t="s">
        <v>46</v>
      </c>
      <c r="D147" s="3" t="s">
        <v>47</v>
      </c>
      <c r="E147" s="3" t="s">
        <v>87</v>
      </c>
      <c r="F147" s="103">
        <v>188</v>
      </c>
      <c r="G147" s="6">
        <v>129.30000000000001</v>
      </c>
      <c r="H147" s="5">
        <f>G147/(('[1]Maya Nonsaddle'!G147/100)^2)</f>
        <v>36.598867938422508</v>
      </c>
      <c r="I147" s="1">
        <v>0</v>
      </c>
      <c r="J147" s="1">
        <v>1</v>
      </c>
      <c r="K147" s="1">
        <v>1</v>
      </c>
      <c r="L147" s="3">
        <v>0</v>
      </c>
      <c r="M147" s="1">
        <v>75</v>
      </c>
      <c r="N147" s="1">
        <v>0</v>
      </c>
      <c r="O147" s="1">
        <v>133</v>
      </c>
      <c r="P147" s="1">
        <v>0</v>
      </c>
      <c r="Q147" s="1">
        <v>18</v>
      </c>
      <c r="R147" s="1">
        <v>0</v>
      </c>
      <c r="S147" s="30">
        <v>97.8</v>
      </c>
      <c r="T147" s="1">
        <v>0</v>
      </c>
      <c r="U147" s="1">
        <v>96</v>
      </c>
      <c r="V147" s="1">
        <v>0</v>
      </c>
      <c r="W147" s="13">
        <v>0</v>
      </c>
      <c r="X147" s="1">
        <v>0</v>
      </c>
      <c r="Y147" s="1">
        <v>1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1</v>
      </c>
      <c r="AG147" s="1">
        <v>0</v>
      </c>
      <c r="AH147" s="1">
        <v>0</v>
      </c>
      <c r="AI147" s="1">
        <v>0</v>
      </c>
      <c r="AJ147" s="1">
        <v>0</v>
      </c>
      <c r="AK147" s="1">
        <v>1</v>
      </c>
      <c r="AL147" s="1">
        <v>0</v>
      </c>
      <c r="AM147" s="1">
        <v>0</v>
      </c>
      <c r="AN147" s="1">
        <v>0</v>
      </c>
      <c r="AO147" s="1">
        <v>1</v>
      </c>
      <c r="AP147" s="1">
        <v>1</v>
      </c>
      <c r="AQ147" s="1">
        <v>0</v>
      </c>
      <c r="AR147" s="1">
        <v>0</v>
      </c>
      <c r="AS147" s="13" t="s">
        <v>48</v>
      </c>
      <c r="AT147" s="13" t="s">
        <v>48</v>
      </c>
      <c r="AU147" s="13" t="s">
        <v>48</v>
      </c>
      <c r="AV147" s="13" t="s">
        <v>48</v>
      </c>
      <c r="AW147" s="1" t="s">
        <v>48</v>
      </c>
      <c r="AX147" s="45">
        <f>4.57/4.71</f>
        <v>0.97027600849256912</v>
      </c>
      <c r="AY147" s="93">
        <v>0</v>
      </c>
      <c r="AZ147" s="2">
        <v>0</v>
      </c>
      <c r="BA147" s="2">
        <v>1</v>
      </c>
      <c r="BB147" s="45">
        <f>3.12/3.8</f>
        <v>0.82105263157894748</v>
      </c>
      <c r="BC147" s="46">
        <v>2</v>
      </c>
      <c r="BD147" s="46">
        <v>0</v>
      </c>
      <c r="BE147" s="46">
        <v>0</v>
      </c>
      <c r="BF147" s="1">
        <v>0</v>
      </c>
      <c r="BG147" s="1" t="s">
        <v>48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 t="s">
        <v>48</v>
      </c>
      <c r="BQ147" s="1" t="s">
        <v>48</v>
      </c>
      <c r="BR147" s="1">
        <v>0</v>
      </c>
      <c r="BS147" s="1">
        <v>0</v>
      </c>
      <c r="BT147" s="13">
        <v>0</v>
      </c>
      <c r="BU147" s="1">
        <v>0</v>
      </c>
      <c r="BV147" s="2" t="s">
        <v>50</v>
      </c>
      <c r="BW147" s="13">
        <v>0</v>
      </c>
      <c r="BX147" s="1" t="s">
        <v>48</v>
      </c>
      <c r="BY147" s="1" t="s">
        <v>48</v>
      </c>
      <c r="BZ147" s="1">
        <v>0</v>
      </c>
      <c r="CA147" s="1">
        <v>0</v>
      </c>
      <c r="CB147" s="12" t="s">
        <v>55</v>
      </c>
    </row>
    <row r="148" spans="1:111" s="33" customFormat="1" x14ac:dyDescent="0.3">
      <c r="A148" s="1">
        <v>147</v>
      </c>
      <c r="B148" s="2">
        <v>60</v>
      </c>
      <c r="C148" s="3" t="s">
        <v>52</v>
      </c>
      <c r="D148" s="3" t="s">
        <v>53</v>
      </c>
      <c r="E148" s="3" t="s">
        <v>109</v>
      </c>
      <c r="F148" s="103">
        <v>165.1</v>
      </c>
      <c r="G148" s="6">
        <v>78.099999999999994</v>
      </c>
      <c r="H148" s="5">
        <f>G148/(('[1]Maya Nonsaddle'!G148/100)^2)</f>
        <v>28.652128310173776</v>
      </c>
      <c r="I148" s="1">
        <v>0</v>
      </c>
      <c r="J148" s="1">
        <v>1</v>
      </c>
      <c r="K148" s="1">
        <v>1</v>
      </c>
      <c r="L148" s="3">
        <v>0</v>
      </c>
      <c r="M148" s="1">
        <v>100</v>
      </c>
      <c r="N148" s="1">
        <v>0</v>
      </c>
      <c r="O148" s="1">
        <v>213</v>
      </c>
      <c r="P148" s="1">
        <v>0</v>
      </c>
      <c r="Q148" s="1">
        <v>23</v>
      </c>
      <c r="R148" s="1">
        <v>0</v>
      </c>
      <c r="S148" s="30">
        <v>97.7</v>
      </c>
      <c r="T148" s="1">
        <v>0</v>
      </c>
      <c r="U148" s="1">
        <v>100</v>
      </c>
      <c r="V148" s="1">
        <v>0</v>
      </c>
      <c r="W148" s="13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 t="s">
        <v>48</v>
      </c>
      <c r="AP148" s="1" t="s">
        <v>48</v>
      </c>
      <c r="AQ148" s="1" t="s">
        <v>48</v>
      </c>
      <c r="AR148" s="1">
        <v>0</v>
      </c>
      <c r="AS148" s="13" t="s">
        <v>48</v>
      </c>
      <c r="AT148" s="13" t="s">
        <v>48</v>
      </c>
      <c r="AU148" s="13" t="s">
        <v>48</v>
      </c>
      <c r="AV148" s="13" t="s">
        <v>48</v>
      </c>
      <c r="AW148" s="1" t="s">
        <v>48</v>
      </c>
      <c r="AX148" s="9">
        <f>5.77/4.1</f>
        <v>1.4073170731707316</v>
      </c>
      <c r="AY148" s="47">
        <v>0</v>
      </c>
      <c r="AZ148" s="2">
        <v>0</v>
      </c>
      <c r="BA148" s="2">
        <v>1</v>
      </c>
      <c r="BB148" s="9">
        <f>2.68/3.21</f>
        <v>0.83489096573208732</v>
      </c>
      <c r="BC148" s="2">
        <v>4</v>
      </c>
      <c r="BD148" s="2">
        <v>1</v>
      </c>
      <c r="BE148" s="2">
        <v>1</v>
      </c>
      <c r="BF148" s="1">
        <v>0</v>
      </c>
      <c r="BG148" s="1" t="s">
        <v>48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 t="s">
        <v>48</v>
      </c>
      <c r="BQ148" s="1" t="s">
        <v>48</v>
      </c>
      <c r="BR148" s="1">
        <v>0</v>
      </c>
      <c r="BS148" s="1">
        <v>0</v>
      </c>
      <c r="BT148" s="13">
        <v>0</v>
      </c>
      <c r="BU148" s="1">
        <v>0</v>
      </c>
      <c r="BV148" s="2" t="s">
        <v>50</v>
      </c>
      <c r="BW148" s="13">
        <v>0</v>
      </c>
      <c r="BX148" s="1">
        <v>0</v>
      </c>
      <c r="BY148" s="1">
        <v>0</v>
      </c>
      <c r="BZ148" s="1">
        <v>0</v>
      </c>
      <c r="CA148" s="1">
        <v>0</v>
      </c>
      <c r="CB148" s="12" t="s">
        <v>54</v>
      </c>
    </row>
    <row r="149" spans="1:111" s="35" customFormat="1" x14ac:dyDescent="0.3">
      <c r="A149" s="1">
        <v>148</v>
      </c>
      <c r="B149" s="2">
        <v>42</v>
      </c>
      <c r="C149" s="2" t="s">
        <v>52</v>
      </c>
      <c r="D149" s="2" t="s">
        <v>47</v>
      </c>
      <c r="E149" s="2" t="s">
        <v>77</v>
      </c>
      <c r="F149" s="103">
        <v>157.5</v>
      </c>
      <c r="G149" s="15">
        <v>63</v>
      </c>
      <c r="H149" s="5">
        <f>G149/(('[1]Maya Nonsaddle'!G149/100)^2)</f>
        <v>25.403276613004838</v>
      </c>
      <c r="I149" s="13">
        <v>0</v>
      </c>
      <c r="J149" s="13">
        <v>1</v>
      </c>
      <c r="K149" s="13">
        <v>1</v>
      </c>
      <c r="L149" s="2">
        <v>0</v>
      </c>
      <c r="M149" s="13">
        <v>96</v>
      </c>
      <c r="N149" s="13">
        <v>0</v>
      </c>
      <c r="O149" s="13">
        <v>130</v>
      </c>
      <c r="P149" s="13">
        <v>0</v>
      </c>
      <c r="Q149" s="13">
        <v>19</v>
      </c>
      <c r="R149" s="13">
        <v>0</v>
      </c>
      <c r="S149" s="5">
        <v>98</v>
      </c>
      <c r="T149" s="13">
        <v>0</v>
      </c>
      <c r="U149" s="13">
        <v>97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 t="s">
        <v>48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 t="s">
        <v>192</v>
      </c>
      <c r="AX149" s="9">
        <f>3.85/4.49</f>
        <v>0.85746102449888639</v>
      </c>
      <c r="AY149" s="47">
        <v>1</v>
      </c>
      <c r="AZ149" s="2">
        <v>0</v>
      </c>
      <c r="BA149" s="2">
        <v>0</v>
      </c>
      <c r="BB149" s="9">
        <f>2.57/3.24</f>
        <v>0.79320987654320974</v>
      </c>
      <c r="BC149" s="2">
        <v>1</v>
      </c>
      <c r="BD149" s="2">
        <v>0</v>
      </c>
      <c r="BE149" s="2">
        <v>1</v>
      </c>
      <c r="BF149" s="13">
        <v>0</v>
      </c>
      <c r="BG149" s="13" t="s">
        <v>48</v>
      </c>
      <c r="BH149" s="13">
        <v>0</v>
      </c>
      <c r="BI149" s="1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 t="s">
        <v>48</v>
      </c>
      <c r="BQ149" s="13" t="s">
        <v>48</v>
      </c>
      <c r="BR149" s="13">
        <v>0</v>
      </c>
      <c r="BS149" s="13">
        <v>0</v>
      </c>
      <c r="BT149" s="13">
        <v>0</v>
      </c>
      <c r="BU149" s="13">
        <v>0</v>
      </c>
      <c r="BV149" s="2" t="s">
        <v>50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8" t="s">
        <v>108</v>
      </c>
    </row>
    <row r="150" spans="1:111" s="35" customFormat="1" x14ac:dyDescent="0.3">
      <c r="A150" s="1">
        <v>149</v>
      </c>
      <c r="B150" s="2">
        <v>55</v>
      </c>
      <c r="C150" s="2" t="s">
        <v>46</v>
      </c>
      <c r="D150" s="2" t="s">
        <v>47</v>
      </c>
      <c r="E150" s="2" t="s">
        <v>130</v>
      </c>
      <c r="F150" s="103">
        <v>182.9</v>
      </c>
      <c r="G150" s="15">
        <v>135.5</v>
      </c>
      <c r="H150" s="5">
        <f>G150/(('[1]Maya Nonsaddle'!G150/100)^2)</f>
        <v>40.514162818449094</v>
      </c>
      <c r="I150" s="13">
        <v>1</v>
      </c>
      <c r="J150" s="13">
        <v>3</v>
      </c>
      <c r="K150" s="13">
        <v>1</v>
      </c>
      <c r="L150" s="2">
        <v>1</v>
      </c>
      <c r="M150" s="13">
        <v>123</v>
      </c>
      <c r="N150" s="13">
        <v>0</v>
      </c>
      <c r="O150" s="13">
        <v>126</v>
      </c>
      <c r="P150" s="13">
        <v>0</v>
      </c>
      <c r="Q150" s="13">
        <v>20</v>
      </c>
      <c r="R150" s="13">
        <v>0</v>
      </c>
      <c r="S150" s="5">
        <v>98.7</v>
      </c>
      <c r="T150" s="13">
        <v>1</v>
      </c>
      <c r="U150" s="13">
        <v>84</v>
      </c>
      <c r="V150" s="13">
        <v>1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1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1</v>
      </c>
      <c r="AP150" s="13">
        <v>1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30.4</v>
      </c>
      <c r="AX150" s="9">
        <f>5.56/4.37</f>
        <v>1.2723112128146452</v>
      </c>
      <c r="AY150" s="47">
        <v>0</v>
      </c>
      <c r="AZ150" s="2">
        <v>0</v>
      </c>
      <c r="BA150" s="2">
        <v>1</v>
      </c>
      <c r="BB150" s="9">
        <f>3.9/3.46</f>
        <v>1.1271676300578035</v>
      </c>
      <c r="BC150" s="2">
        <v>2</v>
      </c>
      <c r="BD150" s="2">
        <v>1</v>
      </c>
      <c r="BE150" s="2">
        <v>1</v>
      </c>
      <c r="BF150" s="13">
        <v>0</v>
      </c>
      <c r="BG150" s="13" t="s">
        <v>48</v>
      </c>
      <c r="BH150" s="13">
        <v>1</v>
      </c>
      <c r="BI150" s="1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13">
        <v>1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2" t="s">
        <v>50</v>
      </c>
      <c r="BW150" s="13">
        <v>0</v>
      </c>
      <c r="BX150" s="13">
        <v>0</v>
      </c>
      <c r="BY150" s="13">
        <v>1</v>
      </c>
      <c r="BZ150" s="13">
        <v>0</v>
      </c>
      <c r="CA150" s="13">
        <v>0</v>
      </c>
      <c r="CB150" s="18" t="s">
        <v>54</v>
      </c>
    </row>
    <row r="151" spans="1:111" s="35" customFormat="1" x14ac:dyDescent="0.3">
      <c r="A151" s="1">
        <v>150</v>
      </c>
      <c r="B151" s="2">
        <v>69</v>
      </c>
      <c r="C151" s="2" t="s">
        <v>52</v>
      </c>
      <c r="D151" s="2" t="s">
        <v>47</v>
      </c>
      <c r="E151" s="2" t="s">
        <v>83</v>
      </c>
      <c r="F151" s="103">
        <v>167.6</v>
      </c>
      <c r="G151" s="15">
        <v>117.9</v>
      </c>
      <c r="H151" s="5">
        <f>G151/(('[1]Maya Nonsaddle'!G151/100)^2)</f>
        <v>41.952563243969465</v>
      </c>
      <c r="I151" s="13">
        <v>1</v>
      </c>
      <c r="J151" s="13">
        <v>4</v>
      </c>
      <c r="K151" s="13">
        <v>1</v>
      </c>
      <c r="L151" s="2">
        <v>0</v>
      </c>
      <c r="M151" s="13">
        <v>104</v>
      </c>
      <c r="N151" s="13">
        <v>0</v>
      </c>
      <c r="O151" s="13">
        <v>207</v>
      </c>
      <c r="P151" s="13">
        <v>0</v>
      </c>
      <c r="Q151" s="13">
        <v>20</v>
      </c>
      <c r="R151" s="13">
        <v>0</v>
      </c>
      <c r="S151" s="5">
        <v>97.2</v>
      </c>
      <c r="T151" s="13">
        <v>0</v>
      </c>
      <c r="U151" s="13">
        <v>97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1</v>
      </c>
      <c r="AB151" s="13">
        <v>1</v>
      </c>
      <c r="AC151" s="13">
        <v>0</v>
      </c>
      <c r="AD151" s="13">
        <v>1</v>
      </c>
      <c r="AE151" s="13">
        <v>1</v>
      </c>
      <c r="AF151" s="13">
        <v>0</v>
      </c>
      <c r="AG151" s="13">
        <v>0</v>
      </c>
      <c r="AH151" s="13">
        <v>0</v>
      </c>
      <c r="AI151" s="13">
        <v>1</v>
      </c>
      <c r="AJ151" s="13">
        <v>0</v>
      </c>
      <c r="AK151" s="13">
        <v>1</v>
      </c>
      <c r="AL151" s="13">
        <v>0</v>
      </c>
      <c r="AM151" s="13">
        <v>0</v>
      </c>
      <c r="AN151" s="13">
        <v>0</v>
      </c>
      <c r="AO151" s="13">
        <v>0</v>
      </c>
      <c r="AP151" s="13" t="s">
        <v>48</v>
      </c>
      <c r="AQ151" s="13" t="s">
        <v>48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 t="s">
        <v>192</v>
      </c>
      <c r="AX151" s="9">
        <f>2.91/4.93</f>
        <v>0.59026369168357007</v>
      </c>
      <c r="AY151" s="47">
        <v>0</v>
      </c>
      <c r="AZ151" s="2">
        <v>0</v>
      </c>
      <c r="BA151" s="2">
        <v>0</v>
      </c>
      <c r="BB151" s="9">
        <f>3/3.18</f>
        <v>0.94339622641509424</v>
      </c>
      <c r="BC151" s="2">
        <v>1</v>
      </c>
      <c r="BD151" s="2">
        <v>0</v>
      </c>
      <c r="BE151" s="2">
        <v>0</v>
      </c>
      <c r="BF151" s="13">
        <v>1</v>
      </c>
      <c r="BG151" s="13" t="s">
        <v>75</v>
      </c>
      <c r="BH151" s="13">
        <v>0</v>
      </c>
      <c r="BI151" s="1">
        <v>0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 t="s">
        <v>48</v>
      </c>
      <c r="BQ151" s="13" t="s">
        <v>48</v>
      </c>
      <c r="BR151" s="13">
        <v>0</v>
      </c>
      <c r="BS151" s="13">
        <v>0</v>
      </c>
      <c r="BT151" s="13">
        <v>0</v>
      </c>
      <c r="BU151" s="13">
        <v>0</v>
      </c>
      <c r="BV151" s="2" t="s">
        <v>50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8" t="s">
        <v>56</v>
      </c>
    </row>
    <row r="152" spans="1:111" s="35" customFormat="1" x14ac:dyDescent="0.3">
      <c r="A152" s="1">
        <v>151</v>
      </c>
      <c r="B152" s="47" t="s">
        <v>131</v>
      </c>
      <c r="C152" s="2" t="s">
        <v>52</v>
      </c>
      <c r="D152" s="2" t="s">
        <v>53</v>
      </c>
      <c r="E152" s="2" t="s">
        <v>77</v>
      </c>
      <c r="F152" s="103">
        <v>175.3</v>
      </c>
      <c r="G152" s="15">
        <v>95.7</v>
      </c>
      <c r="H152" s="5">
        <f>G152/(('[1]Maya Nonsaddle'!G152/100)^2)</f>
        <v>31.156332003905344</v>
      </c>
      <c r="I152" s="13">
        <v>1</v>
      </c>
      <c r="J152" s="13">
        <v>3</v>
      </c>
      <c r="K152" s="13">
        <v>1</v>
      </c>
      <c r="L152" s="2">
        <v>0</v>
      </c>
      <c r="M152" s="13">
        <v>73</v>
      </c>
      <c r="N152" s="10">
        <v>0</v>
      </c>
      <c r="O152" s="13">
        <v>147</v>
      </c>
      <c r="P152" s="13">
        <v>0</v>
      </c>
      <c r="Q152" s="13">
        <v>18</v>
      </c>
      <c r="R152" s="13">
        <v>0</v>
      </c>
      <c r="S152" s="5">
        <v>98.5</v>
      </c>
      <c r="T152" s="13">
        <v>0</v>
      </c>
      <c r="U152" s="13">
        <v>99</v>
      </c>
      <c r="V152" s="13">
        <v>0</v>
      </c>
      <c r="W152" s="13">
        <v>0</v>
      </c>
      <c r="X152" s="13">
        <v>0</v>
      </c>
      <c r="Y152" s="13">
        <v>0</v>
      </c>
      <c r="Z152" s="13">
        <v>1</v>
      </c>
      <c r="AA152" s="13">
        <v>0</v>
      </c>
      <c r="AB152" s="13">
        <v>0</v>
      </c>
      <c r="AC152" s="13">
        <v>1</v>
      </c>
      <c r="AD152" s="13">
        <v>0</v>
      </c>
      <c r="AE152" s="13">
        <v>0</v>
      </c>
      <c r="AF152" s="13">
        <v>0</v>
      </c>
      <c r="AG152" s="13">
        <v>1</v>
      </c>
      <c r="AH152" s="13">
        <v>0</v>
      </c>
      <c r="AI152" s="13">
        <v>1</v>
      </c>
      <c r="AJ152" s="13">
        <v>1</v>
      </c>
      <c r="AK152" s="13">
        <v>0</v>
      </c>
      <c r="AL152" s="13">
        <v>0</v>
      </c>
      <c r="AM152" s="13">
        <v>0</v>
      </c>
      <c r="AN152" s="13">
        <v>0</v>
      </c>
      <c r="AO152" s="13">
        <v>1</v>
      </c>
      <c r="AP152" s="13">
        <v>1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 t="s">
        <v>192</v>
      </c>
      <c r="AX152" s="9">
        <f>2.97/3.86</f>
        <v>0.76943005181347157</v>
      </c>
      <c r="AY152" s="47">
        <v>0</v>
      </c>
      <c r="AZ152" s="2">
        <v>0</v>
      </c>
      <c r="BA152" s="2">
        <v>0</v>
      </c>
      <c r="BB152" s="9">
        <f>3.3/3.61</f>
        <v>0.91412742382271461</v>
      </c>
      <c r="BC152" s="2">
        <v>2</v>
      </c>
      <c r="BD152" s="2">
        <v>0</v>
      </c>
      <c r="BE152" s="2">
        <v>0</v>
      </c>
      <c r="BF152" s="13">
        <v>0</v>
      </c>
      <c r="BG152" s="13" t="s">
        <v>48</v>
      </c>
      <c r="BH152" s="13">
        <v>0</v>
      </c>
      <c r="BI152" s="1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 t="s">
        <v>48</v>
      </c>
      <c r="BQ152" s="13" t="s">
        <v>48</v>
      </c>
      <c r="BR152" s="13">
        <v>0</v>
      </c>
      <c r="BS152" s="13">
        <v>0</v>
      </c>
      <c r="BT152" s="13">
        <v>0</v>
      </c>
      <c r="BU152" s="13">
        <v>0</v>
      </c>
      <c r="BV152" s="2" t="s">
        <v>50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8" t="s">
        <v>56</v>
      </c>
    </row>
    <row r="153" spans="1:111" s="35" customFormat="1" x14ac:dyDescent="0.3">
      <c r="A153" s="1">
        <v>152</v>
      </c>
      <c r="B153" s="2">
        <v>27</v>
      </c>
      <c r="C153" s="2" t="s">
        <v>52</v>
      </c>
      <c r="D153" s="2" t="s">
        <v>47</v>
      </c>
      <c r="E153" s="2" t="s">
        <v>77</v>
      </c>
      <c r="F153" s="103">
        <v>190.5</v>
      </c>
      <c r="G153" s="15">
        <v>76.900000000000006</v>
      </c>
      <c r="H153" s="5">
        <f>G153/(('[1]Maya Nonsaddle'!G153/100)^2)</f>
        <v>21.19026460275143</v>
      </c>
      <c r="I153" s="13">
        <v>1</v>
      </c>
      <c r="J153" s="13">
        <v>2</v>
      </c>
      <c r="K153" s="13">
        <v>1</v>
      </c>
      <c r="L153" s="2">
        <v>0</v>
      </c>
      <c r="M153" s="13">
        <v>53</v>
      </c>
      <c r="N153" s="10">
        <v>0</v>
      </c>
      <c r="O153" s="13">
        <v>106</v>
      </c>
      <c r="P153" s="13">
        <v>0</v>
      </c>
      <c r="Q153" s="13">
        <v>17</v>
      </c>
      <c r="R153" s="13">
        <v>0</v>
      </c>
      <c r="S153" s="5">
        <v>98.8</v>
      </c>
      <c r="T153" s="13">
        <v>0</v>
      </c>
      <c r="U153" s="13">
        <v>98</v>
      </c>
      <c r="V153" s="13">
        <v>0</v>
      </c>
      <c r="W153" s="13">
        <v>0</v>
      </c>
      <c r="X153" s="13">
        <v>1</v>
      </c>
      <c r="Y153" s="13">
        <v>0</v>
      </c>
      <c r="Z153" s="13">
        <v>1</v>
      </c>
      <c r="AA153" s="13">
        <v>1</v>
      </c>
      <c r="AB153" s="13">
        <v>0</v>
      </c>
      <c r="AC153" s="13">
        <v>0</v>
      </c>
      <c r="AD153" s="13">
        <v>0</v>
      </c>
      <c r="AE153" s="13">
        <v>0</v>
      </c>
      <c r="AF153" s="13">
        <v>1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 t="s">
        <v>48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25.6</v>
      </c>
      <c r="AX153" s="9">
        <f>3.25/5.12</f>
        <v>0.634765625</v>
      </c>
      <c r="AY153" s="47">
        <v>0</v>
      </c>
      <c r="AZ153" s="2">
        <v>0</v>
      </c>
      <c r="BA153" s="2">
        <v>0</v>
      </c>
      <c r="BB153" s="9">
        <f>2.55/2.6</f>
        <v>0.98076923076923062</v>
      </c>
      <c r="BC153" s="2">
        <v>2</v>
      </c>
      <c r="BD153" s="2">
        <v>0</v>
      </c>
      <c r="BE153" s="2">
        <v>0</v>
      </c>
      <c r="BF153" s="13">
        <v>0</v>
      </c>
      <c r="BG153" s="13" t="s">
        <v>48</v>
      </c>
      <c r="BH153" s="13">
        <v>0</v>
      </c>
      <c r="BI153" s="1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 t="s">
        <v>48</v>
      </c>
      <c r="BQ153" s="13" t="s">
        <v>48</v>
      </c>
      <c r="BR153" s="13">
        <v>0</v>
      </c>
      <c r="BS153" s="13">
        <v>0</v>
      </c>
      <c r="BT153" s="13">
        <v>0</v>
      </c>
      <c r="BU153" s="13">
        <v>0</v>
      </c>
      <c r="BV153" s="2" t="s">
        <v>57</v>
      </c>
      <c r="BW153" s="13" t="s">
        <v>57</v>
      </c>
      <c r="BX153" s="13">
        <v>0</v>
      </c>
      <c r="BY153" s="13">
        <v>0</v>
      </c>
      <c r="BZ153" s="13">
        <v>0</v>
      </c>
      <c r="CA153" s="13">
        <v>0</v>
      </c>
      <c r="CB153" s="18" t="s">
        <v>54</v>
      </c>
    </row>
    <row r="154" spans="1:111" s="48" customFormat="1" x14ac:dyDescent="0.3">
      <c r="A154" s="1">
        <v>153</v>
      </c>
      <c r="B154" s="2" t="s">
        <v>132</v>
      </c>
      <c r="C154" s="2" t="s">
        <v>52</v>
      </c>
      <c r="D154" s="2" t="s">
        <v>53</v>
      </c>
      <c r="E154" s="2" t="s">
        <v>74</v>
      </c>
      <c r="F154" s="103">
        <v>165.1</v>
      </c>
      <c r="G154" s="15">
        <v>95.3</v>
      </c>
      <c r="H154" s="5">
        <f>G154/(('[1]Maya Nonsaddle'!G154/100)^2)</f>
        <v>34.962200101914995</v>
      </c>
      <c r="I154" s="13">
        <v>0</v>
      </c>
      <c r="J154" s="13">
        <v>1</v>
      </c>
      <c r="K154" s="13">
        <v>1</v>
      </c>
      <c r="L154" s="2">
        <v>0</v>
      </c>
      <c r="M154" s="13">
        <v>53</v>
      </c>
      <c r="N154" s="10">
        <v>0</v>
      </c>
      <c r="O154" s="13">
        <v>133</v>
      </c>
      <c r="P154" s="13">
        <v>0</v>
      </c>
      <c r="Q154" s="13">
        <v>18</v>
      </c>
      <c r="R154" s="13">
        <v>0</v>
      </c>
      <c r="S154" s="5">
        <v>97.9</v>
      </c>
      <c r="T154" s="13">
        <v>0</v>
      </c>
      <c r="U154" s="13">
        <v>100</v>
      </c>
      <c r="V154" s="13">
        <v>0</v>
      </c>
      <c r="W154" s="13">
        <v>0</v>
      </c>
      <c r="X154" s="13">
        <v>0</v>
      </c>
      <c r="Y154" s="13" t="s">
        <v>48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 t="s">
        <v>48</v>
      </c>
      <c r="AP154" s="13" t="s">
        <v>48</v>
      </c>
      <c r="AQ154" s="13" t="s">
        <v>48</v>
      </c>
      <c r="AR154" s="13">
        <v>0</v>
      </c>
      <c r="AS154" s="13" t="s">
        <v>48</v>
      </c>
      <c r="AT154" s="13" t="s">
        <v>48</v>
      </c>
      <c r="AU154" s="13" t="s">
        <v>48</v>
      </c>
      <c r="AV154" s="13" t="s">
        <v>48</v>
      </c>
      <c r="AW154" s="13" t="s">
        <v>48</v>
      </c>
      <c r="AX154" s="9">
        <f>3.93/4.64</f>
        <v>0.84698275862068972</v>
      </c>
      <c r="AY154" s="47">
        <v>1</v>
      </c>
      <c r="AZ154" s="2">
        <v>0</v>
      </c>
      <c r="BA154" s="2">
        <v>0</v>
      </c>
      <c r="BB154" s="9">
        <f>2.44/2.9</f>
        <v>0.8413793103448276</v>
      </c>
      <c r="BC154" s="2">
        <v>3</v>
      </c>
      <c r="BD154" s="2">
        <v>0</v>
      </c>
      <c r="BE154" s="2">
        <v>0</v>
      </c>
      <c r="BF154" s="13" t="s">
        <v>48</v>
      </c>
      <c r="BG154" s="13" t="s">
        <v>48</v>
      </c>
      <c r="BH154" s="13">
        <v>0</v>
      </c>
      <c r="BI154" s="1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 t="s">
        <v>48</v>
      </c>
      <c r="BQ154" s="13" t="s">
        <v>48</v>
      </c>
      <c r="BR154" s="13">
        <v>0</v>
      </c>
      <c r="BS154" s="13">
        <v>0</v>
      </c>
      <c r="BT154" s="13">
        <v>0</v>
      </c>
      <c r="BU154" s="13">
        <v>0</v>
      </c>
      <c r="BV154" s="2" t="s">
        <v>57</v>
      </c>
      <c r="BW154" s="13" t="s">
        <v>57</v>
      </c>
      <c r="BX154" s="13">
        <v>0</v>
      </c>
      <c r="BY154" s="13">
        <v>0</v>
      </c>
      <c r="BZ154" s="13">
        <v>0</v>
      </c>
      <c r="CA154" s="13">
        <v>0</v>
      </c>
      <c r="CB154" s="18" t="s">
        <v>108</v>
      </c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</row>
    <row r="155" spans="1:111" s="35" customFormat="1" x14ac:dyDescent="0.3">
      <c r="A155" s="1">
        <v>154</v>
      </c>
      <c r="B155" s="2" t="s">
        <v>133</v>
      </c>
      <c r="C155" s="2" t="s">
        <v>46</v>
      </c>
      <c r="D155" s="2" t="s">
        <v>53</v>
      </c>
      <c r="E155" s="2" t="s">
        <v>109</v>
      </c>
      <c r="F155" s="103">
        <v>188</v>
      </c>
      <c r="G155" s="15">
        <v>68.5</v>
      </c>
      <c r="H155" s="5">
        <f>G155/(('[1]Maya Nonsaddle'!G155/100)^2)</f>
        <v>19.389191444562581</v>
      </c>
      <c r="I155" s="13">
        <v>1</v>
      </c>
      <c r="J155" s="13">
        <v>4</v>
      </c>
      <c r="K155" s="13">
        <v>1</v>
      </c>
      <c r="L155" s="2">
        <v>0</v>
      </c>
      <c r="M155" s="13">
        <v>109</v>
      </c>
      <c r="N155" s="10">
        <v>0</v>
      </c>
      <c r="O155" s="13">
        <v>164</v>
      </c>
      <c r="P155" s="13">
        <v>0</v>
      </c>
      <c r="Q155" s="13">
        <v>23</v>
      </c>
      <c r="R155" s="13">
        <v>0</v>
      </c>
      <c r="S155" s="5">
        <v>98.5</v>
      </c>
      <c r="T155" s="13">
        <v>0</v>
      </c>
      <c r="U155" s="13">
        <v>96</v>
      </c>
      <c r="V155" s="13">
        <v>0</v>
      </c>
      <c r="W155" s="13">
        <v>0</v>
      </c>
      <c r="X155" s="13">
        <v>0</v>
      </c>
      <c r="Y155" s="13">
        <v>0</v>
      </c>
      <c r="Z155" s="13">
        <v>1</v>
      </c>
      <c r="AA155" s="13">
        <v>0</v>
      </c>
      <c r="AB155" s="13">
        <v>0</v>
      </c>
      <c r="AC155" s="13">
        <v>1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 t="s">
        <v>48</v>
      </c>
      <c r="AQ155" s="13" t="s">
        <v>48</v>
      </c>
      <c r="AR155" s="13" t="s">
        <v>48</v>
      </c>
      <c r="AS155" s="13">
        <v>0</v>
      </c>
      <c r="AT155" s="13">
        <v>0</v>
      </c>
      <c r="AU155" s="13">
        <v>0</v>
      </c>
      <c r="AV155" s="13">
        <v>0</v>
      </c>
      <c r="AW155" s="13">
        <v>32</v>
      </c>
      <c r="AX155" s="9">
        <f>4.36/4.46</f>
        <v>0.97757847533632292</v>
      </c>
      <c r="AY155" s="47">
        <v>0</v>
      </c>
      <c r="AZ155" s="2">
        <v>0</v>
      </c>
      <c r="BA155" s="2">
        <v>1</v>
      </c>
      <c r="BB155" s="9">
        <f>2.13/3.34</f>
        <v>0.63772455089820357</v>
      </c>
      <c r="BC155" s="2">
        <v>1</v>
      </c>
      <c r="BD155" s="2">
        <v>0</v>
      </c>
      <c r="BE155" s="2">
        <v>0</v>
      </c>
      <c r="BF155" s="13">
        <v>1</v>
      </c>
      <c r="BG155" s="13" t="s">
        <v>89</v>
      </c>
      <c r="BH155" s="13">
        <v>0</v>
      </c>
      <c r="BI155" s="1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 t="s">
        <v>48</v>
      </c>
      <c r="BQ155" s="13" t="s">
        <v>48</v>
      </c>
      <c r="BR155" s="13">
        <v>0</v>
      </c>
      <c r="BS155" s="13">
        <v>0</v>
      </c>
      <c r="BT155" s="13">
        <v>0</v>
      </c>
      <c r="BU155" s="13">
        <v>0</v>
      </c>
      <c r="BV155" s="2" t="s">
        <v>50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8" t="s">
        <v>60</v>
      </c>
    </row>
    <row r="156" spans="1:111" s="18" customFormat="1" x14ac:dyDescent="0.3">
      <c r="A156" s="1">
        <v>155</v>
      </c>
      <c r="B156" s="2">
        <v>50</v>
      </c>
      <c r="C156" s="13" t="s">
        <v>52</v>
      </c>
      <c r="D156" s="13" t="s">
        <v>53</v>
      </c>
      <c r="E156" s="2" t="s">
        <v>74</v>
      </c>
      <c r="F156" s="103">
        <v>162.6</v>
      </c>
      <c r="G156" s="5">
        <v>83.9</v>
      </c>
      <c r="H156" s="5">
        <f>G156/(('[1]Maya Nonsaddle'!G156/100)^2)</f>
        <v>31.749331076787158</v>
      </c>
      <c r="I156" s="2">
        <v>1</v>
      </c>
      <c r="J156" s="13">
        <v>1</v>
      </c>
      <c r="K156" s="13">
        <v>1</v>
      </c>
      <c r="L156" s="2">
        <v>0</v>
      </c>
      <c r="M156" s="13">
        <v>66</v>
      </c>
      <c r="N156" s="13">
        <v>0</v>
      </c>
      <c r="O156" s="13">
        <v>138</v>
      </c>
      <c r="P156" s="13">
        <v>0</v>
      </c>
      <c r="Q156" s="13">
        <v>13</v>
      </c>
      <c r="R156" s="13">
        <v>0</v>
      </c>
      <c r="S156" s="5">
        <v>98.4</v>
      </c>
      <c r="T156" s="13">
        <v>0</v>
      </c>
      <c r="U156" s="13">
        <v>98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1</v>
      </c>
      <c r="AF156" s="13">
        <v>0</v>
      </c>
      <c r="AG156" s="13">
        <v>1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 t="s">
        <v>48</v>
      </c>
      <c r="AQ156" s="13" t="s">
        <v>48</v>
      </c>
      <c r="AR156" s="13" t="s">
        <v>48</v>
      </c>
      <c r="AS156" s="13">
        <v>0</v>
      </c>
      <c r="AT156" s="13">
        <v>0</v>
      </c>
      <c r="AU156" s="13">
        <v>0</v>
      </c>
      <c r="AV156" s="13">
        <v>0</v>
      </c>
      <c r="AW156" s="13">
        <v>27</v>
      </c>
      <c r="AX156" s="9">
        <f>3.71/4.38</f>
        <v>0.84703196347031962</v>
      </c>
      <c r="AY156" s="47">
        <v>1</v>
      </c>
      <c r="AZ156" s="2">
        <v>0</v>
      </c>
      <c r="BA156" s="2">
        <v>0</v>
      </c>
      <c r="BB156" s="9">
        <f>2.37/3.06</f>
        <v>0.77450980392156865</v>
      </c>
      <c r="BC156" s="2">
        <v>2</v>
      </c>
      <c r="BD156" s="2">
        <v>0</v>
      </c>
      <c r="BE156" s="2">
        <v>0</v>
      </c>
      <c r="BF156" s="13">
        <v>0</v>
      </c>
      <c r="BG156" s="13" t="s">
        <v>48</v>
      </c>
      <c r="BH156" s="13">
        <v>0</v>
      </c>
      <c r="BI156" s="1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 t="s">
        <v>48</v>
      </c>
      <c r="BQ156" s="13" t="s">
        <v>48</v>
      </c>
      <c r="BR156" s="13">
        <v>0</v>
      </c>
      <c r="BS156" s="13">
        <v>0</v>
      </c>
      <c r="BT156" s="13">
        <v>0</v>
      </c>
      <c r="BU156" s="13">
        <v>0</v>
      </c>
      <c r="BV156" s="2" t="s">
        <v>50</v>
      </c>
      <c r="BW156" s="13">
        <v>0</v>
      </c>
      <c r="BX156" s="13">
        <v>0</v>
      </c>
      <c r="BY156" s="13">
        <v>1</v>
      </c>
      <c r="BZ156" s="13">
        <v>0</v>
      </c>
      <c r="CA156" s="13">
        <v>0</v>
      </c>
      <c r="CB156" s="18" t="s">
        <v>54</v>
      </c>
    </row>
    <row r="157" spans="1:111" s="49" customFormat="1" x14ac:dyDescent="0.3">
      <c r="A157" s="1">
        <v>156</v>
      </c>
      <c r="B157" s="2">
        <v>69</v>
      </c>
      <c r="C157" s="13" t="s">
        <v>46</v>
      </c>
      <c r="D157" s="13" t="s">
        <v>47</v>
      </c>
      <c r="E157" s="2" t="s">
        <v>83</v>
      </c>
      <c r="F157" s="103">
        <v>193</v>
      </c>
      <c r="G157" s="5">
        <v>120.2</v>
      </c>
      <c r="H157" s="5">
        <f>G157/(('[1]Maya Nonsaddle'!G157/100)^2)</f>
        <v>32.255950938494678</v>
      </c>
      <c r="I157" s="2">
        <v>0</v>
      </c>
      <c r="J157" s="13">
        <v>2</v>
      </c>
      <c r="K157" s="13">
        <v>1</v>
      </c>
      <c r="L157" s="2">
        <v>0</v>
      </c>
      <c r="M157" s="13">
        <v>81</v>
      </c>
      <c r="N157" s="13">
        <v>0</v>
      </c>
      <c r="O157" s="13">
        <v>123</v>
      </c>
      <c r="P157" s="13">
        <v>0</v>
      </c>
      <c r="Q157" s="13">
        <v>17</v>
      </c>
      <c r="R157" s="13">
        <v>0</v>
      </c>
      <c r="S157" s="5">
        <v>97.5</v>
      </c>
      <c r="T157" s="13">
        <v>0</v>
      </c>
      <c r="U157" s="13">
        <v>94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1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1</v>
      </c>
      <c r="AL157" s="13">
        <v>0</v>
      </c>
      <c r="AM157" s="13">
        <v>0</v>
      </c>
      <c r="AN157" s="13">
        <v>0</v>
      </c>
      <c r="AO157" s="13">
        <v>1</v>
      </c>
      <c r="AP157" s="13">
        <v>1</v>
      </c>
      <c r="AQ157" s="13" t="s">
        <v>48</v>
      </c>
      <c r="AR157" s="13">
        <v>0</v>
      </c>
      <c r="AS157" s="57" t="s">
        <v>48</v>
      </c>
      <c r="AT157" s="57" t="s">
        <v>48</v>
      </c>
      <c r="AU157" s="57" t="s">
        <v>48</v>
      </c>
      <c r="AV157" s="57" t="s">
        <v>48</v>
      </c>
      <c r="AW157" s="13" t="s">
        <v>48</v>
      </c>
      <c r="AX157" s="9">
        <f>5.31/5.2</f>
        <v>1.0211538461538461</v>
      </c>
      <c r="AY157" s="47">
        <v>0</v>
      </c>
      <c r="AZ157" s="2">
        <v>0</v>
      </c>
      <c r="BA157" s="2">
        <v>1</v>
      </c>
      <c r="BB157" s="9">
        <f>3.22/3.83</f>
        <v>0.84073107049608353</v>
      </c>
      <c r="BC157" s="2">
        <v>3</v>
      </c>
      <c r="BD157" s="2">
        <v>1</v>
      </c>
      <c r="BE157" s="2">
        <v>1</v>
      </c>
      <c r="BF157" s="13">
        <v>0</v>
      </c>
      <c r="BG157" s="13" t="s">
        <v>48</v>
      </c>
      <c r="BH157" s="13">
        <v>0</v>
      </c>
      <c r="BI157" s="1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 t="s">
        <v>48</v>
      </c>
      <c r="BQ157" s="13" t="s">
        <v>48</v>
      </c>
      <c r="BR157" s="13">
        <v>0</v>
      </c>
      <c r="BS157" s="13">
        <v>0</v>
      </c>
      <c r="BT157" s="13">
        <v>0</v>
      </c>
      <c r="BU157" s="13">
        <v>0</v>
      </c>
      <c r="BV157" s="2" t="s">
        <v>50</v>
      </c>
      <c r="BW157" s="13">
        <v>0</v>
      </c>
      <c r="BX157" s="13">
        <v>0</v>
      </c>
      <c r="BY157" s="13">
        <v>0</v>
      </c>
      <c r="BZ157" s="13">
        <v>0</v>
      </c>
      <c r="CA157" s="13">
        <v>0</v>
      </c>
      <c r="CB157" s="18" t="s">
        <v>55</v>
      </c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</row>
    <row r="158" spans="1:111" s="49" customFormat="1" x14ac:dyDescent="0.3">
      <c r="A158" s="1">
        <v>157</v>
      </c>
      <c r="B158" s="2">
        <v>63</v>
      </c>
      <c r="C158" s="13" t="s">
        <v>46</v>
      </c>
      <c r="D158" s="13" t="s">
        <v>47</v>
      </c>
      <c r="E158" s="2" t="s">
        <v>77</v>
      </c>
      <c r="F158" s="103">
        <v>188</v>
      </c>
      <c r="G158" s="5">
        <v>74</v>
      </c>
      <c r="H158" s="5">
        <f>G158/(('[1]Maya Nonsaddle'!G158/100)^2)</f>
        <v>20.945987837921621</v>
      </c>
      <c r="I158" s="2">
        <v>1</v>
      </c>
      <c r="J158" s="13">
        <v>5</v>
      </c>
      <c r="K158" s="13">
        <v>1</v>
      </c>
      <c r="L158" s="2">
        <v>0</v>
      </c>
      <c r="M158" s="13">
        <v>106</v>
      </c>
      <c r="N158" s="13">
        <v>0</v>
      </c>
      <c r="O158" s="13">
        <v>143</v>
      </c>
      <c r="P158" s="13">
        <v>0</v>
      </c>
      <c r="Q158" s="13">
        <v>18</v>
      </c>
      <c r="R158" s="13">
        <v>0</v>
      </c>
      <c r="S158" s="5">
        <v>98.1</v>
      </c>
      <c r="T158" s="13">
        <v>1</v>
      </c>
      <c r="U158" s="13">
        <v>70</v>
      </c>
      <c r="V158" s="13">
        <v>1</v>
      </c>
      <c r="W158" s="13">
        <v>1</v>
      </c>
      <c r="X158" s="13">
        <v>0</v>
      </c>
      <c r="Y158" s="13">
        <v>0</v>
      </c>
      <c r="Z158" s="13">
        <v>1</v>
      </c>
      <c r="AA158" s="13">
        <v>0</v>
      </c>
      <c r="AB158" s="13">
        <v>0</v>
      </c>
      <c r="AC158" s="13">
        <v>1</v>
      </c>
      <c r="AD158" s="13">
        <v>0</v>
      </c>
      <c r="AE158" s="13">
        <v>0</v>
      </c>
      <c r="AF158" s="13">
        <v>0</v>
      </c>
      <c r="AG158" s="13">
        <v>1</v>
      </c>
      <c r="AH158" s="13">
        <v>0</v>
      </c>
      <c r="AI158" s="13">
        <v>0</v>
      </c>
      <c r="AJ158" s="13">
        <v>1</v>
      </c>
      <c r="AK158" s="13">
        <v>1</v>
      </c>
      <c r="AL158" s="13">
        <v>0</v>
      </c>
      <c r="AM158" s="13">
        <v>1</v>
      </c>
      <c r="AN158" s="13">
        <v>0</v>
      </c>
      <c r="AO158" s="13">
        <v>1</v>
      </c>
      <c r="AP158" s="13">
        <v>1</v>
      </c>
      <c r="AQ158" s="13">
        <v>0</v>
      </c>
      <c r="AR158" s="13">
        <v>0</v>
      </c>
      <c r="AS158" s="57">
        <v>1</v>
      </c>
      <c r="AT158" s="57">
        <v>1</v>
      </c>
      <c r="AU158" s="57">
        <v>1</v>
      </c>
      <c r="AV158" s="57">
        <v>0</v>
      </c>
      <c r="AW158" s="13" t="s">
        <v>192</v>
      </c>
      <c r="AX158" s="9">
        <f>4.23/3.9</f>
        <v>1.0846153846153848</v>
      </c>
      <c r="AY158" s="47">
        <v>0</v>
      </c>
      <c r="AZ158" s="2">
        <v>0</v>
      </c>
      <c r="BA158" s="2">
        <v>1</v>
      </c>
      <c r="BB158" s="9">
        <f>2.69/3.57</f>
        <v>0.75350140056022408</v>
      </c>
      <c r="BC158" s="2">
        <v>1</v>
      </c>
      <c r="BD158" s="2">
        <v>1</v>
      </c>
      <c r="BE158" s="2">
        <v>1</v>
      </c>
      <c r="BF158" s="13">
        <v>0</v>
      </c>
      <c r="BG158" s="13" t="s">
        <v>48</v>
      </c>
      <c r="BH158" s="13">
        <v>1</v>
      </c>
      <c r="BI158" s="1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 t="s">
        <v>48</v>
      </c>
      <c r="BQ158" s="13" t="s">
        <v>48</v>
      </c>
      <c r="BR158" s="13">
        <v>0</v>
      </c>
      <c r="BS158" s="13">
        <v>0</v>
      </c>
      <c r="BT158" s="13">
        <v>0</v>
      </c>
      <c r="BU158" s="13">
        <v>0</v>
      </c>
      <c r="BV158" s="2" t="s">
        <v>50</v>
      </c>
      <c r="BW158" s="13">
        <v>0</v>
      </c>
      <c r="BX158" s="13">
        <v>1</v>
      </c>
      <c r="BY158" s="13">
        <v>0</v>
      </c>
      <c r="BZ158" s="13">
        <v>0</v>
      </c>
      <c r="CA158" s="13">
        <v>0</v>
      </c>
      <c r="CB158" s="18" t="s">
        <v>60</v>
      </c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</row>
    <row r="159" spans="1:111" s="12" customFormat="1" x14ac:dyDescent="0.3">
      <c r="A159" s="1">
        <v>158</v>
      </c>
      <c r="B159" s="13">
        <v>70</v>
      </c>
      <c r="C159" s="13" t="s">
        <v>46</v>
      </c>
      <c r="D159" s="50" t="s">
        <v>47</v>
      </c>
      <c r="E159" s="13">
        <v>2</v>
      </c>
      <c r="F159" s="103">
        <v>170.2</v>
      </c>
      <c r="G159" s="30">
        <v>72.599999999999994</v>
      </c>
      <c r="H159" s="5">
        <f>G159/(('[1]Maya Nonsaddle'!G159/100)^2)</f>
        <v>25.067993998763669</v>
      </c>
      <c r="I159" s="1">
        <v>1</v>
      </c>
      <c r="J159" s="1">
        <v>3</v>
      </c>
      <c r="K159" s="1">
        <v>1</v>
      </c>
      <c r="L159" s="1">
        <v>0</v>
      </c>
      <c r="M159" s="1">
        <v>102</v>
      </c>
      <c r="N159" s="1">
        <v>0</v>
      </c>
      <c r="O159" s="1">
        <v>128</v>
      </c>
      <c r="P159" s="1">
        <v>0</v>
      </c>
      <c r="Q159" s="1">
        <v>18</v>
      </c>
      <c r="R159" s="1">
        <v>0</v>
      </c>
      <c r="S159" s="30">
        <v>99.6</v>
      </c>
      <c r="T159" s="1">
        <v>0</v>
      </c>
      <c r="U159" s="1">
        <v>91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1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1</v>
      </c>
      <c r="AL159" s="1">
        <v>0</v>
      </c>
      <c r="AM159" s="1">
        <v>0</v>
      </c>
      <c r="AN159" s="1">
        <v>0</v>
      </c>
      <c r="AO159" s="1">
        <v>1</v>
      </c>
      <c r="AP159" s="1">
        <v>1</v>
      </c>
      <c r="AQ159" s="1" t="s">
        <v>48</v>
      </c>
      <c r="AR159" s="1">
        <v>0</v>
      </c>
      <c r="AS159" s="57">
        <v>0</v>
      </c>
      <c r="AT159" s="57">
        <v>0</v>
      </c>
      <c r="AU159" s="57">
        <v>0</v>
      </c>
      <c r="AV159" s="57">
        <v>0</v>
      </c>
      <c r="AW159" s="1">
        <v>51.2</v>
      </c>
      <c r="AX159" s="51">
        <f>4.22/4.38</f>
        <v>0.9634703196347032</v>
      </c>
      <c r="AY159" s="31">
        <v>0</v>
      </c>
      <c r="AZ159" s="2">
        <v>0</v>
      </c>
      <c r="BA159" s="2">
        <v>1</v>
      </c>
      <c r="BB159" s="51">
        <f>2.97/3.86</f>
        <v>0.76943005181347157</v>
      </c>
      <c r="BC159" s="13">
        <v>2</v>
      </c>
      <c r="BD159" s="13">
        <v>1</v>
      </c>
      <c r="BE159" s="13">
        <v>1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 t="s">
        <v>48</v>
      </c>
      <c r="BQ159" s="1" t="s">
        <v>48</v>
      </c>
      <c r="BR159" s="1">
        <v>0</v>
      </c>
      <c r="BS159" s="1">
        <v>0</v>
      </c>
      <c r="BT159" s="13">
        <v>0</v>
      </c>
      <c r="BU159" s="1">
        <v>0</v>
      </c>
      <c r="BV159" s="13" t="s">
        <v>57</v>
      </c>
      <c r="BW159" s="13" t="s">
        <v>57</v>
      </c>
      <c r="BX159" s="1">
        <v>0</v>
      </c>
      <c r="BY159" s="1">
        <v>0</v>
      </c>
      <c r="BZ159" s="1">
        <v>0</v>
      </c>
      <c r="CA159" s="1">
        <v>0</v>
      </c>
      <c r="CB159" s="32" t="s">
        <v>55</v>
      </c>
    </row>
    <row r="160" spans="1:111" x14ac:dyDescent="0.3">
      <c r="F160" s="104"/>
      <c r="AS160" s="57"/>
      <c r="AT160" s="57"/>
      <c r="AU160" s="57"/>
      <c r="AV160" s="57"/>
    </row>
    <row r="161" spans="6:48" x14ac:dyDescent="0.3">
      <c r="F161" s="104"/>
      <c r="AS161" s="13"/>
      <c r="AT161" s="13"/>
      <c r="AU161" s="13"/>
      <c r="AV161" s="13"/>
    </row>
    <row r="162" spans="6:48" x14ac:dyDescent="0.3">
      <c r="F162" s="104"/>
      <c r="AS162" s="13"/>
      <c r="AT162" s="13"/>
      <c r="AU162" s="13"/>
      <c r="AV162" s="13"/>
    </row>
    <row r="163" spans="6:48" x14ac:dyDescent="0.3">
      <c r="F163" s="104"/>
      <c r="AS163" s="13"/>
      <c r="AT163" s="13"/>
      <c r="AU163" s="13"/>
      <c r="AV163" s="13"/>
    </row>
    <row r="164" spans="6:48" x14ac:dyDescent="0.3">
      <c r="F164" s="104"/>
      <c r="AS164" s="13"/>
      <c r="AT164" s="13"/>
      <c r="AU164" s="13"/>
      <c r="AV164" s="13"/>
    </row>
    <row r="165" spans="6:48" x14ac:dyDescent="0.3">
      <c r="F165" s="104"/>
      <c r="AS165" s="13"/>
      <c r="AT165" s="13"/>
      <c r="AU165" s="13"/>
      <c r="AV165" s="13"/>
    </row>
    <row r="166" spans="6:48" x14ac:dyDescent="0.3">
      <c r="F166" s="104"/>
      <c r="AS166" s="13"/>
      <c r="AT166" s="13"/>
      <c r="AU166" s="13"/>
      <c r="AV166" s="13"/>
    </row>
    <row r="167" spans="6:48" x14ac:dyDescent="0.3">
      <c r="F167" s="104"/>
      <c r="AS167" s="13"/>
      <c r="AT167" s="13"/>
      <c r="AU167" s="13"/>
      <c r="AV167" s="13"/>
    </row>
    <row r="168" spans="6:48" x14ac:dyDescent="0.3">
      <c r="F168" s="104"/>
      <c r="AS168" s="13"/>
      <c r="AT168" s="13"/>
      <c r="AU168" s="13"/>
      <c r="AV168" s="13"/>
    </row>
    <row r="169" spans="6:48" x14ac:dyDescent="0.3">
      <c r="F169" s="104"/>
      <c r="AS169" s="13"/>
      <c r="AT169" s="13"/>
      <c r="AU169" s="13"/>
      <c r="AV169" s="13"/>
    </row>
    <row r="170" spans="6:48" x14ac:dyDescent="0.3">
      <c r="F170" s="104"/>
      <c r="AS170" s="13"/>
      <c r="AT170" s="13"/>
      <c r="AU170" s="13"/>
      <c r="AV170" s="13"/>
    </row>
    <row r="171" spans="6:48" x14ac:dyDescent="0.3">
      <c r="F171" s="104"/>
      <c r="AS171" s="13"/>
      <c r="AT171" s="13"/>
      <c r="AU171" s="13"/>
      <c r="AV171" s="13"/>
    </row>
    <row r="172" spans="6:48" x14ac:dyDescent="0.3">
      <c r="F172" s="104"/>
      <c r="AS172" s="13"/>
      <c r="AT172" s="13"/>
      <c r="AU172" s="13"/>
      <c r="AV172" s="13"/>
    </row>
    <row r="173" spans="6:48" x14ac:dyDescent="0.3">
      <c r="F173" s="104"/>
      <c r="AS173" s="13"/>
      <c r="AT173" s="13"/>
      <c r="AU173" s="13"/>
      <c r="AV173" s="13"/>
    </row>
    <row r="174" spans="6:48" x14ac:dyDescent="0.3">
      <c r="F174" s="104"/>
      <c r="AS174" s="13"/>
      <c r="AT174" s="13"/>
      <c r="AU174" s="13"/>
      <c r="AV174" s="13"/>
    </row>
    <row r="175" spans="6:48" x14ac:dyDescent="0.3">
      <c r="F175" s="104"/>
      <c r="AS175" s="13"/>
      <c r="AT175" s="13"/>
      <c r="AU175" s="13"/>
      <c r="AV175" s="13"/>
    </row>
    <row r="176" spans="6:48" x14ac:dyDescent="0.3">
      <c r="F176" s="104"/>
      <c r="AS176" s="13"/>
      <c r="AT176" s="13"/>
      <c r="AU176" s="13"/>
      <c r="AV176" s="13"/>
    </row>
    <row r="177" spans="6:48" x14ac:dyDescent="0.3">
      <c r="F177" s="104"/>
      <c r="AS177" s="13"/>
      <c r="AT177" s="13"/>
      <c r="AU177" s="13"/>
      <c r="AV177" s="13"/>
    </row>
    <row r="178" spans="6:48" x14ac:dyDescent="0.3">
      <c r="F178" s="104"/>
      <c r="AS178" s="13"/>
      <c r="AT178" s="13"/>
      <c r="AU178" s="13"/>
      <c r="AV178" s="13"/>
    </row>
    <row r="179" spans="6:48" x14ac:dyDescent="0.3">
      <c r="F179" s="104"/>
      <c r="AS179" s="13"/>
      <c r="AT179" s="13"/>
      <c r="AU179" s="13"/>
      <c r="AV179" s="13"/>
    </row>
    <row r="180" spans="6:48" x14ac:dyDescent="0.3">
      <c r="F180" s="104"/>
      <c r="AS180" s="10"/>
      <c r="AT180" s="10"/>
      <c r="AU180" s="10"/>
      <c r="AV180" s="10"/>
    </row>
    <row r="181" spans="6:48" x14ac:dyDescent="0.3">
      <c r="F181" s="104"/>
      <c r="AS181" s="13"/>
      <c r="AT181" s="13"/>
      <c r="AU181" s="13"/>
      <c r="AV181" s="13"/>
    </row>
  </sheetData>
  <autoFilter ref="A1:DG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Saddle PE</vt:lpstr>
      <vt:lpstr>Non-Saddle PE</vt:lpstr>
    </vt:vector>
  </TitlesOfParts>
  <Company>Piedmont Healthcare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A. Malick</dc:creator>
  <cp:lastModifiedBy>COMMON</cp:lastModifiedBy>
  <dcterms:created xsi:type="dcterms:W3CDTF">2019-07-02T14:32:38Z</dcterms:created>
  <dcterms:modified xsi:type="dcterms:W3CDTF">2019-10-11T01:24:00Z</dcterms:modified>
</cp:coreProperties>
</file>