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ddle PE" sheetId="1" r:id="rId4"/>
    <sheet state="visible" name="Non-Saddle PE" sheetId="2" r:id="rId5"/>
    <sheet state="visible" name="Abbreviations" sheetId="3" r:id="rId6"/>
  </sheets>
  <externalReferences>
    <externalReference r:id="rId7"/>
  </externalReferences>
  <definedNames>
    <definedName hidden="1" localSheetId="0" name="_xlnm._FilterDatabase">'Saddle PE'!$A$1:$CD$181</definedName>
    <definedName hidden="1" localSheetId="1" name="_xlnm._FilterDatabase">'Non-Saddle PE'!$A$1:$CW$1</definedName>
  </definedNames>
  <calcPr/>
  <extLst>
    <ext uri="GoogleSheetsCustomDataVersion1">
      <go:sheetsCustomData xmlns:go="http://customooxmlschemas.google.com/" r:id="rId8" roundtripDataSignature="AMtx7mjWlT/iIylK5cIaNInRQCbIYtme7w=="/>
    </ext>
  </extLst>
</workbook>
</file>

<file path=xl/sharedStrings.xml><?xml version="1.0" encoding="utf-8"?>
<sst xmlns="http://schemas.openxmlformats.org/spreadsheetml/2006/main" count="3736" uniqueCount="210">
  <si>
    <t>Indentificaton</t>
  </si>
  <si>
    <t>Age</t>
  </si>
  <si>
    <t>Gender</t>
  </si>
  <si>
    <t>Race</t>
  </si>
  <si>
    <t>Length of Hospital Stay (LOS)</t>
  </si>
  <si>
    <t>Hight-cm</t>
  </si>
  <si>
    <t>Weight-kg</t>
  </si>
  <si>
    <t>BMI</t>
  </si>
  <si>
    <t>sPESI (low risk = 0; 1 = 1 or greater)</t>
  </si>
  <si>
    <t>PESI Class</t>
  </si>
  <si>
    <t>PE Severity 1=low risk; 2=intermediate; 3=massive; 4=indeterminate</t>
  </si>
  <si>
    <t>HR &gt;= 110</t>
  </si>
  <si>
    <t>HR</t>
  </si>
  <si>
    <t>SBP &lt;100</t>
  </si>
  <si>
    <t>SBP</t>
  </si>
  <si>
    <t>RR &gt;=30</t>
  </si>
  <si>
    <t>RR</t>
  </si>
  <si>
    <t xml:space="preserve">Temp &lt;96.8 F </t>
  </si>
  <si>
    <t>Temp (F)</t>
  </si>
  <si>
    <t>O2 &lt;90% RA</t>
  </si>
  <si>
    <t>O2 Sat RA</t>
  </si>
  <si>
    <t>Required supplemental O2</t>
  </si>
  <si>
    <t>NRB (non-rebreather mask required)</t>
  </si>
  <si>
    <t>Syncope</t>
  </si>
  <si>
    <t>Active Smoker</t>
  </si>
  <si>
    <t>Active Cancer</t>
  </si>
  <si>
    <t>History of Cancer</t>
  </si>
  <si>
    <t>CHF (Congestive Heart Failure)</t>
  </si>
  <si>
    <t>Lung Disease</t>
  </si>
  <si>
    <t>Renal Disease</t>
  </si>
  <si>
    <t>DM (Diabetes Mellitus)</t>
  </si>
  <si>
    <t>History of bleeding</t>
  </si>
  <si>
    <t>Immobilization</t>
  </si>
  <si>
    <t>Recent Trauma</t>
  </si>
  <si>
    <t>Recent Surgery</t>
  </si>
  <si>
    <t>Recent Hospital (w/in 30 days)</t>
  </si>
  <si>
    <t>Personal h/o VTE</t>
  </si>
  <si>
    <t>FH of VTE</t>
  </si>
  <si>
    <t>Nursing Home Resident</t>
  </si>
  <si>
    <t>AMS (Altered Mental Status)</t>
  </si>
  <si>
    <t>Acute DVT (deep venous thrombosis), 3 = chronic</t>
  </si>
  <si>
    <t>Proximal Component to the DVT</t>
  </si>
  <si>
    <t>Elevated Initial BNP</t>
  </si>
  <si>
    <t>Elevated Initial Troponin</t>
  </si>
  <si>
    <t>RV Dilation</t>
  </si>
  <si>
    <t>RV Hypokinesis/Dysfunction</t>
  </si>
  <si>
    <t>Both Dilation and Dysfunction</t>
  </si>
  <si>
    <t>Inconclusive (RV not well visualized)</t>
  </si>
  <si>
    <t>RVSP (mmHg)</t>
  </si>
  <si>
    <t>RV/LV Ratio</t>
  </si>
  <si>
    <t>RV/LV Ratio .85 to .90</t>
  </si>
  <si>
    <t>RV/LV Ratio   .91-.94</t>
  </si>
  <si>
    <t>RV/LV Ratio .95 or greater</t>
  </si>
  <si>
    <t>PA/Aorta Ratio</t>
  </si>
  <si>
    <t>IVC Reflux Grade</t>
  </si>
  <si>
    <t>Septal Flattening</t>
  </si>
  <si>
    <t>Clot Present in MPA (Main Pulmonary Artery)</t>
  </si>
  <si>
    <t>Arrhythmia that required treatment</t>
  </si>
  <si>
    <t>Type of Arrhythmia/Intervention</t>
  </si>
  <si>
    <t>ICU Stay</t>
  </si>
  <si>
    <t>Shock (BP &lt;90)</t>
  </si>
  <si>
    <t>ACLS</t>
  </si>
  <si>
    <t>Pressors</t>
  </si>
  <si>
    <t>Inotropes</t>
  </si>
  <si>
    <t>Intubation</t>
  </si>
  <si>
    <t xml:space="preserve">tpA </t>
  </si>
  <si>
    <t>EKOS</t>
  </si>
  <si>
    <t>&lt; 6 hours from CTA read to administration of tpa or EKOS</t>
  </si>
  <si>
    <t>&lt;24 hours from CTA read to administration of tpA or EKOS</t>
  </si>
  <si>
    <t>IP Bleeding</t>
  </si>
  <si>
    <t>Type of bleed</t>
  </si>
  <si>
    <t>Transfusion</t>
  </si>
  <si>
    <t>IVCF (Inferior Vena Cava Filter)</t>
  </si>
  <si>
    <t>Death- In Hospital</t>
  </si>
  <si>
    <t>Death within 30 days of discharge</t>
  </si>
  <si>
    <t>Readmitted to hospital within 30 days, any cause</t>
  </si>
  <si>
    <t>Discharged with O2</t>
  </si>
  <si>
    <t>Required Narcotics at discharge</t>
  </si>
  <si>
    <t>Pregnant</t>
  </si>
  <si>
    <t>Platelet &lt;70k</t>
  </si>
  <si>
    <t>Etiology of Clot</t>
  </si>
  <si>
    <t>M</t>
  </si>
  <si>
    <t>W</t>
  </si>
  <si>
    <t>3</t>
  </si>
  <si>
    <t>x</t>
  </si>
  <si>
    <t>trauma</t>
  </si>
  <si>
    <t>F</t>
  </si>
  <si>
    <t>surgery</t>
  </si>
  <si>
    <t>B</t>
  </si>
  <si>
    <t>immobility- car travel</t>
  </si>
  <si>
    <t>8</t>
  </si>
  <si>
    <t>h/o</t>
  </si>
  <si>
    <t>personal history</t>
  </si>
  <si>
    <t>2</t>
  </si>
  <si>
    <t>?</t>
  </si>
  <si>
    <t xml:space="preserve">unprovoked </t>
  </si>
  <si>
    <t>5</t>
  </si>
  <si>
    <t>not documented</t>
  </si>
  <si>
    <t>PEA arrest, required CPR, epinephrine, atropine. Pt also required intubation, levophed</t>
  </si>
  <si>
    <t>4</t>
  </si>
  <si>
    <t>UGIB</t>
  </si>
  <si>
    <t>unprovoked</t>
  </si>
  <si>
    <t>oral contraception</t>
  </si>
  <si>
    <t>1</t>
  </si>
  <si>
    <t>malignancy</t>
  </si>
  <si>
    <t>infection</t>
  </si>
  <si>
    <t xml:space="preserve">bradyarrhythmia/prolonged pause- Code blue called and cardiology consulted , no other treatment required </t>
  </si>
  <si>
    <t>epistaxis</t>
  </si>
  <si>
    <t>12</t>
  </si>
  <si>
    <t>0</t>
  </si>
  <si>
    <t>Vfib-asystole arrest, required ACLS including CPR, epi, shock</t>
  </si>
  <si>
    <t>immobility, recent shingles</t>
  </si>
  <si>
    <t>Aflutter RVR- given cardizem . Then later had bradycardia to PEA, ACLS initiated but unsuccessful and pt died</t>
  </si>
  <si>
    <t>immobility</t>
  </si>
  <si>
    <t>hemoptysis</t>
  </si>
  <si>
    <t>A.fib, cardiology consulted given digoxin</t>
  </si>
  <si>
    <t>6</t>
  </si>
  <si>
    <t>hormone replacement therapy</t>
  </si>
  <si>
    <t>hematuria</t>
  </si>
  <si>
    <t>7</t>
  </si>
  <si>
    <t>blood spitting</t>
  </si>
  <si>
    <t>10</t>
  </si>
  <si>
    <t>compression IVC</t>
  </si>
  <si>
    <t>11</t>
  </si>
  <si>
    <t>Afib, initially treated w IVFs in ER, later given po BB</t>
  </si>
  <si>
    <t xml:space="preserve">PEA arrest, ACLS, systemic TPA, intubation, therapeutic hypothermia, pt deceased </t>
  </si>
  <si>
    <t>recent surgery</t>
  </si>
  <si>
    <t>NH</t>
  </si>
  <si>
    <t>13</t>
  </si>
  <si>
    <t>21</t>
  </si>
  <si>
    <t>PEA arrest, required ACLS( CPR, epi) , intubation, TPA administered, treated w TTM</t>
  </si>
  <si>
    <t>H</t>
  </si>
  <si>
    <t>9</t>
  </si>
  <si>
    <t>ICH</t>
  </si>
  <si>
    <t>37</t>
  </si>
  <si>
    <t>24</t>
  </si>
  <si>
    <t xml:space="preserve">Afib, started on po metoprolol, cardiology consulted </t>
  </si>
  <si>
    <t>immobililty- air travel</t>
  </si>
  <si>
    <t>Afib RVR/Diltiazem injection</t>
  </si>
  <si>
    <t>SDH - bilateral, hematemesis, bleeding from graft sites</t>
  </si>
  <si>
    <t>anemia, hematuria</t>
  </si>
  <si>
    <t xml:space="preserve">gum bleeding </t>
  </si>
  <si>
    <t>A.Fib RVR (RN documents amio bolus in notes, but is not listed in med rec)/PEA arrest (Epi x4 and gtt, Atropine)</t>
  </si>
  <si>
    <t xml:space="preserve">immobility  </t>
  </si>
  <si>
    <t>use of testosterone</t>
  </si>
  <si>
    <t>vaginal</t>
  </si>
  <si>
    <t>RBBB / ST (Diltiazem injection)</t>
  </si>
  <si>
    <t>Aflutter RVR / Diltiazem injection and gtt, metoprolol</t>
  </si>
  <si>
    <t>immobility- air travel</t>
  </si>
  <si>
    <t>recent hospitalization</t>
  </si>
  <si>
    <t>50-60</t>
  </si>
  <si>
    <t>RBBB / ST (metoprolol)</t>
  </si>
  <si>
    <t>carotid dissection</t>
  </si>
  <si>
    <t xml:space="preserve">M </t>
  </si>
  <si>
    <t>surgery, hormone replacement</t>
  </si>
  <si>
    <t>uprovoked</t>
  </si>
  <si>
    <t>melena/hemorrhoids</t>
  </si>
  <si>
    <t>menorrhagia</t>
  </si>
  <si>
    <t>chronic 2lpm</t>
  </si>
  <si>
    <t>home 2lpm</t>
  </si>
  <si>
    <t>hospitalization</t>
  </si>
  <si>
    <t>chronic 3lpm</t>
  </si>
  <si>
    <t>unprovoked, family history</t>
  </si>
  <si>
    <t>A-flutter/diltiazem drip</t>
  </si>
  <si>
    <t>sugery</t>
  </si>
  <si>
    <t xml:space="preserve">OCP </t>
  </si>
  <si>
    <t>suspect malignancy</t>
  </si>
  <si>
    <t>air travel</t>
  </si>
  <si>
    <t>personal history and immobility</t>
  </si>
  <si>
    <t>surgery,malignancy</t>
  </si>
  <si>
    <t xml:space="preserve">hemoptysis </t>
  </si>
  <si>
    <t>recent procedure</t>
  </si>
  <si>
    <t>73</t>
  </si>
  <si>
    <t>16</t>
  </si>
  <si>
    <t>epistaxis, hemorrhoidal bleed s/p ligation</t>
  </si>
  <si>
    <t>refused</t>
  </si>
  <si>
    <t>14</t>
  </si>
  <si>
    <t>recent travel</t>
  </si>
  <si>
    <t>gastric ulcer</t>
  </si>
  <si>
    <t>15</t>
  </si>
  <si>
    <t>SVT/adenosine, cardizem drip</t>
  </si>
  <si>
    <t>provoked</t>
  </si>
  <si>
    <t>suspect lung malignancy</t>
  </si>
  <si>
    <t>surgery, malignancy</t>
  </si>
  <si>
    <t>arm hematoma at site of blood pressure cuff</t>
  </si>
  <si>
    <t>20</t>
  </si>
  <si>
    <t>A-flutter/cardizem drip</t>
  </si>
  <si>
    <t>personal history and malignancy</t>
  </si>
  <si>
    <t>oral contraceptives</t>
  </si>
  <si>
    <t>A-fib with RVR/ diltiazem drip</t>
  </si>
  <si>
    <t>bleeding from IV after pt pulled it out</t>
  </si>
  <si>
    <t>personal history, surgery</t>
  </si>
  <si>
    <t>taking megace</t>
  </si>
  <si>
    <t>A-fib with RVR/diltiazem drip</t>
  </si>
  <si>
    <t>endometrial</t>
  </si>
  <si>
    <t>40</t>
  </si>
  <si>
    <t>A-flutter/RBBB- CODE BLUE/CPR- patient died in hospital</t>
  </si>
  <si>
    <t>AI</t>
  </si>
  <si>
    <t>58</t>
  </si>
  <si>
    <t>31</t>
  </si>
  <si>
    <t>personal  history</t>
  </si>
  <si>
    <t>30</t>
  </si>
  <si>
    <t>62</t>
  </si>
  <si>
    <t>28</t>
  </si>
  <si>
    <t>39</t>
  </si>
  <si>
    <t>epistaxis,mild</t>
  </si>
  <si>
    <t>personal history, immobility</t>
  </si>
  <si>
    <t>55</t>
  </si>
  <si>
    <t>65</t>
  </si>
  <si>
    <t>1, chronic 2L 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</si>
</sst>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_);\(0\)"/>
  </numFmts>
  <fonts count="14">
    <font>
      <sz val="11.0"/>
      <color theme="1"/>
      <name val="Arial"/>
    </font>
    <font>
      <b/>
      <sz val="11.0"/>
      <color theme="1"/>
      <name val="Calibri"/>
    </font>
    <font>
      <b/>
      <sz val="11.0"/>
      <color rgb="FF262626"/>
      <name val="Calibri"/>
    </font>
    <font>
      <sz val="11.0"/>
      <color theme="1"/>
      <name val="Calibri"/>
    </font>
    <font>
      <sz val="14.0"/>
      <color theme="1"/>
      <name val="Calibri"/>
    </font>
    <font>
      <sz val="14.0"/>
      <color rgb="FF262626"/>
      <name val="Calibri"/>
    </font>
    <font>
      <sz val="12.0"/>
      <color theme="1"/>
      <name val="Calibri"/>
    </font>
    <font>
      <sz val="12.0"/>
      <color theme="1"/>
      <name val="Arial"/>
    </font>
    <font>
      <b/>
      <sz val="11.0"/>
    </font>
    <font>
      <b/>
      <sz val="11.0"/>
      <color rgb="FF262626"/>
    </font>
    <font>
      <b/>
      <sz val="11.0"/>
      <color theme="1"/>
    </font>
    <font>
      <sz val="12.0"/>
      <color rgb="FF262626"/>
      <name val="Arial"/>
    </font>
    <font>
      <sz val="14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2" numFmtId="49" xfId="0" applyAlignment="1" applyFont="1" applyNumberFormat="1">
      <alignment vertical="center"/>
    </xf>
    <xf borderId="0" fillId="0" fontId="2" numFmtId="49" xfId="0" applyFont="1" applyNumberFormat="1"/>
    <xf borderId="0" fillId="0" fontId="1" numFmtId="49" xfId="0" applyAlignment="1" applyFont="1" applyNumberFormat="1">
      <alignment vertical="center"/>
    </xf>
    <xf borderId="0" fillId="0" fontId="2" numFmtId="49" xfId="0" applyAlignment="1" applyFont="1" applyNumberFormat="1">
      <alignment horizontal="center"/>
    </xf>
    <xf borderId="0" fillId="0" fontId="2" numFmtId="0" xfId="0" applyAlignment="1" applyFont="1">
      <alignment horizontal="left" shrinkToFit="0" wrapText="1"/>
    </xf>
    <xf borderId="0" fillId="0" fontId="1" numFmtId="49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/>
    </xf>
    <xf borderId="0" fillId="0" fontId="4" numFmtId="1" xfId="0" applyAlignment="1" applyFont="1" applyNumberFormat="1">
      <alignment horizontal="center"/>
    </xf>
    <xf borderId="0" fillId="0" fontId="4" numFmtId="49" xfId="0" applyAlignment="1" applyFont="1" applyNumberFormat="1">
      <alignment horizontal="center"/>
    </xf>
    <xf borderId="0" fillId="0" fontId="4" numFmtId="164" xfId="0" applyAlignment="1" applyFont="1" applyNumberFormat="1">
      <alignment horizontal="center"/>
    </xf>
    <xf borderId="0" fillId="0" fontId="4" numFmtId="2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left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vertical="center"/>
    </xf>
    <xf borderId="1" fillId="2" fontId="4" numFmtId="1" xfId="0" applyAlignment="1" applyBorder="1" applyFont="1" applyNumberFormat="1">
      <alignment horizontal="center"/>
    </xf>
    <xf borderId="0" fillId="0" fontId="4" numFmtId="1" xfId="0" applyAlignment="1" applyFont="1" applyNumberFormat="1">
      <alignment horizontal="center" vertical="top"/>
    </xf>
    <xf quotePrefix="1" borderId="0" fillId="0" fontId="4" numFmtId="0" xfId="0" applyAlignment="1" applyFont="1">
      <alignment horizontal="center" vertical="top"/>
    </xf>
    <xf borderId="0" fillId="0" fontId="4" numFmtId="2" xfId="0" applyAlignment="1" applyFont="1" applyNumberFormat="1">
      <alignment horizontal="center" vertical="top"/>
    </xf>
    <xf borderId="0" fillId="0" fontId="4" numFmtId="165" xfId="0" applyAlignment="1" applyFont="1" applyNumberFormat="1">
      <alignment horizontal="center" vertical="top"/>
    </xf>
    <xf quotePrefix="1" borderId="0" fillId="0" fontId="4" numFmtId="1" xfId="0" applyAlignment="1" applyFont="1" applyNumberFormat="1">
      <alignment horizontal="center" vertical="top"/>
    </xf>
    <xf quotePrefix="1" borderId="0" fillId="0" fontId="4" numFmtId="165" xfId="0" applyAlignment="1" applyFont="1" applyNumberFormat="1">
      <alignment horizontal="center" vertical="top"/>
    </xf>
    <xf borderId="0" fillId="0" fontId="4" numFmtId="0" xfId="0" applyAlignment="1" applyFont="1">
      <alignment horizontal="center" vertical="top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vertical="top"/>
    </xf>
    <xf quotePrefix="1" borderId="0" fillId="0" fontId="5" numFmtId="0" xfId="0" applyAlignment="1" applyFont="1">
      <alignment horizontal="center" vertical="top"/>
    </xf>
    <xf borderId="0" fillId="0" fontId="5" numFmtId="164" xfId="0" applyAlignment="1" applyFont="1" applyNumberFormat="1">
      <alignment horizontal="center"/>
    </xf>
    <xf borderId="0" fillId="0" fontId="5" numFmtId="2" xfId="0" applyAlignment="1" applyFont="1" applyNumberFormat="1">
      <alignment horizontal="center" vertical="top"/>
    </xf>
    <xf borderId="0" fillId="0" fontId="5" numFmtId="1" xfId="0" applyAlignment="1" applyFont="1" applyNumberFormat="1">
      <alignment horizontal="center" vertical="top"/>
    </xf>
    <xf borderId="0" fillId="0" fontId="5" numFmtId="165" xfId="0" applyAlignment="1" applyFont="1" applyNumberFormat="1">
      <alignment horizontal="center"/>
    </xf>
    <xf borderId="0" fillId="0" fontId="5" numFmtId="0" xfId="0" applyAlignment="1" applyFont="1">
      <alignment horizontal="left"/>
    </xf>
    <xf borderId="0" fillId="0" fontId="5" numFmtId="0" xfId="0" applyFont="1"/>
    <xf quotePrefix="1" borderId="0" fillId="0" fontId="7" numFmtId="0" xfId="0" applyAlignment="1" applyFont="1">
      <alignment horizontal="center" vertical="top"/>
    </xf>
    <xf borderId="0" fillId="0" fontId="4" numFmtId="164" xfId="0" applyAlignment="1" applyFont="1" applyNumberFormat="1">
      <alignment horizontal="center" vertical="top"/>
    </xf>
    <xf borderId="0" fillId="0" fontId="3" numFmtId="0" xfId="0" applyAlignment="1" applyFont="1">
      <alignment horizontal="center"/>
    </xf>
    <xf borderId="0" fillId="0" fontId="3" numFmtId="164" xfId="0" applyFont="1" applyNumberFormat="1"/>
    <xf borderId="0" fillId="0" fontId="3" numFmtId="164" xfId="0" applyAlignment="1" applyFont="1" applyNumberFormat="1">
      <alignment horizontal="center"/>
    </xf>
    <xf borderId="0" fillId="0" fontId="3" numFmtId="2" xfId="0" applyFont="1" applyNumberFormat="1"/>
    <xf borderId="0" fillId="0" fontId="3" numFmtId="1" xfId="0" applyFont="1" applyNumberFormat="1"/>
    <xf borderId="0" fillId="0" fontId="3" numFmtId="165" xfId="0" applyFont="1" applyNumberFormat="1"/>
    <xf borderId="0" fillId="0" fontId="8" numFmtId="49" xfId="0" applyFont="1" applyNumberFormat="1"/>
    <xf borderId="0" fillId="0" fontId="9" numFmtId="49" xfId="0" applyAlignment="1" applyFont="1" applyNumberFormat="1">
      <alignment vertical="center"/>
    </xf>
    <xf borderId="0" fillId="0" fontId="9" numFmtId="49" xfId="0" applyFont="1" applyNumberFormat="1"/>
    <xf borderId="0" fillId="0" fontId="10" numFmtId="49" xfId="0" applyFont="1" applyNumberFormat="1"/>
    <xf borderId="0" fillId="0" fontId="10" numFmtId="49" xfId="0" applyAlignment="1" applyFont="1" applyNumberFormat="1">
      <alignment vertical="center"/>
    </xf>
    <xf borderId="0" fillId="0" fontId="9" numFmtId="49" xfId="0" applyAlignment="1" applyFont="1" applyNumberFormat="1">
      <alignment horizontal="center"/>
    </xf>
    <xf borderId="0" fillId="0" fontId="9" numFmtId="0" xfId="0" applyAlignment="1" applyFont="1">
      <alignment horizontal="left" shrinkToFit="0" wrapText="1"/>
    </xf>
    <xf borderId="0" fillId="0" fontId="8" numFmtId="49" xfId="0" applyAlignment="1" applyFont="1" applyNumberFormat="1">
      <alignment horizontal="left"/>
    </xf>
    <xf quotePrefix="1" borderId="0" fillId="0" fontId="11" numFmtId="0" xfId="0" applyAlignment="1" applyFont="1">
      <alignment horizontal="center" vertical="top"/>
    </xf>
    <xf borderId="0" fillId="0" fontId="12" numFmtId="164" xfId="0" applyAlignment="1" applyFont="1" applyNumberFormat="1">
      <alignment horizontal="center"/>
    </xf>
    <xf borderId="0" fillId="0" fontId="5" numFmtId="164" xfId="0" applyAlignment="1" applyFont="1" applyNumberFormat="1">
      <alignment horizontal="center" vertical="top"/>
    </xf>
    <xf borderId="0" fillId="0" fontId="6" numFmtId="0" xfId="0" applyFont="1"/>
    <xf borderId="0" fillId="0" fontId="5" numFmtId="2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5" numFmtId="2" xfId="0" applyAlignment="1" applyFont="1" applyNumberFormat="1">
      <alignment horizontal="center" vertical="center"/>
    </xf>
    <xf borderId="0" fillId="0" fontId="5" numFmtId="1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quotePrefix="1" borderId="0" fillId="0" fontId="5" numFmtId="1" xfId="0" applyAlignment="1" applyFont="1" applyNumberFormat="1">
      <alignment horizontal="center" vertical="top"/>
    </xf>
    <xf borderId="0" fillId="0" fontId="13" numFmtId="0" xfId="0" applyFont="1"/>
    <xf borderId="0" fillId="0" fontId="4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Mayya%20Final_Final_June_27_2019-%20PE%20Study%20Spreadsheet-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addle PE's"/>
      <sheetName val="NonSaddle PE's"/>
      <sheetName val="Maya Saddle PE"/>
      <sheetName val="Maya Nonsaddle"/>
      <sheetName val="Extra Values Nonsaddle"/>
      <sheetName val="Extra Value Saddle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5.38"/>
    <col customWidth="1" min="2" max="2" width="6.63"/>
    <col customWidth="1" min="3" max="3" width="7.13"/>
    <col customWidth="1" min="4" max="4" width="7.63"/>
    <col customWidth="1" min="5" max="5" width="8.25"/>
    <col customWidth="1" min="6" max="6" width="10.38"/>
    <col customWidth="1" min="7" max="7" width="9.5"/>
    <col customWidth="1" min="8" max="8" width="9.63"/>
    <col customWidth="1" min="9" max="9" width="13.25"/>
    <col customWidth="1" min="10" max="10" width="11.0"/>
    <col customWidth="1" min="11" max="11" width="25.13"/>
    <col customWidth="1" min="12" max="12" width="10.88"/>
    <col customWidth="1" min="13" max="13" width="7.88"/>
    <col customWidth="1" min="14" max="14" width="10.0"/>
    <col customWidth="1" min="15" max="15" width="7.5"/>
    <col customWidth="1" min="16" max="16" width="9.0"/>
    <col customWidth="1" min="17" max="17" width="7.13"/>
    <col customWidth="1" min="18" max="18" width="11.75"/>
    <col customWidth="1" min="19" max="19" width="10.38"/>
    <col customWidth="1" min="20" max="20" width="12.13"/>
    <col customWidth="1" min="21" max="21" width="10.75"/>
    <col customWidth="1" min="22" max="23" width="9.5"/>
    <col customWidth="1" min="24" max="24" width="8.25"/>
    <col customWidth="1" min="25" max="25" width="14.0"/>
    <col customWidth="1" min="26" max="26" width="13.13"/>
    <col customWidth="1" min="27" max="27" width="15.88"/>
    <col customWidth="1" min="28" max="28" width="8.25"/>
    <col customWidth="1" min="29" max="29" width="12.63"/>
    <col customWidth="1" min="30" max="30" width="12.13"/>
    <col customWidth="1" min="31" max="31" width="8.0"/>
    <col customWidth="1" min="32" max="32" width="16.13"/>
    <col customWidth="1" min="33" max="33" width="13.25"/>
    <col customWidth="1" min="34" max="35" width="12.88"/>
    <col customWidth="1" min="36" max="36" width="12.63"/>
    <col customWidth="1" min="37" max="37" width="15.5"/>
    <col customWidth="1" min="38" max="38" width="10.63"/>
    <col customWidth="1" min="39" max="39" width="10.38"/>
    <col customWidth="1" min="40" max="40" width="7.75"/>
    <col customWidth="1" min="41" max="41" width="11.38"/>
    <col customWidth="1" min="42" max="42" width="17.75"/>
    <col customWidth="1" min="43" max="43" width="12.13"/>
    <col customWidth="1" min="44" max="44" width="15.75"/>
    <col customWidth="1" min="45" max="45" width="11.88"/>
    <col customWidth="1" min="46" max="46" width="22.5"/>
    <col customWidth="1" min="47" max="47" width="16.88"/>
    <col customWidth="1" min="48" max="48" width="22.5"/>
    <col customWidth="1" min="49" max="49" width="17.5"/>
    <col customWidth="1" min="50" max="50" width="12.25"/>
    <col customWidth="1" min="51" max="51" width="18.38"/>
    <col customWidth="1" min="52" max="52" width="16.13"/>
    <col customWidth="1" min="53" max="53" width="20.88"/>
    <col customWidth="1" min="54" max="54" width="15.0"/>
    <col customWidth="1" min="55" max="55" width="10.75"/>
    <col customWidth="1" min="56" max="57" width="9.88"/>
    <col customWidth="1" min="58" max="58" width="11.63"/>
    <col customWidth="1" min="59" max="59" width="15.25"/>
    <col customWidth="1" min="60" max="60" width="10.0"/>
    <col customWidth="1" min="61" max="62" width="7.75"/>
    <col customWidth="1" min="63" max="63" width="9.75"/>
    <col customWidth="1" min="64" max="64" width="10.63"/>
    <col customWidth="1" min="65" max="65" width="12.13"/>
    <col customWidth="1" min="66" max="66" width="13.13"/>
    <col customWidth="1" min="67" max="67" width="12.25"/>
    <col customWidth="1" min="68" max="69" width="17.63"/>
    <col customWidth="1" min="70" max="70" width="10.0"/>
    <col customWidth="1" min="71" max="72" width="11.13"/>
    <col customWidth="1" min="73" max="73" width="8.75"/>
    <col customWidth="1" min="74" max="74" width="12.38"/>
    <col customWidth="1" min="75" max="75" width="13.88"/>
    <col customWidth="1" min="76" max="76" width="16.0"/>
    <col customWidth="1" min="77" max="77" width="11.13"/>
    <col customWidth="1" min="78" max="78" width="9.38"/>
    <col customWidth="1" min="79" max="79" width="8.38"/>
    <col customWidth="1" min="80" max="80" width="8.63"/>
    <col customWidth="1" min="81" max="81" width="31.63"/>
    <col customWidth="1" min="82" max="82" width="9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3" t="s">
        <v>48</v>
      </c>
      <c r="AX1" s="2" t="s">
        <v>49</v>
      </c>
      <c r="AY1" s="4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3" t="s">
        <v>57</v>
      </c>
      <c r="BG1" s="3" t="s">
        <v>58</v>
      </c>
      <c r="BH1" s="5" t="s">
        <v>59</v>
      </c>
      <c r="BI1" s="3" t="s">
        <v>60</v>
      </c>
      <c r="BJ1" s="5" t="s">
        <v>61</v>
      </c>
      <c r="BK1" s="3" t="s">
        <v>62</v>
      </c>
      <c r="BL1" s="3" t="s">
        <v>63</v>
      </c>
      <c r="BM1" s="6" t="s">
        <v>64</v>
      </c>
      <c r="BN1" s="3" t="s">
        <v>65</v>
      </c>
      <c r="BO1" s="3" t="s">
        <v>66</v>
      </c>
      <c r="BP1" s="7" t="s">
        <v>67</v>
      </c>
      <c r="BQ1" s="7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8"/>
    </row>
    <row r="2">
      <c r="A2" s="9">
        <v>1.0</v>
      </c>
      <c r="B2" s="10">
        <v>72.0</v>
      </c>
      <c r="C2" s="9" t="s">
        <v>81</v>
      </c>
      <c r="D2" s="11" t="s">
        <v>82</v>
      </c>
      <c r="E2" s="9" t="s">
        <v>83</v>
      </c>
      <c r="F2" s="12">
        <v>175.3</v>
      </c>
      <c r="G2" s="12">
        <v>83.5</v>
      </c>
      <c r="H2" s="12">
        <f t="shared" ref="H2:H18" si="1">G2/((F2/100)^2)</f>
        <v>27.1720649</v>
      </c>
      <c r="I2" s="9">
        <v>0.0</v>
      </c>
      <c r="J2" s="9">
        <v>2.0</v>
      </c>
      <c r="K2" s="9">
        <v>1.0</v>
      </c>
      <c r="L2" s="9">
        <v>0.0</v>
      </c>
      <c r="M2" s="9">
        <v>72.0</v>
      </c>
      <c r="N2" s="9">
        <v>0.0</v>
      </c>
      <c r="O2" s="9">
        <v>151.0</v>
      </c>
      <c r="P2" s="9">
        <v>0.0</v>
      </c>
      <c r="Q2" s="9">
        <v>18.0</v>
      </c>
      <c r="R2" s="9">
        <v>0.0</v>
      </c>
      <c r="S2" s="12">
        <v>98.5</v>
      </c>
      <c r="T2" s="9">
        <v>0.0</v>
      </c>
      <c r="U2" s="9">
        <v>99.0</v>
      </c>
      <c r="V2" s="9">
        <v>0.0</v>
      </c>
      <c r="W2" s="9">
        <v>0.0</v>
      </c>
      <c r="X2" s="9">
        <v>0.0</v>
      </c>
      <c r="Y2" s="9">
        <v>0.0</v>
      </c>
      <c r="Z2" s="9">
        <v>0.0</v>
      </c>
      <c r="AA2" s="9">
        <v>0.0</v>
      </c>
      <c r="AB2" s="9">
        <v>0.0</v>
      </c>
      <c r="AC2" s="9">
        <v>0.0</v>
      </c>
      <c r="AD2" s="9">
        <v>0.0</v>
      </c>
      <c r="AE2" s="9">
        <v>1.0</v>
      </c>
      <c r="AF2" s="9">
        <v>0.0</v>
      </c>
      <c r="AG2" s="9">
        <v>0.0</v>
      </c>
      <c r="AH2" s="9">
        <v>1.0</v>
      </c>
      <c r="AI2" s="9">
        <v>0.0</v>
      </c>
      <c r="AJ2" s="9">
        <v>0.0</v>
      </c>
      <c r="AK2" s="9">
        <v>0.0</v>
      </c>
      <c r="AL2" s="9">
        <v>0.0</v>
      </c>
      <c r="AM2" s="9">
        <v>0.0</v>
      </c>
      <c r="AN2" s="9">
        <v>0.0</v>
      </c>
      <c r="AO2" s="9">
        <v>1.0</v>
      </c>
      <c r="AP2" s="9">
        <v>1.0</v>
      </c>
      <c r="AQ2" s="9">
        <v>0.0</v>
      </c>
      <c r="AR2" s="9">
        <v>0.0</v>
      </c>
      <c r="AS2" s="9" t="s">
        <v>84</v>
      </c>
      <c r="AT2" s="9" t="s">
        <v>84</v>
      </c>
      <c r="AU2" s="9" t="s">
        <v>84</v>
      </c>
      <c r="AV2" s="9" t="s">
        <v>84</v>
      </c>
      <c r="AW2" s="9" t="s">
        <v>84</v>
      </c>
      <c r="AX2" s="13">
        <f>6.3/4.66</f>
        <v>1.35193133</v>
      </c>
      <c r="AY2" s="10">
        <v>0.0</v>
      </c>
      <c r="AZ2" s="10">
        <v>0.0</v>
      </c>
      <c r="BA2" s="10">
        <v>1.0</v>
      </c>
      <c r="BB2" s="13">
        <f>3.14/3.27</f>
        <v>0.9602446483</v>
      </c>
      <c r="BC2" s="10">
        <v>4.0</v>
      </c>
      <c r="BD2" s="10">
        <v>1.0</v>
      </c>
      <c r="BE2" s="10"/>
      <c r="BF2" s="9">
        <v>0.0</v>
      </c>
      <c r="BG2" s="9" t="s">
        <v>84</v>
      </c>
      <c r="BH2" s="9">
        <v>0.0</v>
      </c>
      <c r="BI2" s="9">
        <v>0.0</v>
      </c>
      <c r="BJ2" s="9">
        <v>0.0</v>
      </c>
      <c r="BK2" s="9">
        <v>0.0</v>
      </c>
      <c r="BL2" s="9">
        <v>0.0</v>
      </c>
      <c r="BM2" s="9">
        <v>0.0</v>
      </c>
      <c r="BN2" s="9">
        <v>0.0</v>
      </c>
      <c r="BO2" s="9">
        <v>0.0</v>
      </c>
      <c r="BP2" s="9" t="s">
        <v>84</v>
      </c>
      <c r="BQ2" s="9" t="s">
        <v>84</v>
      </c>
      <c r="BR2" s="9">
        <v>0.0</v>
      </c>
      <c r="BS2" s="9" t="s">
        <v>84</v>
      </c>
      <c r="BT2" s="9">
        <v>0.0</v>
      </c>
      <c r="BU2" s="9">
        <v>0.0</v>
      </c>
      <c r="BV2" s="9">
        <v>0.0</v>
      </c>
      <c r="BW2" s="10">
        <v>0.0</v>
      </c>
      <c r="BX2" s="14">
        <v>0.0</v>
      </c>
      <c r="BY2" s="9">
        <v>0.0</v>
      </c>
      <c r="BZ2" s="9">
        <v>1.0</v>
      </c>
      <c r="CA2" s="9">
        <v>0.0</v>
      </c>
      <c r="CB2" s="9">
        <v>0.0</v>
      </c>
      <c r="CC2" s="15" t="s">
        <v>85</v>
      </c>
    </row>
    <row r="3">
      <c r="A3" s="9">
        <v>2.0</v>
      </c>
      <c r="B3" s="10">
        <v>74.0</v>
      </c>
      <c r="C3" s="9" t="s">
        <v>86</v>
      </c>
      <c r="D3" s="11" t="s">
        <v>82</v>
      </c>
      <c r="E3" s="9" t="s">
        <v>83</v>
      </c>
      <c r="F3" s="12">
        <v>170.18</v>
      </c>
      <c r="G3" s="12">
        <v>76.3</v>
      </c>
      <c r="H3" s="12">
        <f t="shared" si="1"/>
        <v>26.34556394</v>
      </c>
      <c r="I3" s="9">
        <v>0.0</v>
      </c>
      <c r="J3" s="9">
        <v>2.0</v>
      </c>
      <c r="K3" s="9">
        <v>2.0</v>
      </c>
      <c r="L3" s="9">
        <v>0.0</v>
      </c>
      <c r="M3" s="9">
        <v>102.0</v>
      </c>
      <c r="N3" s="9">
        <v>0.0</v>
      </c>
      <c r="O3" s="9">
        <v>127.0</v>
      </c>
      <c r="P3" s="9">
        <v>0.0</v>
      </c>
      <c r="Q3" s="9">
        <v>23.0</v>
      </c>
      <c r="R3" s="9">
        <v>0.0</v>
      </c>
      <c r="S3" s="12">
        <v>97.3</v>
      </c>
      <c r="T3" s="9">
        <v>0.0</v>
      </c>
      <c r="U3" s="9">
        <v>94.0</v>
      </c>
      <c r="V3" s="9">
        <v>0.0</v>
      </c>
      <c r="W3" s="9">
        <v>0.0</v>
      </c>
      <c r="X3" s="9">
        <v>0.0</v>
      </c>
      <c r="Y3" s="9">
        <v>0.0</v>
      </c>
      <c r="Z3" s="9">
        <v>0.0</v>
      </c>
      <c r="AA3" s="9">
        <v>0.0</v>
      </c>
      <c r="AB3" s="9">
        <v>0.0</v>
      </c>
      <c r="AC3" s="9">
        <v>0.0</v>
      </c>
      <c r="AD3" s="9">
        <v>0.0</v>
      </c>
      <c r="AE3" s="9">
        <v>0.0</v>
      </c>
      <c r="AF3" s="9">
        <v>0.0</v>
      </c>
      <c r="AG3" s="9">
        <v>1.0</v>
      </c>
      <c r="AH3" s="9">
        <v>0.0</v>
      </c>
      <c r="AI3" s="9">
        <v>1.0</v>
      </c>
      <c r="AJ3" s="9">
        <v>0.0</v>
      </c>
      <c r="AK3" s="9">
        <v>0.0</v>
      </c>
      <c r="AL3" s="9">
        <v>0.0</v>
      </c>
      <c r="AM3" s="9">
        <v>0.0</v>
      </c>
      <c r="AN3" s="9">
        <v>0.0</v>
      </c>
      <c r="AO3" s="9">
        <v>1.0</v>
      </c>
      <c r="AP3" s="9">
        <v>1.0</v>
      </c>
      <c r="AQ3" s="9" t="s">
        <v>84</v>
      </c>
      <c r="AR3" s="9">
        <v>1.0</v>
      </c>
      <c r="AS3" s="9">
        <v>1.0</v>
      </c>
      <c r="AT3" s="9">
        <v>1.0</v>
      </c>
      <c r="AU3" s="9">
        <v>1.0</v>
      </c>
      <c r="AV3" s="9">
        <v>0.0</v>
      </c>
      <c r="AW3" s="9">
        <v>28.6</v>
      </c>
      <c r="AX3" s="13">
        <f>5.75/2.86</f>
        <v>2.01048951</v>
      </c>
      <c r="AY3" s="10">
        <v>0.0</v>
      </c>
      <c r="AZ3" s="10">
        <v>0.0</v>
      </c>
      <c r="BA3" s="10">
        <v>1.0</v>
      </c>
      <c r="BB3" s="13">
        <f>3.37/3.43</f>
        <v>0.9825072886</v>
      </c>
      <c r="BC3" s="10">
        <v>2.0</v>
      </c>
      <c r="BD3" s="10">
        <v>1.0</v>
      </c>
      <c r="BE3" s="10"/>
      <c r="BF3" s="9">
        <v>0.0</v>
      </c>
      <c r="BG3" s="9" t="s">
        <v>84</v>
      </c>
      <c r="BH3" s="9">
        <v>0.0</v>
      </c>
      <c r="BI3" s="9">
        <v>0.0</v>
      </c>
      <c r="BJ3" s="9">
        <v>0.0</v>
      </c>
      <c r="BK3" s="9">
        <v>0.0</v>
      </c>
      <c r="BL3" s="9">
        <v>0.0</v>
      </c>
      <c r="BM3" s="9">
        <v>0.0</v>
      </c>
      <c r="BN3" s="9">
        <v>0.0</v>
      </c>
      <c r="BO3" s="9">
        <v>0.0</v>
      </c>
      <c r="BP3" s="9" t="s">
        <v>84</v>
      </c>
      <c r="BQ3" s="9" t="s">
        <v>84</v>
      </c>
      <c r="BR3" s="9">
        <v>0.0</v>
      </c>
      <c r="BS3" s="9" t="s">
        <v>84</v>
      </c>
      <c r="BT3" s="9">
        <v>0.0</v>
      </c>
      <c r="BU3" s="9">
        <v>0.0</v>
      </c>
      <c r="BV3" s="9">
        <v>0.0</v>
      </c>
      <c r="BW3" s="10">
        <v>0.0</v>
      </c>
      <c r="BX3" s="14">
        <v>0.0</v>
      </c>
      <c r="BY3" s="9">
        <v>0.0</v>
      </c>
      <c r="BZ3" s="9">
        <v>0.0</v>
      </c>
      <c r="CA3" s="9">
        <v>0.0</v>
      </c>
      <c r="CB3" s="9">
        <v>0.0</v>
      </c>
      <c r="CC3" s="16" t="s">
        <v>87</v>
      </c>
    </row>
    <row r="4">
      <c r="A4" s="9">
        <v>3.0</v>
      </c>
      <c r="B4" s="10">
        <v>57.0</v>
      </c>
      <c r="C4" s="9" t="s">
        <v>86</v>
      </c>
      <c r="D4" s="11" t="s">
        <v>88</v>
      </c>
      <c r="E4" s="9" t="s">
        <v>83</v>
      </c>
      <c r="F4" s="12">
        <v>152.4</v>
      </c>
      <c r="G4" s="12">
        <v>97.1</v>
      </c>
      <c r="H4" s="12">
        <f t="shared" si="1"/>
        <v>41.80702806</v>
      </c>
      <c r="I4" s="9">
        <v>0.0</v>
      </c>
      <c r="J4" s="9">
        <v>2.0</v>
      </c>
      <c r="K4" s="9">
        <v>1.0</v>
      </c>
      <c r="L4" s="9">
        <v>0.0</v>
      </c>
      <c r="M4" s="9">
        <v>109.0</v>
      </c>
      <c r="N4" s="9">
        <v>0.0</v>
      </c>
      <c r="O4" s="9">
        <v>118.0</v>
      </c>
      <c r="P4" s="9">
        <v>0.0</v>
      </c>
      <c r="Q4" s="9">
        <v>18.0</v>
      </c>
      <c r="R4" s="9">
        <v>0.0</v>
      </c>
      <c r="S4" s="12">
        <v>99.4</v>
      </c>
      <c r="T4" s="9">
        <v>0.0</v>
      </c>
      <c r="U4" s="9">
        <v>96.0</v>
      </c>
      <c r="V4" s="9">
        <v>0.0</v>
      </c>
      <c r="W4" s="9">
        <v>0.0</v>
      </c>
      <c r="X4" s="9">
        <v>0.0</v>
      </c>
      <c r="Y4" s="9">
        <v>0.0</v>
      </c>
      <c r="Z4" s="9">
        <v>0.0</v>
      </c>
      <c r="AA4" s="9">
        <v>0.0</v>
      </c>
      <c r="AB4" s="9">
        <v>0.0</v>
      </c>
      <c r="AC4" s="9">
        <v>0.0</v>
      </c>
      <c r="AD4" s="9">
        <v>0.0</v>
      </c>
      <c r="AE4" s="9">
        <v>0.0</v>
      </c>
      <c r="AF4" s="9">
        <v>0.0</v>
      </c>
      <c r="AG4" s="9">
        <v>0.0</v>
      </c>
      <c r="AH4" s="9">
        <v>0.0</v>
      </c>
      <c r="AI4" s="9">
        <v>0.0</v>
      </c>
      <c r="AJ4" s="9">
        <v>0.0</v>
      </c>
      <c r="AK4" s="9">
        <v>0.0</v>
      </c>
      <c r="AL4" s="9">
        <v>0.0</v>
      </c>
      <c r="AM4" s="9">
        <v>0.0</v>
      </c>
      <c r="AN4" s="9">
        <v>0.0</v>
      </c>
      <c r="AO4" s="9">
        <v>3.0</v>
      </c>
      <c r="AP4" s="9" t="s">
        <v>84</v>
      </c>
      <c r="AQ4" s="9">
        <v>0.0</v>
      </c>
      <c r="AR4" s="9">
        <v>0.0</v>
      </c>
      <c r="AS4" s="9" t="s">
        <v>84</v>
      </c>
      <c r="AT4" s="9" t="s">
        <v>84</v>
      </c>
      <c r="AU4" s="9" t="s">
        <v>84</v>
      </c>
      <c r="AV4" s="9" t="s">
        <v>84</v>
      </c>
      <c r="AW4" s="9" t="s">
        <v>84</v>
      </c>
      <c r="AX4" s="13">
        <f>4.84/3.91</f>
        <v>1.237851662</v>
      </c>
      <c r="AY4" s="10">
        <v>0.0</v>
      </c>
      <c r="AZ4" s="10">
        <v>0.0</v>
      </c>
      <c r="BA4" s="10">
        <v>1.0</v>
      </c>
      <c r="BB4" s="13">
        <f>2.38/3.18</f>
        <v>0.748427673</v>
      </c>
      <c r="BC4" s="10">
        <v>1.0</v>
      </c>
      <c r="BD4" s="10">
        <v>1.0</v>
      </c>
      <c r="BE4" s="10"/>
      <c r="BF4" s="9">
        <v>0.0</v>
      </c>
      <c r="BG4" s="9" t="s">
        <v>84</v>
      </c>
      <c r="BH4" s="9">
        <v>1.0</v>
      </c>
      <c r="BI4" s="9">
        <v>0.0</v>
      </c>
      <c r="BJ4" s="9">
        <v>0.0</v>
      </c>
      <c r="BK4" s="9">
        <v>0.0</v>
      </c>
      <c r="BL4" s="9">
        <v>0.0</v>
      </c>
      <c r="BM4" s="9">
        <v>0.0</v>
      </c>
      <c r="BN4" s="9">
        <v>0.0</v>
      </c>
      <c r="BO4" s="9">
        <v>1.0</v>
      </c>
      <c r="BP4" s="9">
        <v>1.0</v>
      </c>
      <c r="BQ4" s="9">
        <v>1.0</v>
      </c>
      <c r="BR4" s="9">
        <v>0.0</v>
      </c>
      <c r="BS4" s="9" t="s">
        <v>84</v>
      </c>
      <c r="BT4" s="9">
        <v>0.0</v>
      </c>
      <c r="BU4" s="9">
        <v>0.0</v>
      </c>
      <c r="BV4" s="9">
        <v>0.0</v>
      </c>
      <c r="BW4" s="10">
        <v>0.0</v>
      </c>
      <c r="BX4" s="14">
        <v>0.0</v>
      </c>
      <c r="BY4" s="9">
        <v>0.0</v>
      </c>
      <c r="BZ4" s="9">
        <v>0.0</v>
      </c>
      <c r="CA4" s="9">
        <v>0.0</v>
      </c>
      <c r="CB4" s="9">
        <v>0.0</v>
      </c>
      <c r="CC4" s="16" t="s">
        <v>85</v>
      </c>
    </row>
    <row r="5">
      <c r="A5" s="9">
        <v>4.0</v>
      </c>
      <c r="B5" s="10">
        <v>64.0</v>
      </c>
      <c r="C5" s="9" t="s">
        <v>81</v>
      </c>
      <c r="D5" s="11" t="s">
        <v>82</v>
      </c>
      <c r="E5" s="9" t="s">
        <v>83</v>
      </c>
      <c r="F5" s="12">
        <v>175.26</v>
      </c>
      <c r="G5" s="12">
        <v>72.2</v>
      </c>
      <c r="H5" s="12">
        <f t="shared" si="1"/>
        <v>23.50561307</v>
      </c>
      <c r="I5" s="9">
        <v>0.0</v>
      </c>
      <c r="J5" s="9">
        <v>2.0</v>
      </c>
      <c r="K5" s="9">
        <v>2.0</v>
      </c>
      <c r="L5" s="9">
        <v>0.0</v>
      </c>
      <c r="M5" s="9">
        <v>92.0</v>
      </c>
      <c r="N5" s="9">
        <v>0.0</v>
      </c>
      <c r="O5" s="9">
        <v>170.0</v>
      </c>
      <c r="P5" s="9">
        <v>0.0</v>
      </c>
      <c r="Q5" s="9">
        <v>16.0</v>
      </c>
      <c r="R5" s="9">
        <v>0.0</v>
      </c>
      <c r="S5" s="12">
        <v>97.5</v>
      </c>
      <c r="T5" s="9">
        <v>0.0</v>
      </c>
      <c r="U5" s="9">
        <v>100.0</v>
      </c>
      <c r="V5" s="9">
        <v>0.0</v>
      </c>
      <c r="W5" s="9">
        <v>0.0</v>
      </c>
      <c r="X5" s="9">
        <v>0.0</v>
      </c>
      <c r="Y5" s="9">
        <v>0.0</v>
      </c>
      <c r="Z5" s="9">
        <v>0.0</v>
      </c>
      <c r="AA5" s="9">
        <v>0.0</v>
      </c>
      <c r="AB5" s="9">
        <v>0.0</v>
      </c>
      <c r="AC5" s="9">
        <v>0.0</v>
      </c>
      <c r="AD5" s="9">
        <v>0.0</v>
      </c>
      <c r="AE5" s="9">
        <v>0.0</v>
      </c>
      <c r="AF5" s="9">
        <v>0.0</v>
      </c>
      <c r="AG5" s="9">
        <v>0.0</v>
      </c>
      <c r="AH5" s="9">
        <v>0.0</v>
      </c>
      <c r="AI5" s="9">
        <v>0.0</v>
      </c>
      <c r="AJ5" s="9">
        <v>0.0</v>
      </c>
      <c r="AK5" s="9">
        <v>0.0</v>
      </c>
      <c r="AL5" s="9">
        <v>0.0</v>
      </c>
      <c r="AM5" s="9">
        <v>0.0</v>
      </c>
      <c r="AN5" s="9">
        <v>0.0</v>
      </c>
      <c r="AO5" s="9">
        <v>1.0</v>
      </c>
      <c r="AP5" s="9">
        <v>1.0</v>
      </c>
      <c r="AQ5" s="9">
        <v>1.0</v>
      </c>
      <c r="AR5" s="9">
        <v>1.0</v>
      </c>
      <c r="AS5" s="9">
        <v>1.0</v>
      </c>
      <c r="AT5" s="9">
        <v>0.0</v>
      </c>
      <c r="AU5" s="9">
        <v>0.0</v>
      </c>
      <c r="AV5" s="9">
        <v>0.0</v>
      </c>
      <c r="AW5" s="9">
        <v>49.6</v>
      </c>
      <c r="AX5" s="13">
        <f>5.83/3.45</f>
        <v>1.689855072</v>
      </c>
      <c r="AY5" s="10">
        <v>0.0</v>
      </c>
      <c r="AZ5" s="10">
        <v>0.0</v>
      </c>
      <c r="BA5" s="10">
        <v>1.0</v>
      </c>
      <c r="BB5" s="13">
        <f>2.92/3.21</f>
        <v>0.9096573209</v>
      </c>
      <c r="BC5" s="10">
        <v>4.0</v>
      </c>
      <c r="BD5" s="10">
        <v>0.0</v>
      </c>
      <c r="BE5" s="10"/>
      <c r="BF5" s="9">
        <v>0.0</v>
      </c>
      <c r="BG5" s="9" t="s">
        <v>84</v>
      </c>
      <c r="BH5" s="9">
        <v>1.0</v>
      </c>
      <c r="BI5" s="9">
        <v>0.0</v>
      </c>
      <c r="BJ5" s="9">
        <v>0.0</v>
      </c>
      <c r="BK5" s="9">
        <v>0.0</v>
      </c>
      <c r="BL5" s="9">
        <v>0.0</v>
      </c>
      <c r="BM5" s="9">
        <v>0.0</v>
      </c>
      <c r="BN5" s="9">
        <v>0.0</v>
      </c>
      <c r="BO5" s="9">
        <v>1.0</v>
      </c>
      <c r="BP5" s="9">
        <v>0.0</v>
      </c>
      <c r="BQ5" s="9">
        <v>1.0</v>
      </c>
      <c r="BR5" s="9">
        <v>0.0</v>
      </c>
      <c r="BS5" s="9" t="s">
        <v>84</v>
      </c>
      <c r="BT5" s="9">
        <v>0.0</v>
      </c>
      <c r="BU5" s="9">
        <v>0.0</v>
      </c>
      <c r="BV5" s="9">
        <v>0.0</v>
      </c>
      <c r="BW5" s="10">
        <v>0.0</v>
      </c>
      <c r="BX5" s="14">
        <v>0.0</v>
      </c>
      <c r="BY5" s="9">
        <v>0.0</v>
      </c>
      <c r="BZ5" s="9">
        <v>0.0</v>
      </c>
      <c r="CA5" s="9">
        <v>0.0</v>
      </c>
      <c r="CB5" s="9">
        <v>0.0</v>
      </c>
      <c r="CC5" s="15" t="s">
        <v>89</v>
      </c>
    </row>
    <row r="6">
      <c r="A6" s="9">
        <v>5.0</v>
      </c>
      <c r="B6" s="10">
        <v>68.0</v>
      </c>
      <c r="C6" s="9" t="s">
        <v>81</v>
      </c>
      <c r="D6" s="11" t="s">
        <v>88</v>
      </c>
      <c r="E6" s="9" t="s">
        <v>90</v>
      </c>
      <c r="F6" s="12">
        <v>152.4</v>
      </c>
      <c r="G6" s="12">
        <v>80.3</v>
      </c>
      <c r="H6" s="12">
        <f t="shared" si="1"/>
        <v>34.57368026</v>
      </c>
      <c r="I6" s="9">
        <v>1.0</v>
      </c>
      <c r="J6" s="9">
        <v>5.0</v>
      </c>
      <c r="K6" s="9">
        <v>2.0</v>
      </c>
      <c r="L6" s="9">
        <v>1.0</v>
      </c>
      <c r="M6" s="9">
        <v>130.0</v>
      </c>
      <c r="N6" s="9">
        <v>1.0</v>
      </c>
      <c r="O6" s="9">
        <v>93.0</v>
      </c>
      <c r="P6" s="9">
        <v>0.0</v>
      </c>
      <c r="Q6" s="9">
        <v>28.0</v>
      </c>
      <c r="R6" s="9">
        <v>0.0</v>
      </c>
      <c r="S6" s="12">
        <v>98.7</v>
      </c>
      <c r="T6" s="9">
        <v>1.0</v>
      </c>
      <c r="U6" s="9">
        <v>75.0</v>
      </c>
      <c r="V6" s="9">
        <v>1.0</v>
      </c>
      <c r="W6" s="9">
        <v>0.0</v>
      </c>
      <c r="X6" s="9">
        <v>0.0</v>
      </c>
      <c r="Y6" s="9">
        <v>0.0</v>
      </c>
      <c r="Z6" s="9">
        <v>0.0</v>
      </c>
      <c r="AA6" s="9">
        <v>0.0</v>
      </c>
      <c r="AB6" s="9">
        <v>0.0</v>
      </c>
      <c r="AC6" s="9">
        <v>0.0</v>
      </c>
      <c r="AD6" s="9">
        <v>0.0</v>
      </c>
      <c r="AE6" s="9">
        <v>1.0</v>
      </c>
      <c r="AF6" s="9">
        <v>0.0</v>
      </c>
      <c r="AG6" s="9">
        <v>0.0</v>
      </c>
      <c r="AH6" s="9">
        <v>0.0</v>
      </c>
      <c r="AI6" s="9">
        <v>0.0</v>
      </c>
      <c r="AJ6" s="9">
        <v>0.0</v>
      </c>
      <c r="AK6" s="9">
        <v>1.0</v>
      </c>
      <c r="AL6" s="9">
        <v>0.0</v>
      </c>
      <c r="AM6" s="9">
        <v>0.0</v>
      </c>
      <c r="AN6" s="9">
        <v>1.0</v>
      </c>
      <c r="AO6" s="9">
        <v>1.0</v>
      </c>
      <c r="AP6" s="9">
        <v>1.0</v>
      </c>
      <c r="AQ6" s="9" t="s">
        <v>84</v>
      </c>
      <c r="AR6" s="9">
        <v>0.0</v>
      </c>
      <c r="AS6" s="9">
        <v>1.0</v>
      </c>
      <c r="AT6" s="9">
        <v>1.0</v>
      </c>
      <c r="AU6" s="9">
        <v>1.0</v>
      </c>
      <c r="AV6" s="9">
        <v>0.0</v>
      </c>
      <c r="AW6" s="9">
        <v>41.0</v>
      </c>
      <c r="AX6" s="13">
        <f>5.05/4.81</f>
        <v>1.04989605</v>
      </c>
      <c r="AY6" s="10">
        <v>0.0</v>
      </c>
      <c r="AZ6" s="10">
        <v>0.0</v>
      </c>
      <c r="BA6" s="10">
        <v>1.0</v>
      </c>
      <c r="BB6" s="13">
        <f>2.96/3.39</f>
        <v>0.8731563422</v>
      </c>
      <c r="BC6" s="10">
        <v>2.0</v>
      </c>
      <c r="BD6" s="10">
        <v>0.0</v>
      </c>
      <c r="BE6" s="10"/>
      <c r="BF6" s="9">
        <v>0.0</v>
      </c>
      <c r="BG6" s="9" t="s">
        <v>84</v>
      </c>
      <c r="BH6" s="9">
        <v>1.0</v>
      </c>
      <c r="BI6" s="9">
        <v>0.0</v>
      </c>
      <c r="BJ6" s="9">
        <v>0.0</v>
      </c>
      <c r="BK6" s="9">
        <v>0.0</v>
      </c>
      <c r="BL6" s="9">
        <v>0.0</v>
      </c>
      <c r="BM6" s="9">
        <v>0.0</v>
      </c>
      <c r="BN6" s="9">
        <v>0.0</v>
      </c>
      <c r="BO6" s="9">
        <v>0.0</v>
      </c>
      <c r="BP6" s="9" t="s">
        <v>84</v>
      </c>
      <c r="BQ6" s="9" t="s">
        <v>84</v>
      </c>
      <c r="BR6" s="9">
        <v>0.0</v>
      </c>
      <c r="BS6" s="9" t="s">
        <v>84</v>
      </c>
      <c r="BT6" s="9">
        <v>0.0</v>
      </c>
      <c r="BU6" s="9" t="s">
        <v>91</v>
      </c>
      <c r="BV6" s="9">
        <v>0.0</v>
      </c>
      <c r="BW6" s="10">
        <v>0.0</v>
      </c>
      <c r="BX6" s="14">
        <v>0.0</v>
      </c>
      <c r="BY6" s="9">
        <v>1.0</v>
      </c>
      <c r="BZ6" s="9">
        <v>1.0</v>
      </c>
      <c r="CA6" s="9">
        <v>0.0</v>
      </c>
      <c r="CB6" s="9">
        <v>0.0</v>
      </c>
      <c r="CC6" s="15" t="s">
        <v>92</v>
      </c>
    </row>
    <row r="7">
      <c r="A7" s="9">
        <v>6.0</v>
      </c>
      <c r="B7" s="10">
        <v>36.0</v>
      </c>
      <c r="C7" s="9" t="s">
        <v>81</v>
      </c>
      <c r="D7" s="11" t="s">
        <v>88</v>
      </c>
      <c r="E7" s="9" t="s">
        <v>93</v>
      </c>
      <c r="F7" s="12">
        <v>185.42000000000002</v>
      </c>
      <c r="G7" s="12">
        <v>140.7</v>
      </c>
      <c r="H7" s="12">
        <f t="shared" si="1"/>
        <v>40.92427025</v>
      </c>
      <c r="I7" s="9">
        <v>0.0</v>
      </c>
      <c r="J7" s="9">
        <v>1.0</v>
      </c>
      <c r="K7" s="9">
        <v>1.0</v>
      </c>
      <c r="L7" s="9">
        <v>0.0</v>
      </c>
      <c r="M7" s="9">
        <v>72.0</v>
      </c>
      <c r="N7" s="9">
        <v>0.0</v>
      </c>
      <c r="O7" s="9">
        <v>132.0</v>
      </c>
      <c r="P7" s="9">
        <v>0.0</v>
      </c>
      <c r="Q7" s="9">
        <v>20.0</v>
      </c>
      <c r="R7" s="9">
        <v>0.0</v>
      </c>
      <c r="S7" s="12">
        <v>98.0</v>
      </c>
      <c r="T7" s="9">
        <v>0.0</v>
      </c>
      <c r="U7" s="10">
        <v>97.0</v>
      </c>
      <c r="V7" s="9">
        <v>0.0</v>
      </c>
      <c r="W7" s="9">
        <v>0.0</v>
      </c>
      <c r="X7" s="9">
        <v>0.0</v>
      </c>
      <c r="Y7" s="9">
        <v>0.0</v>
      </c>
      <c r="Z7" s="9">
        <v>0.0</v>
      </c>
      <c r="AA7" s="9">
        <v>0.0</v>
      </c>
      <c r="AB7" s="9">
        <v>0.0</v>
      </c>
      <c r="AC7" s="9">
        <v>0.0</v>
      </c>
      <c r="AD7" s="9">
        <v>1.0</v>
      </c>
      <c r="AE7" s="9">
        <v>0.0</v>
      </c>
      <c r="AF7" s="9">
        <v>0.0</v>
      </c>
      <c r="AG7" s="9">
        <v>1.0</v>
      </c>
      <c r="AH7" s="9">
        <v>1.0</v>
      </c>
      <c r="AI7" s="9">
        <v>0.0</v>
      </c>
      <c r="AJ7" s="9">
        <v>0.0</v>
      </c>
      <c r="AK7" s="9">
        <v>0.0</v>
      </c>
      <c r="AL7" s="9">
        <v>0.0</v>
      </c>
      <c r="AM7" s="9">
        <v>0.0</v>
      </c>
      <c r="AN7" s="9">
        <v>0.0</v>
      </c>
      <c r="AO7" s="9">
        <v>1.0</v>
      </c>
      <c r="AP7" s="9">
        <v>1.0</v>
      </c>
      <c r="AQ7" s="9">
        <v>0.0</v>
      </c>
      <c r="AR7" s="9">
        <v>0.0</v>
      </c>
      <c r="AS7" s="9">
        <v>0.0</v>
      </c>
      <c r="AT7" s="9">
        <v>0.0</v>
      </c>
      <c r="AU7" s="9">
        <v>0.0</v>
      </c>
      <c r="AV7" s="9">
        <v>0.0</v>
      </c>
      <c r="AW7" s="9">
        <v>21.5</v>
      </c>
      <c r="AX7" s="13">
        <f>4.65/3.96</f>
        <v>1.174242424</v>
      </c>
      <c r="AY7" s="10">
        <v>0.0</v>
      </c>
      <c r="AZ7" s="10">
        <v>0.0</v>
      </c>
      <c r="BA7" s="10">
        <v>1.0</v>
      </c>
      <c r="BB7" s="13">
        <f>2.93/3.01</f>
        <v>0.9734219269</v>
      </c>
      <c r="BC7" s="10">
        <v>1.0</v>
      </c>
      <c r="BD7" s="10">
        <v>0.0</v>
      </c>
      <c r="BE7" s="10"/>
      <c r="BF7" s="9">
        <v>0.0</v>
      </c>
      <c r="BG7" s="9" t="s">
        <v>84</v>
      </c>
      <c r="BH7" s="9">
        <v>0.0</v>
      </c>
      <c r="BI7" s="9">
        <v>0.0</v>
      </c>
      <c r="BJ7" s="9">
        <v>0.0</v>
      </c>
      <c r="BK7" s="9">
        <v>0.0</v>
      </c>
      <c r="BL7" s="9">
        <v>0.0</v>
      </c>
      <c r="BM7" s="9">
        <v>0.0</v>
      </c>
      <c r="BN7" s="9">
        <v>0.0</v>
      </c>
      <c r="BO7" s="9">
        <v>0.0</v>
      </c>
      <c r="BP7" s="9" t="s">
        <v>84</v>
      </c>
      <c r="BQ7" s="9" t="s">
        <v>84</v>
      </c>
      <c r="BR7" s="9">
        <v>0.0</v>
      </c>
      <c r="BS7" s="9" t="s">
        <v>84</v>
      </c>
      <c r="BT7" s="9">
        <v>0.0</v>
      </c>
      <c r="BU7" s="9">
        <v>0.0</v>
      </c>
      <c r="BV7" s="9">
        <v>0.0</v>
      </c>
      <c r="BW7" s="10">
        <v>0.0</v>
      </c>
      <c r="BX7" s="14">
        <v>0.0</v>
      </c>
      <c r="BY7" s="9">
        <v>0.0</v>
      </c>
      <c r="BZ7" s="9">
        <v>0.0</v>
      </c>
      <c r="CA7" s="9">
        <v>0.0</v>
      </c>
      <c r="CB7" s="9">
        <v>0.0</v>
      </c>
      <c r="CC7" s="15" t="s">
        <v>85</v>
      </c>
      <c r="CD7" s="17"/>
    </row>
    <row r="8">
      <c r="A8" s="9">
        <v>7.0</v>
      </c>
      <c r="B8" s="10">
        <v>37.0</v>
      </c>
      <c r="C8" s="9" t="s">
        <v>81</v>
      </c>
      <c r="D8" s="11" t="s">
        <v>82</v>
      </c>
      <c r="E8" s="9" t="s">
        <v>93</v>
      </c>
      <c r="F8" s="12">
        <v>205.74</v>
      </c>
      <c r="G8" s="12">
        <v>98.8</v>
      </c>
      <c r="H8" s="12">
        <f t="shared" si="1"/>
        <v>23.3410008</v>
      </c>
      <c r="I8" s="9">
        <v>0.0</v>
      </c>
      <c r="J8" s="9">
        <v>1.0</v>
      </c>
      <c r="K8" s="9">
        <v>2.0</v>
      </c>
      <c r="L8" s="9">
        <v>0.0</v>
      </c>
      <c r="M8" s="9">
        <v>94.0</v>
      </c>
      <c r="N8" s="9">
        <v>0.0</v>
      </c>
      <c r="O8" s="9">
        <v>154.0</v>
      </c>
      <c r="P8" s="9">
        <v>0.0</v>
      </c>
      <c r="Q8" s="9">
        <v>24.0</v>
      </c>
      <c r="R8" s="9">
        <v>0.0</v>
      </c>
      <c r="S8" s="12">
        <v>97.2</v>
      </c>
      <c r="T8" s="9">
        <v>0.0</v>
      </c>
      <c r="U8" s="9">
        <v>92.0</v>
      </c>
      <c r="V8" s="9">
        <v>0.0</v>
      </c>
      <c r="W8" s="9">
        <v>0.0</v>
      </c>
      <c r="X8" s="9">
        <v>0.0</v>
      </c>
      <c r="Y8" s="9">
        <v>0.0</v>
      </c>
      <c r="Z8" s="9">
        <v>0.0</v>
      </c>
      <c r="AA8" s="9">
        <v>0.0</v>
      </c>
      <c r="AB8" s="9">
        <v>0.0</v>
      </c>
      <c r="AC8" s="9">
        <v>0.0</v>
      </c>
      <c r="AD8" s="9">
        <v>0.0</v>
      </c>
      <c r="AE8" s="9">
        <v>0.0</v>
      </c>
      <c r="AF8" s="9">
        <v>0.0</v>
      </c>
      <c r="AG8" s="9">
        <v>0.0</v>
      </c>
      <c r="AH8" s="9">
        <v>0.0</v>
      </c>
      <c r="AI8" s="9">
        <v>0.0</v>
      </c>
      <c r="AJ8" s="9">
        <v>0.0</v>
      </c>
      <c r="AK8" s="9">
        <v>0.0</v>
      </c>
      <c r="AL8" s="9">
        <v>0.0</v>
      </c>
      <c r="AM8" s="9">
        <v>0.0</v>
      </c>
      <c r="AN8" s="9">
        <v>0.0</v>
      </c>
      <c r="AO8" s="9">
        <v>1.0</v>
      </c>
      <c r="AP8" s="9">
        <v>1.0</v>
      </c>
      <c r="AQ8" s="9">
        <v>1.0</v>
      </c>
      <c r="AR8" s="9">
        <v>0.0</v>
      </c>
      <c r="AS8" s="9">
        <v>0.0</v>
      </c>
      <c r="AT8" s="9">
        <v>0.0</v>
      </c>
      <c r="AU8" s="9">
        <v>0.0</v>
      </c>
      <c r="AV8" s="9">
        <v>0.0</v>
      </c>
      <c r="AW8" s="9">
        <v>26.0</v>
      </c>
      <c r="AX8" s="13">
        <f>4.7/4.5</f>
        <v>1.044444444</v>
      </c>
      <c r="AY8" s="10">
        <v>0.0</v>
      </c>
      <c r="AZ8" s="10">
        <v>0.0</v>
      </c>
      <c r="BA8" s="10">
        <v>1.0</v>
      </c>
      <c r="BB8" s="13">
        <f>3.88/2.52</f>
        <v>1.53968254</v>
      </c>
      <c r="BC8" s="10">
        <v>3.0</v>
      </c>
      <c r="BD8" s="10">
        <v>1.0</v>
      </c>
      <c r="BE8" s="10"/>
      <c r="BF8" s="9">
        <v>0.0</v>
      </c>
      <c r="BG8" s="9" t="s">
        <v>84</v>
      </c>
      <c r="BH8" s="9">
        <v>1.0</v>
      </c>
      <c r="BI8" s="9">
        <v>0.0</v>
      </c>
      <c r="BJ8" s="9">
        <v>0.0</v>
      </c>
      <c r="BK8" s="9">
        <v>0.0</v>
      </c>
      <c r="BL8" s="9">
        <v>0.0</v>
      </c>
      <c r="BM8" s="9">
        <v>0.0</v>
      </c>
      <c r="BN8" s="9">
        <v>1.0</v>
      </c>
      <c r="BO8" s="9">
        <v>0.0</v>
      </c>
      <c r="BP8" s="9">
        <v>1.0</v>
      </c>
      <c r="BQ8" s="9">
        <v>1.0</v>
      </c>
      <c r="BR8" s="9">
        <v>0.0</v>
      </c>
      <c r="BS8" s="9" t="s">
        <v>84</v>
      </c>
      <c r="BT8" s="9">
        <v>0.0</v>
      </c>
      <c r="BU8" s="9">
        <v>0.0</v>
      </c>
      <c r="BV8" s="9">
        <v>0.0</v>
      </c>
      <c r="BW8" s="10" t="s">
        <v>94</v>
      </c>
      <c r="BX8" s="14" t="s">
        <v>94</v>
      </c>
      <c r="BY8" s="9">
        <v>0.0</v>
      </c>
      <c r="BZ8" s="9">
        <v>0.0</v>
      </c>
      <c r="CA8" s="9">
        <v>0.0</v>
      </c>
      <c r="CB8" s="9">
        <v>0.0</v>
      </c>
      <c r="CC8" s="15" t="s">
        <v>95</v>
      </c>
      <c r="CD8" s="17"/>
    </row>
    <row r="9">
      <c r="A9" s="9">
        <v>8.0</v>
      </c>
      <c r="B9" s="10">
        <v>49.0</v>
      </c>
      <c r="C9" s="9" t="s">
        <v>81</v>
      </c>
      <c r="D9" s="11" t="s">
        <v>88</v>
      </c>
      <c r="E9" s="9" t="s">
        <v>96</v>
      </c>
      <c r="F9" s="12">
        <v>190.5</v>
      </c>
      <c r="G9" s="12">
        <v>102.9</v>
      </c>
      <c r="H9" s="12">
        <f t="shared" si="1"/>
        <v>28.35472338</v>
      </c>
      <c r="I9" s="9">
        <v>1.0</v>
      </c>
      <c r="J9" s="9">
        <v>5.0</v>
      </c>
      <c r="K9" s="9">
        <v>3.0</v>
      </c>
      <c r="L9" s="9">
        <v>0.0</v>
      </c>
      <c r="M9" s="9">
        <v>84.0</v>
      </c>
      <c r="N9" s="9" t="s">
        <v>84</v>
      </c>
      <c r="O9" s="9" t="s">
        <v>84</v>
      </c>
      <c r="P9" s="9">
        <v>0.0</v>
      </c>
      <c r="Q9" s="9">
        <v>20.0</v>
      </c>
      <c r="R9" s="9" t="s">
        <v>84</v>
      </c>
      <c r="S9" s="12" t="s">
        <v>84</v>
      </c>
      <c r="T9" s="9">
        <v>1.0</v>
      </c>
      <c r="U9" s="9">
        <v>71.0</v>
      </c>
      <c r="V9" s="9">
        <v>1.0</v>
      </c>
      <c r="W9" s="9">
        <v>0.0</v>
      </c>
      <c r="X9" s="9">
        <v>1.0</v>
      </c>
      <c r="Y9" s="9">
        <v>0.0</v>
      </c>
      <c r="Z9" s="9">
        <v>0.0</v>
      </c>
      <c r="AA9" s="9">
        <v>0.0</v>
      </c>
      <c r="AB9" s="9">
        <v>0.0</v>
      </c>
      <c r="AC9" s="9">
        <v>0.0</v>
      </c>
      <c r="AD9" s="9">
        <v>0.0</v>
      </c>
      <c r="AE9" s="9">
        <v>0.0</v>
      </c>
      <c r="AF9" s="9">
        <v>0.0</v>
      </c>
      <c r="AG9" s="9">
        <v>0.0</v>
      </c>
      <c r="AH9" s="9">
        <v>0.0</v>
      </c>
      <c r="AI9" s="9">
        <v>0.0</v>
      </c>
      <c r="AJ9" s="9">
        <v>0.0</v>
      </c>
      <c r="AK9" s="9">
        <v>0.0</v>
      </c>
      <c r="AL9" s="9" t="s">
        <v>84</v>
      </c>
      <c r="AM9" s="9">
        <v>0.0</v>
      </c>
      <c r="AN9" s="9">
        <v>1.0</v>
      </c>
      <c r="AO9" s="9">
        <v>1.0</v>
      </c>
      <c r="AP9" s="9">
        <v>0.0</v>
      </c>
      <c r="AQ9" s="9" t="s">
        <v>84</v>
      </c>
      <c r="AR9" s="9">
        <v>0.0</v>
      </c>
      <c r="AS9" s="9">
        <v>1.0</v>
      </c>
      <c r="AT9" s="9">
        <v>1.0</v>
      </c>
      <c r="AU9" s="9">
        <v>1.0</v>
      </c>
      <c r="AV9" s="9">
        <v>0.0</v>
      </c>
      <c r="AW9" s="9" t="s">
        <v>97</v>
      </c>
      <c r="AX9" s="13">
        <f>5.46/4.27</f>
        <v>1.278688525</v>
      </c>
      <c r="AY9" s="10">
        <v>0.0</v>
      </c>
      <c r="AZ9" s="10">
        <v>0.0</v>
      </c>
      <c r="BA9" s="10">
        <v>1.0</v>
      </c>
      <c r="BB9" s="13">
        <f>3.05/3.42</f>
        <v>0.8918128655</v>
      </c>
      <c r="BC9" s="10">
        <v>4.0</v>
      </c>
      <c r="BD9" s="10">
        <v>0.0</v>
      </c>
      <c r="BE9" s="10"/>
      <c r="BF9" s="9">
        <v>1.0</v>
      </c>
      <c r="BG9" s="15" t="s">
        <v>98</v>
      </c>
      <c r="BH9" s="9">
        <v>1.0</v>
      </c>
      <c r="BI9" s="9">
        <v>1.0</v>
      </c>
      <c r="BJ9" s="9">
        <v>1.0</v>
      </c>
      <c r="BK9" s="9">
        <v>1.0</v>
      </c>
      <c r="BL9" s="9">
        <v>0.0</v>
      </c>
      <c r="BM9" s="9">
        <v>1.0</v>
      </c>
      <c r="BN9" s="9">
        <v>0.0</v>
      </c>
      <c r="BO9" s="9">
        <v>1.0</v>
      </c>
      <c r="BP9" s="9">
        <v>1.0</v>
      </c>
      <c r="BQ9" s="9">
        <v>1.0</v>
      </c>
      <c r="BR9" s="9">
        <v>0.0</v>
      </c>
      <c r="BS9" s="9" t="s">
        <v>84</v>
      </c>
      <c r="BT9" s="9">
        <v>0.0</v>
      </c>
      <c r="BU9" s="9">
        <v>0.0</v>
      </c>
      <c r="BV9" s="9">
        <v>0.0</v>
      </c>
      <c r="BW9" s="10">
        <v>0.0</v>
      </c>
      <c r="BX9" s="14">
        <v>0.0</v>
      </c>
      <c r="BY9" s="9">
        <v>0.0</v>
      </c>
      <c r="BZ9" s="9">
        <v>0.0</v>
      </c>
      <c r="CA9" s="9">
        <v>0.0</v>
      </c>
      <c r="CB9" s="9">
        <v>0.0</v>
      </c>
      <c r="CC9" s="15" t="s">
        <v>89</v>
      </c>
      <c r="CD9" s="17"/>
    </row>
    <row r="10">
      <c r="A10" s="9">
        <v>9.0</v>
      </c>
      <c r="B10" s="10">
        <v>76.0</v>
      </c>
      <c r="C10" s="9" t="s">
        <v>81</v>
      </c>
      <c r="D10" s="11" t="s">
        <v>82</v>
      </c>
      <c r="E10" s="9" t="s">
        <v>99</v>
      </c>
      <c r="F10" s="12">
        <v>180.34</v>
      </c>
      <c r="G10" s="12">
        <v>85.1</v>
      </c>
      <c r="H10" s="12">
        <f t="shared" si="1"/>
        <v>26.16648756</v>
      </c>
      <c r="I10" s="9">
        <v>1.0</v>
      </c>
      <c r="J10" s="9">
        <v>3.0</v>
      </c>
      <c r="K10" s="9">
        <v>2.0</v>
      </c>
      <c r="L10" s="9">
        <v>0.0</v>
      </c>
      <c r="M10" s="9">
        <v>105.0</v>
      </c>
      <c r="N10" s="9">
        <v>0.0</v>
      </c>
      <c r="O10" s="9">
        <v>115.0</v>
      </c>
      <c r="P10" s="9">
        <v>0.0</v>
      </c>
      <c r="Q10" s="9">
        <v>17.0</v>
      </c>
      <c r="R10" s="9">
        <v>0.0</v>
      </c>
      <c r="S10" s="12">
        <v>98.1</v>
      </c>
      <c r="T10" s="9">
        <v>0.0</v>
      </c>
      <c r="U10" s="9">
        <v>99.0</v>
      </c>
      <c r="V10" s="9">
        <v>0.0</v>
      </c>
      <c r="W10" s="9">
        <v>0.0</v>
      </c>
      <c r="X10" s="9">
        <v>0.0</v>
      </c>
      <c r="Y10" s="9">
        <v>0.0</v>
      </c>
      <c r="Z10" s="9">
        <v>0.0</v>
      </c>
      <c r="AA10" s="9">
        <v>0.0</v>
      </c>
      <c r="AB10" s="9">
        <v>1.0</v>
      </c>
      <c r="AC10" s="9">
        <v>0.0</v>
      </c>
      <c r="AD10" s="9">
        <v>0.0</v>
      </c>
      <c r="AE10" s="9">
        <v>0.0</v>
      </c>
      <c r="AF10" s="9">
        <v>1.0</v>
      </c>
      <c r="AG10" s="9">
        <v>0.0</v>
      </c>
      <c r="AH10" s="9">
        <v>0.0</v>
      </c>
      <c r="AI10" s="9">
        <v>0.0</v>
      </c>
      <c r="AJ10" s="9">
        <v>0.0</v>
      </c>
      <c r="AK10" s="9">
        <v>0.0</v>
      </c>
      <c r="AL10" s="9">
        <v>0.0</v>
      </c>
      <c r="AM10" s="9">
        <v>0.0</v>
      </c>
      <c r="AN10" s="9">
        <v>0.0</v>
      </c>
      <c r="AO10" s="9">
        <v>1.0</v>
      </c>
      <c r="AP10" s="9">
        <v>1.0</v>
      </c>
      <c r="AQ10" s="9">
        <v>1.0</v>
      </c>
      <c r="AR10" s="9">
        <v>0.0</v>
      </c>
      <c r="AS10" s="9">
        <v>1.0</v>
      </c>
      <c r="AT10" s="9">
        <v>0.0</v>
      </c>
      <c r="AU10" s="9">
        <v>0.0</v>
      </c>
      <c r="AV10" s="9">
        <v>0.0</v>
      </c>
      <c r="AW10" s="9" t="s">
        <v>97</v>
      </c>
      <c r="AX10" s="13">
        <f>6.09/5.01</f>
        <v>1.215568862</v>
      </c>
      <c r="AY10" s="10">
        <v>0.0</v>
      </c>
      <c r="AZ10" s="10">
        <v>0.0</v>
      </c>
      <c r="BA10" s="10">
        <v>1.0</v>
      </c>
      <c r="BB10" s="13">
        <f>3.2/3.61</f>
        <v>0.8864265928</v>
      </c>
      <c r="BC10" s="10">
        <v>3.0</v>
      </c>
      <c r="BD10" s="10">
        <v>1.0</v>
      </c>
      <c r="BE10" s="10"/>
      <c r="BF10" s="9">
        <v>0.0</v>
      </c>
      <c r="BG10" s="9" t="s">
        <v>84</v>
      </c>
      <c r="BH10" s="9">
        <v>1.0</v>
      </c>
      <c r="BI10" s="9">
        <v>0.0</v>
      </c>
      <c r="BJ10" s="9">
        <v>0.0</v>
      </c>
      <c r="BK10" s="9">
        <v>0.0</v>
      </c>
      <c r="BL10" s="9">
        <v>0.0</v>
      </c>
      <c r="BM10" s="9">
        <v>0.0</v>
      </c>
      <c r="BN10" s="9">
        <v>0.0</v>
      </c>
      <c r="BO10" s="9">
        <v>1.0</v>
      </c>
      <c r="BP10" s="9">
        <v>1.0</v>
      </c>
      <c r="BQ10" s="9">
        <v>1.0</v>
      </c>
      <c r="BR10" s="9">
        <v>0.0</v>
      </c>
      <c r="BS10" s="9" t="s">
        <v>84</v>
      </c>
      <c r="BT10" s="9">
        <v>0.0</v>
      </c>
      <c r="BU10" s="9">
        <v>0.0</v>
      </c>
      <c r="BV10" s="9">
        <v>0.0</v>
      </c>
      <c r="BW10" s="10">
        <v>0.0</v>
      </c>
      <c r="BX10" s="14">
        <v>0.0</v>
      </c>
      <c r="BY10" s="9">
        <v>0.0</v>
      </c>
      <c r="BZ10" s="9">
        <v>0.0</v>
      </c>
      <c r="CA10" s="9">
        <v>0.0</v>
      </c>
      <c r="CB10" s="9">
        <v>0.0</v>
      </c>
      <c r="CC10" s="15" t="s">
        <v>95</v>
      </c>
      <c r="CD10" s="17"/>
    </row>
    <row r="11">
      <c r="A11" s="9">
        <v>10.0</v>
      </c>
      <c r="B11" s="10">
        <v>69.0</v>
      </c>
      <c r="C11" s="9" t="s">
        <v>81</v>
      </c>
      <c r="D11" s="11" t="s">
        <v>82</v>
      </c>
      <c r="E11" s="9" t="s">
        <v>99</v>
      </c>
      <c r="F11" s="12">
        <v>185.42000000000002</v>
      </c>
      <c r="G11" s="12">
        <v>86.2</v>
      </c>
      <c r="H11" s="12">
        <f t="shared" si="1"/>
        <v>25.07229634</v>
      </c>
      <c r="I11" s="9">
        <v>1.0</v>
      </c>
      <c r="J11" s="9">
        <v>4.0</v>
      </c>
      <c r="K11" s="9">
        <v>2.0</v>
      </c>
      <c r="L11" s="9">
        <v>0.0</v>
      </c>
      <c r="M11" s="9">
        <v>63.0</v>
      </c>
      <c r="N11" s="9">
        <v>0.0</v>
      </c>
      <c r="O11" s="9">
        <v>132.0</v>
      </c>
      <c r="P11" s="9">
        <v>0.0</v>
      </c>
      <c r="Q11" s="9">
        <v>18.0</v>
      </c>
      <c r="R11" s="9">
        <v>0.0</v>
      </c>
      <c r="S11" s="12">
        <v>97.2</v>
      </c>
      <c r="T11" s="9">
        <v>0.0</v>
      </c>
      <c r="U11" s="9">
        <v>100.0</v>
      </c>
      <c r="V11" s="9">
        <v>0.0</v>
      </c>
      <c r="W11" s="9">
        <v>0.0</v>
      </c>
      <c r="X11" s="9">
        <v>0.0</v>
      </c>
      <c r="Y11" s="9">
        <v>0.0</v>
      </c>
      <c r="Z11" s="9">
        <v>0.0</v>
      </c>
      <c r="AA11" s="9">
        <v>0.0</v>
      </c>
      <c r="AB11" s="9">
        <v>1.0</v>
      </c>
      <c r="AC11" s="9">
        <v>0.0</v>
      </c>
      <c r="AD11" s="9">
        <v>0.0</v>
      </c>
      <c r="AE11" s="9">
        <v>0.0</v>
      </c>
      <c r="AF11" s="9">
        <v>1.0</v>
      </c>
      <c r="AG11" s="9">
        <v>0.0</v>
      </c>
      <c r="AH11" s="9">
        <v>0.0</v>
      </c>
      <c r="AI11" s="9">
        <v>0.0</v>
      </c>
      <c r="AJ11" s="9">
        <v>1.0</v>
      </c>
      <c r="AK11" s="9">
        <v>0.0</v>
      </c>
      <c r="AL11" s="9">
        <v>0.0</v>
      </c>
      <c r="AM11" s="9">
        <v>0.0</v>
      </c>
      <c r="AN11" s="9">
        <v>0.0</v>
      </c>
      <c r="AO11" s="9">
        <v>1.0</v>
      </c>
      <c r="AP11" s="9">
        <v>1.0</v>
      </c>
      <c r="AQ11" s="9">
        <v>1.0</v>
      </c>
      <c r="AR11" s="18">
        <v>0.0</v>
      </c>
      <c r="AS11" s="9">
        <v>1.0</v>
      </c>
      <c r="AT11" s="9">
        <v>1.0</v>
      </c>
      <c r="AU11" s="9">
        <v>1.0</v>
      </c>
      <c r="AV11" s="9">
        <v>0.0</v>
      </c>
      <c r="AW11" s="9">
        <v>61.0</v>
      </c>
      <c r="AX11" s="13">
        <f>4.18/5.52</f>
        <v>0.7572463768</v>
      </c>
      <c r="AY11" s="10">
        <v>0.0</v>
      </c>
      <c r="AZ11" s="10">
        <v>0.0</v>
      </c>
      <c r="BA11" s="10">
        <v>0.0</v>
      </c>
      <c r="BB11" s="13">
        <f>3.09/4.12</f>
        <v>0.75</v>
      </c>
      <c r="BC11" s="10">
        <v>2.0</v>
      </c>
      <c r="BD11" s="10">
        <v>0.0</v>
      </c>
      <c r="BE11" s="10"/>
      <c r="BF11" s="9">
        <v>0.0</v>
      </c>
      <c r="BG11" s="9" t="s">
        <v>84</v>
      </c>
      <c r="BH11" s="9">
        <v>1.0</v>
      </c>
      <c r="BI11" s="9">
        <v>0.0</v>
      </c>
      <c r="BJ11" s="9">
        <v>0.0</v>
      </c>
      <c r="BK11" s="9">
        <v>0.0</v>
      </c>
      <c r="BL11" s="9">
        <v>0.0</v>
      </c>
      <c r="BM11" s="9">
        <v>0.0</v>
      </c>
      <c r="BN11" s="9">
        <v>0.0</v>
      </c>
      <c r="BO11" s="9">
        <v>1.0</v>
      </c>
      <c r="BP11" s="9">
        <v>0.0</v>
      </c>
      <c r="BQ11" s="9">
        <v>0.0</v>
      </c>
      <c r="BR11" s="9">
        <v>1.0</v>
      </c>
      <c r="BS11" s="9" t="s">
        <v>100</v>
      </c>
      <c r="BT11" s="9">
        <v>1.0</v>
      </c>
      <c r="BU11" s="9">
        <v>1.0</v>
      </c>
      <c r="BV11" s="9">
        <v>0.0</v>
      </c>
      <c r="BW11" s="10">
        <v>0.0</v>
      </c>
      <c r="BX11" s="14">
        <v>0.0</v>
      </c>
      <c r="BY11" s="9">
        <v>0.0</v>
      </c>
      <c r="BZ11" s="9">
        <v>0.0</v>
      </c>
      <c r="CA11" s="9">
        <v>0.0</v>
      </c>
      <c r="CB11" s="9">
        <v>0.0</v>
      </c>
      <c r="CC11" s="15" t="s">
        <v>101</v>
      </c>
      <c r="CD11" s="17"/>
    </row>
    <row r="12">
      <c r="A12" s="9">
        <v>11.0</v>
      </c>
      <c r="B12" s="10">
        <v>40.0</v>
      </c>
      <c r="C12" s="9" t="s">
        <v>86</v>
      </c>
      <c r="D12" s="11" t="s">
        <v>82</v>
      </c>
      <c r="E12" s="9" t="s">
        <v>99</v>
      </c>
      <c r="F12" s="12">
        <v>160.02</v>
      </c>
      <c r="G12" s="12">
        <v>94.7</v>
      </c>
      <c r="H12" s="12">
        <f t="shared" si="1"/>
        <v>36.98294119</v>
      </c>
      <c r="I12" s="9">
        <v>1.0</v>
      </c>
      <c r="J12" s="9">
        <v>5.0</v>
      </c>
      <c r="K12" s="9">
        <v>2.0</v>
      </c>
      <c r="L12" s="9">
        <v>1.0</v>
      </c>
      <c r="M12" s="9">
        <v>152.0</v>
      </c>
      <c r="N12" s="9">
        <v>1.0</v>
      </c>
      <c r="O12" s="9">
        <v>97.0</v>
      </c>
      <c r="P12" s="9">
        <v>0.0</v>
      </c>
      <c r="Q12" s="9">
        <v>18.0</v>
      </c>
      <c r="R12" s="9">
        <v>1.0</v>
      </c>
      <c r="S12" s="12">
        <v>96.4</v>
      </c>
      <c r="T12" s="9">
        <v>1.0</v>
      </c>
      <c r="U12" s="9" t="s">
        <v>84</v>
      </c>
      <c r="V12" s="9">
        <v>1.0</v>
      </c>
      <c r="W12" s="9">
        <v>0.0</v>
      </c>
      <c r="X12" s="9">
        <v>1.0</v>
      </c>
      <c r="Y12" s="9">
        <v>0.0</v>
      </c>
      <c r="Z12" s="9">
        <v>0.0</v>
      </c>
      <c r="AA12" s="9">
        <v>0.0</v>
      </c>
      <c r="AB12" s="9">
        <v>0.0</v>
      </c>
      <c r="AC12" s="9">
        <v>0.0</v>
      </c>
      <c r="AD12" s="9">
        <v>0.0</v>
      </c>
      <c r="AE12" s="9">
        <v>0.0</v>
      </c>
      <c r="AF12" s="9">
        <v>0.0</v>
      </c>
      <c r="AG12" s="9">
        <v>0.0</v>
      </c>
      <c r="AH12" s="9">
        <v>0.0</v>
      </c>
      <c r="AI12" s="9">
        <v>0.0</v>
      </c>
      <c r="AJ12" s="9">
        <v>0.0</v>
      </c>
      <c r="AK12" s="9">
        <v>0.0</v>
      </c>
      <c r="AL12" s="9">
        <v>1.0</v>
      </c>
      <c r="AM12" s="9">
        <v>0.0</v>
      </c>
      <c r="AN12" s="9">
        <v>0.0</v>
      </c>
      <c r="AO12" s="9">
        <v>1.0</v>
      </c>
      <c r="AP12" s="9">
        <v>1.0</v>
      </c>
      <c r="AQ12" s="9">
        <v>1.0</v>
      </c>
      <c r="AR12" s="18">
        <v>1.0</v>
      </c>
      <c r="AS12" s="9">
        <v>1.0</v>
      </c>
      <c r="AT12" s="9">
        <v>1.0</v>
      </c>
      <c r="AU12" s="9">
        <v>1.0</v>
      </c>
      <c r="AV12" s="9">
        <v>0.0</v>
      </c>
      <c r="AW12" s="9">
        <v>43.5</v>
      </c>
      <c r="AX12" s="13">
        <f>5.02/3.46</f>
        <v>1.450867052</v>
      </c>
      <c r="AY12" s="10">
        <v>0.0</v>
      </c>
      <c r="AZ12" s="10">
        <v>0.0</v>
      </c>
      <c r="BA12" s="10">
        <v>1.0</v>
      </c>
      <c r="BB12" s="13">
        <f>3.02/3.14</f>
        <v>0.9617834395</v>
      </c>
      <c r="BC12" s="10">
        <v>3.0</v>
      </c>
      <c r="BD12" s="10">
        <v>0.0</v>
      </c>
      <c r="BE12" s="10"/>
      <c r="BF12" s="9">
        <v>0.0</v>
      </c>
      <c r="BG12" s="9" t="s">
        <v>84</v>
      </c>
      <c r="BH12" s="9">
        <v>1.0</v>
      </c>
      <c r="BI12" s="9">
        <v>0.0</v>
      </c>
      <c r="BJ12" s="9">
        <v>0.0</v>
      </c>
      <c r="BK12" s="9">
        <v>0.0</v>
      </c>
      <c r="BL12" s="9">
        <v>0.0</v>
      </c>
      <c r="BM12" s="9">
        <v>0.0</v>
      </c>
      <c r="BN12" s="9">
        <v>1.0</v>
      </c>
      <c r="BO12" s="9">
        <v>0.0</v>
      </c>
      <c r="BP12" s="9">
        <v>1.0</v>
      </c>
      <c r="BQ12" s="9">
        <v>1.0</v>
      </c>
      <c r="BR12" s="9">
        <v>0.0</v>
      </c>
      <c r="BS12" s="9" t="s">
        <v>84</v>
      </c>
      <c r="BT12" s="9">
        <v>0.0</v>
      </c>
      <c r="BU12" s="9">
        <v>0.0</v>
      </c>
      <c r="BV12" s="9">
        <v>0.0</v>
      </c>
      <c r="BW12" s="10">
        <v>0.0</v>
      </c>
      <c r="BX12" s="14">
        <v>0.0</v>
      </c>
      <c r="BY12" s="9">
        <v>0.0</v>
      </c>
      <c r="BZ12" s="9">
        <v>0.0</v>
      </c>
      <c r="CA12" s="9">
        <v>0.0</v>
      </c>
      <c r="CB12" s="9">
        <v>0.0</v>
      </c>
      <c r="CC12" s="15" t="s">
        <v>102</v>
      </c>
      <c r="CD12" s="17"/>
    </row>
    <row r="13">
      <c r="A13" s="9">
        <v>12.0</v>
      </c>
      <c r="B13" s="10">
        <v>80.0</v>
      </c>
      <c r="C13" s="9" t="s">
        <v>81</v>
      </c>
      <c r="D13" s="11" t="s">
        <v>82</v>
      </c>
      <c r="E13" s="9" t="s">
        <v>103</v>
      </c>
      <c r="F13" s="12">
        <v>182.88</v>
      </c>
      <c r="G13" s="12">
        <v>70.8</v>
      </c>
      <c r="H13" s="12">
        <f t="shared" si="1"/>
        <v>21.16902382</v>
      </c>
      <c r="I13" s="9">
        <v>1.0</v>
      </c>
      <c r="J13" s="9">
        <v>5.0</v>
      </c>
      <c r="K13" s="9">
        <v>2.0</v>
      </c>
      <c r="L13" s="9">
        <v>1.0</v>
      </c>
      <c r="M13" s="9">
        <v>120.0</v>
      </c>
      <c r="N13" s="9">
        <v>1.0</v>
      </c>
      <c r="O13" s="9">
        <v>94.0</v>
      </c>
      <c r="P13" s="9">
        <v>0.0</v>
      </c>
      <c r="Q13" s="9">
        <v>21.0</v>
      </c>
      <c r="R13" s="9">
        <v>0.0</v>
      </c>
      <c r="S13" s="12">
        <v>98.0</v>
      </c>
      <c r="T13" s="9">
        <v>0.0</v>
      </c>
      <c r="U13" s="9">
        <v>97.0</v>
      </c>
      <c r="V13" s="9">
        <v>0.0</v>
      </c>
      <c r="W13" s="9">
        <v>0.0</v>
      </c>
      <c r="X13" s="9">
        <v>0.0</v>
      </c>
      <c r="Y13" s="9">
        <v>0.0</v>
      </c>
      <c r="Z13" s="9">
        <v>1.0</v>
      </c>
      <c r="AA13" s="9">
        <v>1.0</v>
      </c>
      <c r="AB13" s="9">
        <v>0.0</v>
      </c>
      <c r="AC13" s="9">
        <v>0.0</v>
      </c>
      <c r="AD13" s="9">
        <v>0.0</v>
      </c>
      <c r="AE13" s="9">
        <v>0.0</v>
      </c>
      <c r="AF13" s="9">
        <v>0.0</v>
      </c>
      <c r="AG13" s="9">
        <v>0.0</v>
      </c>
      <c r="AH13" s="9">
        <v>0.0</v>
      </c>
      <c r="AI13" s="9">
        <v>0.0</v>
      </c>
      <c r="AJ13" s="9">
        <v>0.0</v>
      </c>
      <c r="AK13" s="9">
        <v>0.0</v>
      </c>
      <c r="AL13" s="9">
        <v>0.0</v>
      </c>
      <c r="AM13" s="9">
        <v>0.0</v>
      </c>
      <c r="AN13" s="9">
        <v>0.0</v>
      </c>
      <c r="AO13" s="9" t="s">
        <v>84</v>
      </c>
      <c r="AP13" s="9" t="s">
        <v>84</v>
      </c>
      <c r="AQ13" s="9">
        <v>0.0</v>
      </c>
      <c r="AR13" s="18">
        <v>1.0</v>
      </c>
      <c r="AS13" s="9" t="s">
        <v>84</v>
      </c>
      <c r="AT13" s="9" t="s">
        <v>84</v>
      </c>
      <c r="AU13" s="9" t="s">
        <v>84</v>
      </c>
      <c r="AV13" s="9" t="s">
        <v>84</v>
      </c>
      <c r="AW13" s="9" t="s">
        <v>84</v>
      </c>
      <c r="AX13" s="13">
        <f>5.24/3.2</f>
        <v>1.6375</v>
      </c>
      <c r="AY13" s="10">
        <v>0.0</v>
      </c>
      <c r="AZ13" s="10">
        <v>0.0</v>
      </c>
      <c r="BA13" s="10">
        <v>1.0</v>
      </c>
      <c r="BB13" s="13">
        <f>2.76/3.54</f>
        <v>0.7796610169</v>
      </c>
      <c r="BC13" s="10">
        <v>1.0</v>
      </c>
      <c r="BD13" s="10">
        <v>0.0</v>
      </c>
      <c r="BE13" s="10"/>
      <c r="BF13" s="9" t="s">
        <v>84</v>
      </c>
      <c r="BG13" s="9" t="s">
        <v>84</v>
      </c>
      <c r="BH13" s="9">
        <v>1.0</v>
      </c>
      <c r="BI13" s="9">
        <v>0.0</v>
      </c>
      <c r="BJ13" s="9" t="s">
        <v>84</v>
      </c>
      <c r="BK13" s="9" t="s">
        <v>84</v>
      </c>
      <c r="BL13" s="9" t="s">
        <v>84</v>
      </c>
      <c r="BM13" s="9" t="s">
        <v>84</v>
      </c>
      <c r="BN13" s="9" t="s">
        <v>84</v>
      </c>
      <c r="BO13" s="9">
        <v>0.0</v>
      </c>
      <c r="BP13" s="9" t="s">
        <v>84</v>
      </c>
      <c r="BQ13" s="9" t="s">
        <v>84</v>
      </c>
      <c r="BR13" s="9" t="s">
        <v>84</v>
      </c>
      <c r="BS13" s="9" t="s">
        <v>84</v>
      </c>
      <c r="BT13" s="9" t="s">
        <v>84</v>
      </c>
      <c r="BU13" s="9" t="s">
        <v>84</v>
      </c>
      <c r="BV13" s="9">
        <v>0.0</v>
      </c>
      <c r="BW13" s="10">
        <v>0.0</v>
      </c>
      <c r="BX13" s="14">
        <v>0.0</v>
      </c>
      <c r="BY13" s="9" t="s">
        <v>84</v>
      </c>
      <c r="BZ13" s="9" t="s">
        <v>84</v>
      </c>
      <c r="CA13" s="9" t="s">
        <v>84</v>
      </c>
      <c r="CB13" s="9">
        <v>0.0</v>
      </c>
      <c r="CC13" s="15" t="s">
        <v>104</v>
      </c>
      <c r="CD13" s="17"/>
    </row>
    <row r="14">
      <c r="A14" s="9">
        <v>13.0</v>
      </c>
      <c r="B14" s="10">
        <v>38.0</v>
      </c>
      <c r="C14" s="9" t="s">
        <v>86</v>
      </c>
      <c r="D14" s="11" t="s">
        <v>88</v>
      </c>
      <c r="E14" s="9" t="s">
        <v>93</v>
      </c>
      <c r="F14" s="12">
        <v>157.48</v>
      </c>
      <c r="G14" s="12">
        <v>106.0</v>
      </c>
      <c r="H14" s="12">
        <f t="shared" si="1"/>
        <v>42.74202097</v>
      </c>
      <c r="I14" s="9">
        <v>1.0</v>
      </c>
      <c r="J14" s="9">
        <v>1.0</v>
      </c>
      <c r="K14" s="9">
        <v>2.0</v>
      </c>
      <c r="L14" s="9">
        <v>1.0</v>
      </c>
      <c r="M14" s="9">
        <v>113.0</v>
      </c>
      <c r="N14" s="9">
        <v>0.0</v>
      </c>
      <c r="O14" s="9">
        <v>120.0</v>
      </c>
      <c r="P14" s="9">
        <v>0.0</v>
      </c>
      <c r="Q14" s="9">
        <v>16.0</v>
      </c>
      <c r="R14" s="9">
        <v>0.0</v>
      </c>
      <c r="S14" s="12">
        <v>98.2</v>
      </c>
      <c r="T14" s="9">
        <v>0.0</v>
      </c>
      <c r="U14" s="9">
        <v>98.0</v>
      </c>
      <c r="V14" s="9">
        <v>0.0</v>
      </c>
      <c r="W14" s="9">
        <v>0.0</v>
      </c>
      <c r="X14" s="9">
        <v>0.0</v>
      </c>
      <c r="Y14" s="9">
        <v>0.0</v>
      </c>
      <c r="Z14" s="9">
        <v>0.0</v>
      </c>
      <c r="AA14" s="9">
        <v>0.0</v>
      </c>
      <c r="AB14" s="9">
        <v>0.0</v>
      </c>
      <c r="AC14" s="9">
        <v>0.0</v>
      </c>
      <c r="AD14" s="9">
        <v>0.0</v>
      </c>
      <c r="AE14" s="9">
        <v>0.0</v>
      </c>
      <c r="AF14" s="9">
        <v>0.0</v>
      </c>
      <c r="AG14" s="9">
        <v>0.0</v>
      </c>
      <c r="AH14" s="9">
        <v>0.0</v>
      </c>
      <c r="AI14" s="9">
        <v>1.0</v>
      </c>
      <c r="AJ14" s="9">
        <v>0.0</v>
      </c>
      <c r="AK14" s="9">
        <v>0.0</v>
      </c>
      <c r="AL14" s="9">
        <v>1.0</v>
      </c>
      <c r="AM14" s="9">
        <v>0.0</v>
      </c>
      <c r="AN14" s="9">
        <v>0.0</v>
      </c>
      <c r="AO14" s="9">
        <v>1.0</v>
      </c>
      <c r="AP14" s="9">
        <v>1.0</v>
      </c>
      <c r="AQ14" s="9">
        <v>1.0</v>
      </c>
      <c r="AR14" s="9">
        <v>1.0</v>
      </c>
      <c r="AS14" s="9">
        <v>1.0</v>
      </c>
      <c r="AT14" s="9">
        <v>1.0</v>
      </c>
      <c r="AU14" s="9">
        <v>1.0</v>
      </c>
      <c r="AV14" s="9">
        <v>0.0</v>
      </c>
      <c r="AW14" s="9">
        <v>28.9</v>
      </c>
      <c r="AX14" s="13">
        <f>3.82/3.9</f>
        <v>0.9794871795</v>
      </c>
      <c r="AY14" s="10">
        <v>0.0</v>
      </c>
      <c r="AZ14" s="10">
        <v>0.0</v>
      </c>
      <c r="BA14" s="10">
        <v>1.0</v>
      </c>
      <c r="BB14" s="13">
        <f>3.52/3.09</f>
        <v>1.139158576</v>
      </c>
      <c r="BC14" s="10">
        <v>1.0</v>
      </c>
      <c r="BD14" s="10">
        <v>0.0</v>
      </c>
      <c r="BE14" s="10"/>
      <c r="BF14" s="9">
        <v>0.0</v>
      </c>
      <c r="BG14" s="9" t="s">
        <v>84</v>
      </c>
      <c r="BH14" s="9">
        <v>0.0</v>
      </c>
      <c r="BI14" s="9">
        <v>0.0</v>
      </c>
      <c r="BJ14" s="9">
        <v>0.0</v>
      </c>
      <c r="BK14" s="9">
        <v>0.0</v>
      </c>
      <c r="BL14" s="9">
        <v>0.0</v>
      </c>
      <c r="BM14" s="9">
        <v>0.0</v>
      </c>
      <c r="BN14" s="9">
        <v>0.0</v>
      </c>
      <c r="BO14" s="9">
        <v>1.0</v>
      </c>
      <c r="BP14" s="9">
        <v>0.0</v>
      </c>
      <c r="BQ14" s="9">
        <v>0.0</v>
      </c>
      <c r="BR14" s="9">
        <v>0.0</v>
      </c>
      <c r="BS14" s="9" t="s">
        <v>84</v>
      </c>
      <c r="BT14" s="9">
        <v>0.0</v>
      </c>
      <c r="BU14" s="9">
        <v>0.0</v>
      </c>
      <c r="BV14" s="9">
        <v>0.0</v>
      </c>
      <c r="BW14" s="10">
        <v>0.0</v>
      </c>
      <c r="BX14" s="14">
        <v>0.0</v>
      </c>
      <c r="BY14" s="9">
        <v>1.0</v>
      </c>
      <c r="BZ14" s="9">
        <v>0.0</v>
      </c>
      <c r="CA14" s="9">
        <v>0.0</v>
      </c>
      <c r="CB14" s="9">
        <v>0.0</v>
      </c>
      <c r="CC14" s="15" t="s">
        <v>105</v>
      </c>
      <c r="CD14" s="17"/>
    </row>
    <row r="15">
      <c r="A15" s="9">
        <v>14.0</v>
      </c>
      <c r="B15" s="10">
        <v>69.0</v>
      </c>
      <c r="C15" s="9" t="s">
        <v>81</v>
      </c>
      <c r="D15" s="11" t="s">
        <v>88</v>
      </c>
      <c r="E15" s="9" t="s">
        <v>83</v>
      </c>
      <c r="F15" s="12">
        <v>187.96</v>
      </c>
      <c r="G15" s="12">
        <v>113.5</v>
      </c>
      <c r="H15" s="12">
        <f t="shared" si="1"/>
        <v>32.12661648</v>
      </c>
      <c r="I15" s="9">
        <v>1.0</v>
      </c>
      <c r="J15" s="9">
        <v>3.0</v>
      </c>
      <c r="K15" s="9">
        <v>2.0</v>
      </c>
      <c r="L15" s="9">
        <v>0.0</v>
      </c>
      <c r="M15" s="9">
        <v>90.0</v>
      </c>
      <c r="N15" s="9">
        <v>0.0</v>
      </c>
      <c r="O15" s="9">
        <v>124.0</v>
      </c>
      <c r="P15" s="9">
        <v>0.0</v>
      </c>
      <c r="Q15" s="9">
        <v>24.0</v>
      </c>
      <c r="R15" s="9">
        <v>0.0</v>
      </c>
      <c r="S15" s="12">
        <v>97.9</v>
      </c>
      <c r="T15" s="9">
        <v>1.0</v>
      </c>
      <c r="U15" s="9">
        <v>85.0</v>
      </c>
      <c r="V15" s="9">
        <v>1.0</v>
      </c>
      <c r="W15" s="9">
        <v>0.0</v>
      </c>
      <c r="X15" s="9">
        <v>1.0</v>
      </c>
      <c r="Y15" s="9">
        <v>0.0</v>
      </c>
      <c r="Z15" s="9">
        <v>0.0</v>
      </c>
      <c r="AA15" s="9">
        <v>0.0</v>
      </c>
      <c r="AB15" s="9">
        <v>0.0</v>
      </c>
      <c r="AC15" s="9">
        <v>0.0</v>
      </c>
      <c r="AD15" s="9">
        <v>0.0</v>
      </c>
      <c r="AE15" s="9">
        <v>0.0</v>
      </c>
      <c r="AF15" s="9">
        <v>0.0</v>
      </c>
      <c r="AG15" s="9">
        <v>0.0</v>
      </c>
      <c r="AH15" s="9">
        <v>0.0</v>
      </c>
      <c r="AI15" s="9">
        <v>0.0</v>
      </c>
      <c r="AJ15" s="9">
        <v>0.0</v>
      </c>
      <c r="AK15" s="9">
        <v>1.0</v>
      </c>
      <c r="AL15" s="9">
        <v>1.0</v>
      </c>
      <c r="AM15" s="9">
        <v>0.0</v>
      </c>
      <c r="AN15" s="9">
        <v>0.0</v>
      </c>
      <c r="AO15" s="9">
        <v>1.0</v>
      </c>
      <c r="AP15" s="9">
        <v>1.0</v>
      </c>
      <c r="AQ15" s="9">
        <v>0.0</v>
      </c>
      <c r="AR15" s="9">
        <v>0.0</v>
      </c>
      <c r="AS15" s="9">
        <v>1.0</v>
      </c>
      <c r="AT15" s="9">
        <v>1.0</v>
      </c>
      <c r="AU15" s="9">
        <v>1.0</v>
      </c>
      <c r="AV15" s="9">
        <v>0.0</v>
      </c>
      <c r="AW15" s="9">
        <v>66.0</v>
      </c>
      <c r="AX15" s="13">
        <f>4.83/5.92</f>
        <v>0.8158783784</v>
      </c>
      <c r="AY15" s="10">
        <v>0.0</v>
      </c>
      <c r="AZ15" s="10">
        <v>0.0</v>
      </c>
      <c r="BA15" s="10">
        <v>0.0</v>
      </c>
      <c r="BB15" s="13">
        <f>2.9/3.58</f>
        <v>0.8100558659</v>
      </c>
      <c r="BC15" s="10">
        <v>1.0</v>
      </c>
      <c r="BD15" s="10">
        <v>0.0</v>
      </c>
      <c r="BE15" s="10"/>
      <c r="BF15" s="9">
        <v>0.0</v>
      </c>
      <c r="BG15" s="9" t="s">
        <v>84</v>
      </c>
      <c r="BH15" s="9">
        <v>1.0</v>
      </c>
      <c r="BI15" s="9">
        <v>0.0</v>
      </c>
      <c r="BJ15" s="9">
        <v>0.0</v>
      </c>
      <c r="BK15" s="9">
        <v>0.0</v>
      </c>
      <c r="BL15" s="9">
        <v>0.0</v>
      </c>
      <c r="BM15" s="9">
        <v>0.0</v>
      </c>
      <c r="BN15" s="9">
        <v>0.0</v>
      </c>
      <c r="BO15" s="9">
        <v>1.0</v>
      </c>
      <c r="BP15" s="9">
        <v>0.0</v>
      </c>
      <c r="BQ15" s="9">
        <v>1.0</v>
      </c>
      <c r="BR15" s="9">
        <v>0.0</v>
      </c>
      <c r="BS15" s="9" t="s">
        <v>84</v>
      </c>
      <c r="BT15" s="9">
        <v>0.0</v>
      </c>
      <c r="BU15" s="9">
        <v>1.0</v>
      </c>
      <c r="BV15" s="9">
        <v>0.0</v>
      </c>
      <c r="BW15" s="10">
        <v>0.0</v>
      </c>
      <c r="BX15" s="14">
        <v>0.0</v>
      </c>
      <c r="BY15" s="9" t="s">
        <v>84</v>
      </c>
      <c r="BZ15" s="9" t="s">
        <v>84</v>
      </c>
      <c r="CA15" s="9" t="s">
        <v>84</v>
      </c>
      <c r="CB15" s="9">
        <v>0.0</v>
      </c>
      <c r="CC15" s="15" t="s">
        <v>101</v>
      </c>
      <c r="CD15" s="17"/>
    </row>
    <row r="16">
      <c r="A16" s="9">
        <v>15.0</v>
      </c>
      <c r="B16" s="10">
        <v>31.0</v>
      </c>
      <c r="C16" s="9" t="s">
        <v>86</v>
      </c>
      <c r="D16" s="11" t="s">
        <v>82</v>
      </c>
      <c r="E16" s="9" t="s">
        <v>90</v>
      </c>
      <c r="F16" s="12">
        <v>162.56</v>
      </c>
      <c r="G16" s="12">
        <v>148.0</v>
      </c>
      <c r="H16" s="12">
        <f t="shared" si="1"/>
        <v>56.00597139</v>
      </c>
      <c r="I16" s="9">
        <v>1.0</v>
      </c>
      <c r="J16" s="9">
        <v>2.0</v>
      </c>
      <c r="K16" s="9">
        <v>2.0</v>
      </c>
      <c r="L16" s="9">
        <v>1.0</v>
      </c>
      <c r="M16" s="9">
        <v>136.0</v>
      </c>
      <c r="N16" s="9">
        <v>0.0</v>
      </c>
      <c r="O16" s="9">
        <v>142.0</v>
      </c>
      <c r="P16" s="9">
        <v>0.0</v>
      </c>
      <c r="Q16" s="9">
        <v>16.0</v>
      </c>
      <c r="R16" s="9">
        <v>0.0</v>
      </c>
      <c r="S16" s="12">
        <v>96.8</v>
      </c>
      <c r="T16" s="9">
        <v>1.0</v>
      </c>
      <c r="U16" s="9">
        <v>87.0</v>
      </c>
      <c r="V16" s="9">
        <v>1.0</v>
      </c>
      <c r="W16" s="9">
        <v>0.0</v>
      </c>
      <c r="X16" s="9">
        <v>1.0</v>
      </c>
      <c r="Y16" s="9">
        <v>0.0</v>
      </c>
      <c r="Z16" s="9">
        <v>0.0</v>
      </c>
      <c r="AA16" s="9">
        <v>0.0</v>
      </c>
      <c r="AB16" s="9">
        <v>0.0</v>
      </c>
      <c r="AC16" s="9">
        <v>0.0</v>
      </c>
      <c r="AD16" s="9">
        <v>0.0</v>
      </c>
      <c r="AE16" s="9">
        <v>1.0</v>
      </c>
      <c r="AF16" s="9">
        <v>0.0</v>
      </c>
      <c r="AG16" s="9">
        <v>0.0</v>
      </c>
      <c r="AH16" s="9">
        <v>0.0</v>
      </c>
      <c r="AI16" s="9">
        <v>0.0</v>
      </c>
      <c r="AJ16" s="9">
        <v>0.0</v>
      </c>
      <c r="AK16" s="9">
        <v>0.0</v>
      </c>
      <c r="AL16" s="9">
        <v>0.0</v>
      </c>
      <c r="AM16" s="9">
        <v>0.0</v>
      </c>
      <c r="AN16" s="9">
        <v>0.0</v>
      </c>
      <c r="AO16" s="9">
        <v>1.0</v>
      </c>
      <c r="AP16" s="9">
        <v>1.0</v>
      </c>
      <c r="AQ16" s="9" t="s">
        <v>84</v>
      </c>
      <c r="AR16" s="9">
        <v>0.0</v>
      </c>
      <c r="AS16" s="9">
        <v>1.0</v>
      </c>
      <c r="AT16" s="9">
        <v>1.0</v>
      </c>
      <c r="AU16" s="9">
        <v>1.0</v>
      </c>
      <c r="AV16" s="9">
        <v>0.0</v>
      </c>
      <c r="AW16" s="9">
        <v>90.8</v>
      </c>
      <c r="AX16" s="13">
        <f>4.84/4.76</f>
        <v>1.016806723</v>
      </c>
      <c r="AY16" s="10">
        <v>0.0</v>
      </c>
      <c r="AZ16" s="10">
        <v>0.0</v>
      </c>
      <c r="BA16" s="10">
        <v>1.0</v>
      </c>
      <c r="BB16" s="13">
        <f>2.74/2.85</f>
        <v>0.9614035088</v>
      </c>
      <c r="BC16" s="10">
        <v>4.0</v>
      </c>
      <c r="BD16" s="10">
        <v>1.0</v>
      </c>
      <c r="BE16" s="10"/>
      <c r="BF16" s="9">
        <v>1.0</v>
      </c>
      <c r="BG16" s="15" t="s">
        <v>106</v>
      </c>
      <c r="BH16" s="9">
        <v>1.0</v>
      </c>
      <c r="BI16" s="9">
        <v>0.0</v>
      </c>
      <c r="BJ16" s="9">
        <v>0.0</v>
      </c>
      <c r="BK16" s="9">
        <v>0.0</v>
      </c>
      <c r="BL16" s="9">
        <v>0.0</v>
      </c>
      <c r="BM16" s="9">
        <v>0.0</v>
      </c>
      <c r="BN16" s="9">
        <v>1.0</v>
      </c>
      <c r="BO16" s="9">
        <v>0.0</v>
      </c>
      <c r="BP16" s="9">
        <v>0.0</v>
      </c>
      <c r="BQ16" s="9">
        <v>0.0</v>
      </c>
      <c r="BR16" s="9">
        <v>1.0</v>
      </c>
      <c r="BS16" s="9" t="s">
        <v>107</v>
      </c>
      <c r="BT16" s="9">
        <v>0.0</v>
      </c>
      <c r="BU16" s="9">
        <v>1.0</v>
      </c>
      <c r="BV16" s="9">
        <v>0.0</v>
      </c>
      <c r="BW16" s="10">
        <v>0.0</v>
      </c>
      <c r="BX16" s="14">
        <v>0.0</v>
      </c>
      <c r="BY16" s="9">
        <v>0.0</v>
      </c>
      <c r="BZ16" s="9">
        <v>0.0</v>
      </c>
      <c r="CA16" s="9">
        <v>0.0</v>
      </c>
      <c r="CB16" s="9">
        <v>0.0</v>
      </c>
      <c r="CC16" s="15" t="s">
        <v>101</v>
      </c>
      <c r="CD16" s="17"/>
    </row>
    <row r="17">
      <c r="A17" s="9">
        <v>16.0</v>
      </c>
      <c r="B17" s="10">
        <v>54.0</v>
      </c>
      <c r="C17" s="9" t="s">
        <v>81</v>
      </c>
      <c r="D17" s="11" t="s">
        <v>88</v>
      </c>
      <c r="E17" s="9" t="s">
        <v>83</v>
      </c>
      <c r="F17" s="12">
        <v>177.8</v>
      </c>
      <c r="G17" s="12">
        <v>154.0</v>
      </c>
      <c r="H17" s="12">
        <f t="shared" si="1"/>
        <v>48.71438314</v>
      </c>
      <c r="I17" s="9">
        <v>1.0</v>
      </c>
      <c r="J17" s="9">
        <v>5.0</v>
      </c>
      <c r="K17" s="19">
        <v>3.0</v>
      </c>
      <c r="L17" s="9">
        <v>1.0</v>
      </c>
      <c r="M17" s="9">
        <v>118.0</v>
      </c>
      <c r="N17" s="9">
        <v>1.0</v>
      </c>
      <c r="O17" s="9">
        <v>91.0</v>
      </c>
      <c r="P17" s="9">
        <v>1.0</v>
      </c>
      <c r="Q17" s="9">
        <v>33.0</v>
      </c>
      <c r="R17" s="9">
        <v>0.0</v>
      </c>
      <c r="S17" s="12">
        <v>98.9</v>
      </c>
      <c r="T17" s="9">
        <v>1.0</v>
      </c>
      <c r="U17" s="9">
        <v>89.0</v>
      </c>
      <c r="V17" s="9">
        <v>1.0</v>
      </c>
      <c r="W17" s="9">
        <v>0.0</v>
      </c>
      <c r="X17" s="9">
        <v>0.0</v>
      </c>
      <c r="Y17" s="9">
        <v>1.0</v>
      </c>
      <c r="Z17" s="9">
        <v>0.0</v>
      </c>
      <c r="AA17" s="9">
        <v>0.0</v>
      </c>
      <c r="AB17" s="9">
        <v>0.0</v>
      </c>
      <c r="AC17" s="9">
        <v>0.0</v>
      </c>
      <c r="AD17" s="9">
        <v>0.0</v>
      </c>
      <c r="AE17" s="9">
        <v>0.0</v>
      </c>
      <c r="AF17" s="9">
        <v>0.0</v>
      </c>
      <c r="AG17" s="9">
        <v>0.0</v>
      </c>
      <c r="AH17" s="9">
        <v>0.0</v>
      </c>
      <c r="AI17" s="9">
        <v>0.0</v>
      </c>
      <c r="AJ17" s="9">
        <v>0.0</v>
      </c>
      <c r="AK17" s="9">
        <v>1.0</v>
      </c>
      <c r="AL17" s="9">
        <v>0.0</v>
      </c>
      <c r="AM17" s="9">
        <v>0.0</v>
      </c>
      <c r="AN17" s="9">
        <v>0.0</v>
      </c>
      <c r="AO17" s="9">
        <v>1.0</v>
      </c>
      <c r="AP17" s="9">
        <v>1.0</v>
      </c>
      <c r="AQ17" s="9">
        <v>1.0</v>
      </c>
      <c r="AR17" s="9">
        <v>1.0</v>
      </c>
      <c r="AS17" s="9">
        <v>1.0</v>
      </c>
      <c r="AT17" s="9">
        <v>0.0</v>
      </c>
      <c r="AU17" s="9">
        <v>0.0</v>
      </c>
      <c r="AV17" s="9">
        <v>0.0</v>
      </c>
      <c r="AW17" s="9">
        <v>38.0</v>
      </c>
      <c r="AX17" s="13">
        <f>6.23/3.55</f>
        <v>1.754929577</v>
      </c>
      <c r="AY17" s="10">
        <v>0.0</v>
      </c>
      <c r="AZ17" s="10">
        <v>0.0</v>
      </c>
      <c r="BA17" s="10">
        <v>1.0</v>
      </c>
      <c r="BB17" s="13">
        <f>3.38/3.83</f>
        <v>0.8825065274</v>
      </c>
      <c r="BC17" s="10">
        <v>3.0</v>
      </c>
      <c r="BD17" s="10">
        <v>1.0</v>
      </c>
      <c r="BE17" s="10"/>
      <c r="BF17" s="9">
        <v>0.0</v>
      </c>
      <c r="BG17" s="9" t="s">
        <v>84</v>
      </c>
      <c r="BH17" s="9">
        <v>1.0</v>
      </c>
      <c r="BI17" s="9">
        <v>1.0</v>
      </c>
      <c r="BJ17" s="9">
        <v>0.0</v>
      </c>
      <c r="BK17" s="9">
        <v>1.0</v>
      </c>
      <c r="BL17" s="9">
        <v>1.0</v>
      </c>
      <c r="BM17" s="9">
        <v>0.0</v>
      </c>
      <c r="BN17" s="20">
        <v>1.0</v>
      </c>
      <c r="BO17" s="20">
        <v>1.0</v>
      </c>
      <c r="BP17" s="20">
        <v>1.0</v>
      </c>
      <c r="BQ17" s="20">
        <v>1.0</v>
      </c>
      <c r="BR17" s="9">
        <v>0.0</v>
      </c>
      <c r="BS17" s="9" t="s">
        <v>84</v>
      </c>
      <c r="BT17" s="9">
        <v>0.0</v>
      </c>
      <c r="BU17" s="9">
        <v>0.0</v>
      </c>
      <c r="BV17" s="9">
        <v>0.0</v>
      </c>
      <c r="BW17" s="10">
        <v>0.0</v>
      </c>
      <c r="BX17" s="14">
        <v>0.0</v>
      </c>
      <c r="BY17" s="9">
        <v>0.0</v>
      </c>
      <c r="BZ17" s="9">
        <v>0.0</v>
      </c>
      <c r="CA17" s="9">
        <v>0.0</v>
      </c>
      <c r="CB17" s="9">
        <v>0.0</v>
      </c>
      <c r="CC17" s="15" t="s">
        <v>92</v>
      </c>
      <c r="CD17" s="17"/>
    </row>
    <row r="18">
      <c r="A18" s="9">
        <v>17.0</v>
      </c>
      <c r="B18" s="10">
        <v>43.0</v>
      </c>
      <c r="C18" s="9" t="s">
        <v>81</v>
      </c>
      <c r="D18" s="11" t="s">
        <v>88</v>
      </c>
      <c r="E18" s="9" t="s">
        <v>108</v>
      </c>
      <c r="F18" s="12">
        <v>187.96</v>
      </c>
      <c r="G18" s="12">
        <v>110.0</v>
      </c>
      <c r="H18" s="12">
        <f t="shared" si="1"/>
        <v>31.13592787</v>
      </c>
      <c r="I18" s="9">
        <v>0.0</v>
      </c>
      <c r="J18" s="9">
        <v>2.0</v>
      </c>
      <c r="K18" s="9">
        <v>2.0</v>
      </c>
      <c r="L18" s="9">
        <v>0.0</v>
      </c>
      <c r="M18" s="9">
        <v>79.0</v>
      </c>
      <c r="N18" s="9">
        <v>0.0</v>
      </c>
      <c r="O18" s="9">
        <v>111.0</v>
      </c>
      <c r="P18" s="9">
        <v>0.0</v>
      </c>
      <c r="Q18" s="9">
        <v>25.0</v>
      </c>
      <c r="R18" s="9">
        <v>0.0</v>
      </c>
      <c r="S18" s="12">
        <v>98.2</v>
      </c>
      <c r="T18" s="9">
        <v>0.0</v>
      </c>
      <c r="U18" s="9">
        <v>99.0</v>
      </c>
      <c r="V18" s="9">
        <v>0.0</v>
      </c>
      <c r="W18" s="9">
        <v>0.0</v>
      </c>
      <c r="X18" s="9">
        <v>1.0</v>
      </c>
      <c r="Y18" s="9">
        <v>0.0</v>
      </c>
      <c r="Z18" s="9">
        <v>0.0</v>
      </c>
      <c r="AA18" s="9">
        <v>0.0</v>
      </c>
      <c r="AB18" s="9">
        <v>0.0</v>
      </c>
      <c r="AC18" s="9">
        <v>0.0</v>
      </c>
      <c r="AD18" s="9">
        <v>0.0</v>
      </c>
      <c r="AE18" s="9">
        <v>1.0</v>
      </c>
      <c r="AF18" s="9">
        <v>0.0</v>
      </c>
      <c r="AG18" s="9">
        <v>0.0</v>
      </c>
      <c r="AH18" s="9">
        <v>0.0</v>
      </c>
      <c r="AI18" s="9">
        <v>0.0</v>
      </c>
      <c r="AJ18" s="9">
        <v>1.0</v>
      </c>
      <c r="AK18" s="9">
        <v>0.0</v>
      </c>
      <c r="AL18" s="9">
        <v>0.0</v>
      </c>
      <c r="AM18" s="9">
        <v>0.0</v>
      </c>
      <c r="AN18" s="9">
        <v>0.0</v>
      </c>
      <c r="AO18" s="9">
        <v>1.0</v>
      </c>
      <c r="AP18" s="9">
        <v>0.0</v>
      </c>
      <c r="AQ18" s="9" t="s">
        <v>84</v>
      </c>
      <c r="AR18" s="9">
        <v>1.0</v>
      </c>
      <c r="AS18" s="9">
        <v>1.0</v>
      </c>
      <c r="AT18" s="9">
        <v>1.0</v>
      </c>
      <c r="AU18" s="9">
        <v>1.0</v>
      </c>
      <c r="AV18" s="9">
        <v>0.0</v>
      </c>
      <c r="AW18" s="9" t="s">
        <v>97</v>
      </c>
      <c r="AX18" s="13">
        <f>5.82/3.99</f>
        <v>1.458646617</v>
      </c>
      <c r="AY18" s="10">
        <v>0.0</v>
      </c>
      <c r="AZ18" s="10">
        <v>0.0</v>
      </c>
      <c r="BA18" s="10">
        <v>1.0</v>
      </c>
      <c r="BB18" s="13">
        <f>2.9/3.01</f>
        <v>0.9634551495</v>
      </c>
      <c r="BC18" s="10">
        <v>3.0</v>
      </c>
      <c r="BD18" s="10">
        <v>0.0</v>
      </c>
      <c r="BE18" s="10"/>
      <c r="BF18" s="9">
        <v>0.0</v>
      </c>
      <c r="BG18" s="9" t="s">
        <v>84</v>
      </c>
      <c r="BH18" s="9">
        <v>1.0</v>
      </c>
      <c r="BI18" s="9">
        <v>0.0</v>
      </c>
      <c r="BJ18" s="9">
        <v>0.0</v>
      </c>
      <c r="BK18" s="9">
        <v>0.0</v>
      </c>
      <c r="BL18" s="9">
        <v>0.0</v>
      </c>
      <c r="BM18" s="9">
        <v>0.0</v>
      </c>
      <c r="BN18" s="9">
        <v>0.0</v>
      </c>
      <c r="BO18" s="9">
        <v>0.0</v>
      </c>
      <c r="BP18" s="9" t="s">
        <v>84</v>
      </c>
      <c r="BQ18" s="9" t="s">
        <v>84</v>
      </c>
      <c r="BR18" s="9">
        <v>0.0</v>
      </c>
      <c r="BS18" s="9" t="s">
        <v>84</v>
      </c>
      <c r="BT18" s="9">
        <v>0.0</v>
      </c>
      <c r="BU18" s="9">
        <v>0.0</v>
      </c>
      <c r="BV18" s="9">
        <v>0.0</v>
      </c>
      <c r="BW18" s="10">
        <v>0.0</v>
      </c>
      <c r="BX18" s="14">
        <v>0.0</v>
      </c>
      <c r="BY18" s="9">
        <v>0.0</v>
      </c>
      <c r="BZ18" s="9">
        <v>1.0</v>
      </c>
      <c r="CA18" s="9">
        <v>0.0</v>
      </c>
      <c r="CB18" s="9">
        <v>0.0</v>
      </c>
      <c r="CC18" s="15" t="s">
        <v>101</v>
      </c>
      <c r="CD18" s="17"/>
    </row>
    <row r="19">
      <c r="A19" s="9">
        <v>18.0</v>
      </c>
      <c r="B19" s="10">
        <v>68.0</v>
      </c>
      <c r="C19" s="9" t="s">
        <v>81</v>
      </c>
      <c r="D19" s="11" t="s">
        <v>88</v>
      </c>
      <c r="E19" s="9" t="s">
        <v>109</v>
      </c>
      <c r="F19" s="12" t="s">
        <v>84</v>
      </c>
      <c r="G19" s="12">
        <v>127.0</v>
      </c>
      <c r="H19" s="12">
        <v>40.75</v>
      </c>
      <c r="I19" s="9">
        <v>1.0</v>
      </c>
      <c r="J19" s="9">
        <v>5.0</v>
      </c>
      <c r="K19" s="9">
        <v>3.0</v>
      </c>
      <c r="L19" s="9">
        <v>0.0</v>
      </c>
      <c r="M19" s="9">
        <v>108.0</v>
      </c>
      <c r="N19" s="9">
        <v>0.0</v>
      </c>
      <c r="O19" s="9">
        <v>142.0</v>
      </c>
      <c r="P19" s="9">
        <v>0.0</v>
      </c>
      <c r="Q19" s="9">
        <v>22.0</v>
      </c>
      <c r="R19" s="9">
        <v>0.0</v>
      </c>
      <c r="S19" s="12">
        <v>97.3</v>
      </c>
      <c r="T19" s="9">
        <v>1.0</v>
      </c>
      <c r="U19" s="9">
        <v>78.0</v>
      </c>
      <c r="V19" s="9">
        <v>1.0</v>
      </c>
      <c r="W19" s="9">
        <v>0.0</v>
      </c>
      <c r="X19" s="9">
        <v>1.0</v>
      </c>
      <c r="Y19" s="9">
        <v>0.0</v>
      </c>
      <c r="Z19" s="9">
        <v>0.0</v>
      </c>
      <c r="AA19" s="9">
        <v>0.0</v>
      </c>
      <c r="AB19" s="9">
        <v>0.0</v>
      </c>
      <c r="AC19" s="9">
        <v>0.0</v>
      </c>
      <c r="AD19" s="9">
        <v>0.0</v>
      </c>
      <c r="AE19" s="9">
        <v>1.0</v>
      </c>
      <c r="AF19" s="9">
        <v>0.0</v>
      </c>
      <c r="AG19" s="9" t="s">
        <v>84</v>
      </c>
      <c r="AH19" s="9" t="s">
        <v>84</v>
      </c>
      <c r="AI19" s="9" t="s">
        <v>84</v>
      </c>
      <c r="AJ19" s="9" t="s">
        <v>84</v>
      </c>
      <c r="AK19" s="9">
        <v>0.0</v>
      </c>
      <c r="AL19" s="9">
        <v>0.0</v>
      </c>
      <c r="AM19" s="9">
        <v>0.0</v>
      </c>
      <c r="AN19" s="9">
        <v>1.0</v>
      </c>
      <c r="AO19" s="9" t="s">
        <v>84</v>
      </c>
      <c r="AP19" s="9" t="s">
        <v>84</v>
      </c>
      <c r="AQ19" s="9">
        <v>0.0</v>
      </c>
      <c r="AR19" s="9">
        <v>0.0</v>
      </c>
      <c r="AS19" s="9" t="s">
        <v>84</v>
      </c>
      <c r="AT19" s="9" t="s">
        <v>84</v>
      </c>
      <c r="AU19" s="9" t="s">
        <v>84</v>
      </c>
      <c r="AV19" s="9" t="s">
        <v>84</v>
      </c>
      <c r="AW19" s="9" t="s">
        <v>84</v>
      </c>
      <c r="AX19" s="13">
        <f>4.63/3.41</f>
        <v>1.357771261</v>
      </c>
      <c r="AY19" s="10">
        <v>0.0</v>
      </c>
      <c r="AZ19" s="10">
        <v>0.0</v>
      </c>
      <c r="BA19" s="10">
        <v>1.0</v>
      </c>
      <c r="BB19" s="13">
        <f>2.99/3.12</f>
        <v>0.9583333333</v>
      </c>
      <c r="BC19" s="10">
        <v>5.0</v>
      </c>
      <c r="BD19" s="10">
        <v>1.0</v>
      </c>
      <c r="BE19" s="10"/>
      <c r="BF19" s="9">
        <v>1.0</v>
      </c>
      <c r="BG19" s="15" t="s">
        <v>110</v>
      </c>
      <c r="BH19" s="9">
        <v>1.0</v>
      </c>
      <c r="BI19" s="9">
        <v>1.0</v>
      </c>
      <c r="BJ19" s="9">
        <v>1.0</v>
      </c>
      <c r="BK19" s="9">
        <v>1.0</v>
      </c>
      <c r="BL19" s="9">
        <v>0.0</v>
      </c>
      <c r="BM19" s="9">
        <v>1.0</v>
      </c>
      <c r="BN19" s="9">
        <v>1.0</v>
      </c>
      <c r="BO19" s="9">
        <v>0.0</v>
      </c>
      <c r="BP19" s="9">
        <v>1.0</v>
      </c>
      <c r="BQ19" s="9">
        <v>1.0</v>
      </c>
      <c r="BR19" s="9">
        <v>0.0</v>
      </c>
      <c r="BS19" s="9" t="s">
        <v>84</v>
      </c>
      <c r="BT19" s="9">
        <v>0.0</v>
      </c>
      <c r="BU19" s="9">
        <v>0.0</v>
      </c>
      <c r="BV19" s="9">
        <v>1.0</v>
      </c>
      <c r="BW19" s="10" t="s">
        <v>84</v>
      </c>
      <c r="BX19" s="14" t="s">
        <v>84</v>
      </c>
      <c r="BY19" s="9" t="s">
        <v>84</v>
      </c>
      <c r="BZ19" s="9" t="s">
        <v>84</v>
      </c>
      <c r="CA19" s="9">
        <v>0.0</v>
      </c>
      <c r="CB19" s="9">
        <v>0.0</v>
      </c>
      <c r="CC19" s="15" t="s">
        <v>101</v>
      </c>
      <c r="CD19" s="17"/>
    </row>
    <row r="20">
      <c r="A20" s="9">
        <v>19.0</v>
      </c>
      <c r="B20" s="10">
        <v>59.0</v>
      </c>
      <c r="C20" s="9" t="s">
        <v>81</v>
      </c>
      <c r="D20" s="11" t="s">
        <v>82</v>
      </c>
      <c r="E20" s="9" t="s">
        <v>103</v>
      </c>
      <c r="F20" s="12">
        <v>177.8</v>
      </c>
      <c r="G20" s="12">
        <v>158.3</v>
      </c>
      <c r="H20" s="12">
        <f t="shared" ref="H20:H61" si="2">G20/((F20/100)^2)</f>
        <v>50.07458995</v>
      </c>
      <c r="I20" s="9">
        <v>1.0</v>
      </c>
      <c r="J20" s="9">
        <v>4.0</v>
      </c>
      <c r="K20" s="9">
        <v>2.0</v>
      </c>
      <c r="L20" s="9">
        <v>0.0</v>
      </c>
      <c r="M20" s="9">
        <v>105.0</v>
      </c>
      <c r="N20" s="9">
        <v>1.0</v>
      </c>
      <c r="O20" s="9">
        <v>97.0</v>
      </c>
      <c r="P20" s="9">
        <v>0.0</v>
      </c>
      <c r="Q20" s="9">
        <v>22.0</v>
      </c>
      <c r="R20" s="9">
        <v>0.0</v>
      </c>
      <c r="S20" s="12">
        <v>98.1</v>
      </c>
      <c r="T20" s="9">
        <v>1.0</v>
      </c>
      <c r="U20" s="9">
        <v>80.0</v>
      </c>
      <c r="V20" s="9">
        <v>1.0</v>
      </c>
      <c r="W20" s="9">
        <v>0.0</v>
      </c>
      <c r="X20" s="9">
        <v>1.0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1.0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9">
        <v>0.0</v>
      </c>
      <c r="AN20" s="9">
        <v>0.0</v>
      </c>
      <c r="AO20" s="9">
        <v>1.0</v>
      </c>
      <c r="AP20" s="9">
        <v>1.0</v>
      </c>
      <c r="AQ20" s="9">
        <v>0.0</v>
      </c>
      <c r="AR20" s="9">
        <v>0.0</v>
      </c>
      <c r="AS20" s="9">
        <v>1.0</v>
      </c>
      <c r="AT20" s="9">
        <v>1.0</v>
      </c>
      <c r="AU20" s="9">
        <v>1.0</v>
      </c>
      <c r="AV20" s="9">
        <v>0.0</v>
      </c>
      <c r="AW20" s="9">
        <v>47.2</v>
      </c>
      <c r="AX20" s="13">
        <f>3.8/4.01</f>
        <v>0.9476309227</v>
      </c>
      <c r="AY20" s="10">
        <v>0.0</v>
      </c>
      <c r="AZ20" s="10">
        <v>0.0</v>
      </c>
      <c r="BA20" s="10">
        <v>1.0</v>
      </c>
      <c r="BB20" s="13">
        <f>2.84/3.5</f>
        <v>0.8114285714</v>
      </c>
      <c r="BC20" s="10">
        <v>1.0</v>
      </c>
      <c r="BD20" s="10">
        <v>0.0</v>
      </c>
      <c r="BE20" s="10"/>
      <c r="BF20" s="9">
        <v>0.0</v>
      </c>
      <c r="BG20" s="9" t="s">
        <v>84</v>
      </c>
      <c r="BH20" s="9">
        <v>1.0</v>
      </c>
      <c r="BI20" s="9">
        <v>0.0</v>
      </c>
      <c r="BJ20" s="9">
        <v>0.0</v>
      </c>
      <c r="BK20" s="9">
        <v>0.0</v>
      </c>
      <c r="BL20" s="9">
        <v>0.0</v>
      </c>
      <c r="BM20" s="9">
        <v>0.0</v>
      </c>
      <c r="BN20" s="9">
        <v>0.0</v>
      </c>
      <c r="BO20" s="9">
        <v>1.0</v>
      </c>
      <c r="BP20" s="9">
        <v>0.0</v>
      </c>
      <c r="BQ20" s="9">
        <v>0.0</v>
      </c>
      <c r="BR20" s="9">
        <v>0.0</v>
      </c>
      <c r="BS20" s="9" t="s">
        <v>84</v>
      </c>
      <c r="BT20" s="9">
        <v>0.0</v>
      </c>
      <c r="BU20" s="9">
        <v>0.0</v>
      </c>
      <c r="BV20" s="9">
        <v>0.0</v>
      </c>
      <c r="BW20" s="10">
        <v>0.0</v>
      </c>
      <c r="BX20" s="14">
        <v>0.0</v>
      </c>
      <c r="BY20" s="9">
        <v>0.0</v>
      </c>
      <c r="BZ20" s="9">
        <v>1.0</v>
      </c>
      <c r="CA20" s="9">
        <v>0.0</v>
      </c>
      <c r="CB20" s="9">
        <v>0.0</v>
      </c>
      <c r="CC20" s="15" t="s">
        <v>111</v>
      </c>
      <c r="CD20" s="17"/>
    </row>
    <row r="21" ht="15.75" customHeight="1">
      <c r="A21" s="9">
        <v>20.0</v>
      </c>
      <c r="B21" s="10">
        <v>80.0</v>
      </c>
      <c r="C21" s="9" t="s">
        <v>81</v>
      </c>
      <c r="D21" s="11" t="s">
        <v>82</v>
      </c>
      <c r="E21" s="9" t="s">
        <v>103</v>
      </c>
      <c r="F21" s="12">
        <v>180.34</v>
      </c>
      <c r="G21" s="12">
        <v>108.9</v>
      </c>
      <c r="H21" s="12">
        <f t="shared" si="2"/>
        <v>33.48449466</v>
      </c>
      <c r="I21" s="9">
        <v>1.0</v>
      </c>
      <c r="J21" s="9">
        <v>3.0</v>
      </c>
      <c r="K21" s="9">
        <v>1.0</v>
      </c>
      <c r="L21" s="9">
        <v>0.0</v>
      </c>
      <c r="M21" s="9">
        <v>87.0</v>
      </c>
      <c r="N21" s="9">
        <v>0.0</v>
      </c>
      <c r="O21" s="9">
        <v>151.0</v>
      </c>
      <c r="P21" s="9">
        <v>0.0</v>
      </c>
      <c r="Q21" s="9">
        <v>15.0</v>
      </c>
      <c r="R21" s="9">
        <v>0.0</v>
      </c>
      <c r="S21" s="12">
        <v>98.4</v>
      </c>
      <c r="T21" s="9">
        <v>0.0</v>
      </c>
      <c r="U21" s="9">
        <v>98.0</v>
      </c>
      <c r="V21" s="9">
        <v>1.0</v>
      </c>
      <c r="W21" s="9">
        <v>0.0</v>
      </c>
      <c r="X21" s="9">
        <v>0.0</v>
      </c>
      <c r="Y21" s="9">
        <v>0.0</v>
      </c>
      <c r="Z21" s="9">
        <v>0.0</v>
      </c>
      <c r="AA21" s="9">
        <v>0.0</v>
      </c>
      <c r="AB21" s="9">
        <v>0.0</v>
      </c>
      <c r="AC21" s="9">
        <v>0.0</v>
      </c>
      <c r="AD21" s="9">
        <v>0.0</v>
      </c>
      <c r="AE21" s="9">
        <v>0.0</v>
      </c>
      <c r="AF21" s="9">
        <v>0.0</v>
      </c>
      <c r="AG21" s="9">
        <v>0.0</v>
      </c>
      <c r="AH21" s="9">
        <v>0.0</v>
      </c>
      <c r="AI21" s="9">
        <v>0.0</v>
      </c>
      <c r="AJ21" s="9">
        <v>0.0</v>
      </c>
      <c r="AK21" s="9">
        <v>0.0</v>
      </c>
      <c r="AL21" s="9">
        <v>0.0</v>
      </c>
      <c r="AM21" s="9">
        <v>0.0</v>
      </c>
      <c r="AN21" s="9">
        <v>0.0</v>
      </c>
      <c r="AO21" s="9">
        <v>0.0</v>
      </c>
      <c r="AP21" s="9" t="s">
        <v>84</v>
      </c>
      <c r="AQ21" s="9">
        <v>0.0</v>
      </c>
      <c r="AR21" s="9">
        <v>0.0</v>
      </c>
      <c r="AS21" s="9">
        <v>0.0</v>
      </c>
      <c r="AT21" s="9">
        <v>0.0</v>
      </c>
      <c r="AU21" s="9">
        <v>0.0</v>
      </c>
      <c r="AV21" s="9">
        <v>0.0</v>
      </c>
      <c r="AW21" s="9">
        <v>31.0</v>
      </c>
      <c r="AX21" s="13">
        <f>4.16/3.89</f>
        <v>1.06940874</v>
      </c>
      <c r="AY21" s="10">
        <v>0.0</v>
      </c>
      <c r="AZ21" s="10">
        <v>0.0</v>
      </c>
      <c r="BA21" s="10">
        <v>1.0</v>
      </c>
      <c r="BB21" s="13">
        <f>3.08/2.91</f>
        <v>1.058419244</v>
      </c>
      <c r="BC21" s="10">
        <v>1.0</v>
      </c>
      <c r="BD21" s="10">
        <v>1.0</v>
      </c>
      <c r="BE21" s="10"/>
      <c r="BF21" s="9">
        <v>0.0</v>
      </c>
      <c r="BG21" s="9" t="s">
        <v>84</v>
      </c>
      <c r="BH21" s="9">
        <v>1.0</v>
      </c>
      <c r="BI21" s="9">
        <v>0.0</v>
      </c>
      <c r="BJ21" s="9">
        <v>0.0</v>
      </c>
      <c r="BK21" s="9">
        <v>0.0</v>
      </c>
      <c r="BL21" s="9">
        <v>0.0</v>
      </c>
      <c r="BM21" s="9">
        <v>0.0</v>
      </c>
      <c r="BN21" s="9">
        <v>0.0</v>
      </c>
      <c r="BO21" s="9">
        <v>0.0</v>
      </c>
      <c r="BP21" s="9" t="s">
        <v>84</v>
      </c>
      <c r="BQ21" s="9" t="s">
        <v>84</v>
      </c>
      <c r="BR21" s="9">
        <v>0.0</v>
      </c>
      <c r="BS21" s="9" t="s">
        <v>84</v>
      </c>
      <c r="BT21" s="9">
        <v>0.0</v>
      </c>
      <c r="BU21" s="9">
        <v>0.0</v>
      </c>
      <c r="BV21" s="9">
        <v>0.0</v>
      </c>
      <c r="BW21" s="10">
        <v>0.0</v>
      </c>
      <c r="BX21" s="14">
        <v>0.0</v>
      </c>
      <c r="BY21" s="9">
        <v>0.0</v>
      </c>
      <c r="BZ21" s="9">
        <v>0.0</v>
      </c>
      <c r="CA21" s="9">
        <v>0.0</v>
      </c>
      <c r="CB21" s="9">
        <v>0.0</v>
      </c>
      <c r="CC21" s="15" t="s">
        <v>101</v>
      </c>
      <c r="CD21" s="17"/>
    </row>
    <row r="22" ht="15.75" customHeight="1">
      <c r="A22" s="9">
        <v>21.0</v>
      </c>
      <c r="B22" s="10">
        <v>54.0</v>
      </c>
      <c r="C22" s="9" t="s">
        <v>81</v>
      </c>
      <c r="D22" s="11" t="s">
        <v>82</v>
      </c>
      <c r="E22" s="9" t="s">
        <v>103</v>
      </c>
      <c r="F22" s="12">
        <v>180.34</v>
      </c>
      <c r="G22" s="12">
        <v>90.7</v>
      </c>
      <c r="H22" s="12">
        <f t="shared" si="2"/>
        <v>27.88837159</v>
      </c>
      <c r="I22" s="9">
        <v>1.0</v>
      </c>
      <c r="J22" s="9">
        <v>2.0</v>
      </c>
      <c r="K22" s="9">
        <v>2.0</v>
      </c>
      <c r="L22" s="9">
        <v>1.0</v>
      </c>
      <c r="M22" s="9">
        <v>127.0</v>
      </c>
      <c r="N22" s="9">
        <v>0.0</v>
      </c>
      <c r="O22" s="9">
        <v>120.0</v>
      </c>
      <c r="P22" s="9">
        <v>0.0</v>
      </c>
      <c r="Q22" s="9">
        <v>26.0</v>
      </c>
      <c r="R22" s="9">
        <v>0.0</v>
      </c>
      <c r="S22" s="12">
        <v>99.1</v>
      </c>
      <c r="T22" s="9">
        <v>0.0</v>
      </c>
      <c r="U22" s="9">
        <v>94.0</v>
      </c>
      <c r="V22" s="9">
        <v>1.0</v>
      </c>
      <c r="W22" s="9">
        <v>0.0</v>
      </c>
      <c r="X22" s="9">
        <v>0.0</v>
      </c>
      <c r="Y22" s="9">
        <v>0.0</v>
      </c>
      <c r="Z22" s="9">
        <v>0.0</v>
      </c>
      <c r="AA22" s="9">
        <v>0.0</v>
      </c>
      <c r="AB22" s="9">
        <v>0.0</v>
      </c>
      <c r="AC22" s="9">
        <v>0.0</v>
      </c>
      <c r="AD22" s="9">
        <v>0.0</v>
      </c>
      <c r="AE22" s="9">
        <v>0.0</v>
      </c>
      <c r="AF22" s="9">
        <v>0.0</v>
      </c>
      <c r="AG22" s="9">
        <v>0.0</v>
      </c>
      <c r="AH22" s="9">
        <v>0.0</v>
      </c>
      <c r="AI22" s="9">
        <v>0.0</v>
      </c>
      <c r="AJ22" s="9">
        <v>0.0</v>
      </c>
      <c r="AK22" s="9">
        <v>0.0</v>
      </c>
      <c r="AL22" s="9">
        <v>0.0</v>
      </c>
      <c r="AM22" s="9">
        <v>0.0</v>
      </c>
      <c r="AN22" s="9">
        <v>0.0</v>
      </c>
      <c r="AO22" s="9">
        <v>1.0</v>
      </c>
      <c r="AP22" s="9">
        <v>1.0</v>
      </c>
      <c r="AQ22" s="9">
        <v>1.0</v>
      </c>
      <c r="AR22" s="9">
        <v>0.0</v>
      </c>
      <c r="AS22" s="9">
        <v>1.0</v>
      </c>
      <c r="AT22" s="9">
        <v>1.0</v>
      </c>
      <c r="AU22" s="9">
        <v>1.0</v>
      </c>
      <c r="AV22" s="9">
        <v>0.0</v>
      </c>
      <c r="AW22" s="9">
        <v>96.0</v>
      </c>
      <c r="AX22" s="13">
        <f>5.03/4.8</f>
        <v>1.047916667</v>
      </c>
      <c r="AY22" s="10">
        <v>0.0</v>
      </c>
      <c r="AZ22" s="10">
        <v>0.0</v>
      </c>
      <c r="BA22" s="10">
        <v>1.0</v>
      </c>
      <c r="BB22" s="13">
        <f>3.25/3.07</f>
        <v>1.058631922</v>
      </c>
      <c r="BC22" s="10">
        <v>3.0</v>
      </c>
      <c r="BD22" s="10">
        <v>0.0</v>
      </c>
      <c r="BE22" s="10"/>
      <c r="BF22" s="9">
        <v>0.0</v>
      </c>
      <c r="BG22" s="9" t="s">
        <v>84</v>
      </c>
      <c r="BH22" s="9">
        <v>1.0</v>
      </c>
      <c r="BI22" s="9">
        <v>0.0</v>
      </c>
      <c r="BJ22" s="9">
        <v>0.0</v>
      </c>
      <c r="BK22" s="9">
        <v>0.0</v>
      </c>
      <c r="BL22" s="9">
        <v>0.0</v>
      </c>
      <c r="BM22" s="9">
        <v>0.0</v>
      </c>
      <c r="BN22" s="9">
        <v>0.0</v>
      </c>
      <c r="BO22" s="9">
        <v>1.0</v>
      </c>
      <c r="BP22" s="9">
        <v>0.0</v>
      </c>
      <c r="BQ22" s="9">
        <v>1.0</v>
      </c>
      <c r="BR22" s="9">
        <v>0.0</v>
      </c>
      <c r="BS22" s="9" t="s">
        <v>84</v>
      </c>
      <c r="BT22" s="9">
        <v>0.0</v>
      </c>
      <c r="BU22" s="9">
        <v>0.0</v>
      </c>
      <c r="BV22" s="9">
        <v>0.0</v>
      </c>
      <c r="BW22" s="10">
        <v>0.0</v>
      </c>
      <c r="BX22" s="14">
        <v>0.0</v>
      </c>
      <c r="BY22" s="9">
        <v>0.0</v>
      </c>
      <c r="BZ22" s="9">
        <v>0.0</v>
      </c>
      <c r="CA22" s="9">
        <v>0.0</v>
      </c>
      <c r="CB22" s="9">
        <v>0.0</v>
      </c>
      <c r="CC22" s="15" t="s">
        <v>101</v>
      </c>
      <c r="CD22" s="17"/>
    </row>
    <row r="23" ht="15.75" customHeight="1">
      <c r="A23" s="9">
        <v>22.0</v>
      </c>
      <c r="B23" s="10">
        <v>76.0</v>
      </c>
      <c r="C23" s="9" t="s">
        <v>81</v>
      </c>
      <c r="D23" s="11" t="s">
        <v>82</v>
      </c>
      <c r="E23" s="9" t="s">
        <v>103</v>
      </c>
      <c r="F23" s="12">
        <v>187.96</v>
      </c>
      <c r="G23" s="12">
        <v>109.0</v>
      </c>
      <c r="H23" s="12">
        <f t="shared" si="2"/>
        <v>30.85287398</v>
      </c>
      <c r="I23" s="9">
        <v>1.0</v>
      </c>
      <c r="J23" s="9">
        <v>5.0</v>
      </c>
      <c r="K23" s="9">
        <v>2.0</v>
      </c>
      <c r="L23" s="9">
        <v>0.0</v>
      </c>
      <c r="M23" s="9">
        <v>70.0</v>
      </c>
      <c r="N23" s="9">
        <v>0.0</v>
      </c>
      <c r="O23" s="9">
        <v>132.0</v>
      </c>
      <c r="P23" s="9">
        <v>0.0</v>
      </c>
      <c r="Q23" s="9">
        <v>16.0</v>
      </c>
      <c r="R23" s="9">
        <v>0.0</v>
      </c>
      <c r="S23" s="12">
        <v>98.6</v>
      </c>
      <c r="T23" s="9">
        <v>0.0</v>
      </c>
      <c r="U23" s="9">
        <v>100.0</v>
      </c>
      <c r="V23" s="9">
        <v>0.0</v>
      </c>
      <c r="W23" s="9">
        <v>0.0</v>
      </c>
      <c r="X23" s="9">
        <v>0.0</v>
      </c>
      <c r="Y23" s="9">
        <v>0.0</v>
      </c>
      <c r="Z23" s="9">
        <v>0.0</v>
      </c>
      <c r="AA23" s="9">
        <v>1.0</v>
      </c>
      <c r="AB23" s="9">
        <v>0.0</v>
      </c>
      <c r="AC23" s="9">
        <v>0.0</v>
      </c>
      <c r="AD23" s="9">
        <v>0.0</v>
      </c>
      <c r="AE23" s="9">
        <v>0.0</v>
      </c>
      <c r="AF23" s="9">
        <v>0.0</v>
      </c>
      <c r="AG23" s="9">
        <v>1.0</v>
      </c>
      <c r="AH23" s="9">
        <v>0.0</v>
      </c>
      <c r="AI23" s="9">
        <v>0.0</v>
      </c>
      <c r="AJ23" s="9">
        <v>0.0</v>
      </c>
      <c r="AK23" s="9">
        <v>0.0</v>
      </c>
      <c r="AL23" s="9">
        <v>0.0</v>
      </c>
      <c r="AM23" s="9">
        <v>0.0</v>
      </c>
      <c r="AN23" s="9">
        <v>0.0</v>
      </c>
      <c r="AO23" s="9">
        <v>1.0</v>
      </c>
      <c r="AP23" s="9">
        <v>1.0</v>
      </c>
      <c r="AQ23" s="9">
        <v>1.0</v>
      </c>
      <c r="AR23" s="9">
        <v>1.0</v>
      </c>
      <c r="AS23" s="9">
        <v>1.0</v>
      </c>
      <c r="AT23" s="9">
        <v>1.0</v>
      </c>
      <c r="AU23" s="9">
        <v>1.0</v>
      </c>
      <c r="AV23" s="9">
        <v>0.0</v>
      </c>
      <c r="AW23" s="9">
        <v>48.0</v>
      </c>
      <c r="AX23" s="13">
        <f>3.43/4.29</f>
        <v>0.7995337995</v>
      </c>
      <c r="AY23" s="10">
        <v>0.0</v>
      </c>
      <c r="AZ23" s="10">
        <v>0.0</v>
      </c>
      <c r="BA23" s="10">
        <v>0.0</v>
      </c>
      <c r="BB23" s="13">
        <f>3.56/3.03</f>
        <v>1.174917492</v>
      </c>
      <c r="BC23" s="10">
        <v>2.0</v>
      </c>
      <c r="BD23" s="10">
        <v>0.0</v>
      </c>
      <c r="BE23" s="10"/>
      <c r="BF23" s="9">
        <v>0.0</v>
      </c>
      <c r="BG23" s="9" t="s">
        <v>84</v>
      </c>
      <c r="BH23" s="9">
        <v>0.0</v>
      </c>
      <c r="BI23" s="9">
        <v>0.0</v>
      </c>
      <c r="BJ23" s="9">
        <v>0.0</v>
      </c>
      <c r="BK23" s="9">
        <v>0.0</v>
      </c>
      <c r="BL23" s="9">
        <v>0.0</v>
      </c>
      <c r="BM23" s="9">
        <v>0.0</v>
      </c>
      <c r="BN23" s="9">
        <v>0.0</v>
      </c>
      <c r="BO23" s="9">
        <v>0.0</v>
      </c>
      <c r="BP23" s="9" t="s">
        <v>84</v>
      </c>
      <c r="BQ23" s="9" t="s">
        <v>84</v>
      </c>
      <c r="BR23" s="9">
        <v>0.0</v>
      </c>
      <c r="BS23" s="9" t="s">
        <v>84</v>
      </c>
      <c r="BT23" s="9">
        <v>0.0</v>
      </c>
      <c r="BU23" s="9">
        <v>0.0</v>
      </c>
      <c r="BV23" s="9">
        <v>0.0</v>
      </c>
      <c r="BW23" s="10">
        <v>0.0</v>
      </c>
      <c r="BX23" s="14">
        <v>0.0</v>
      </c>
      <c r="BY23" s="9">
        <v>0.0</v>
      </c>
      <c r="BZ23" s="9">
        <v>0.0</v>
      </c>
      <c r="CA23" s="9">
        <v>0.0</v>
      </c>
      <c r="CB23" s="9">
        <v>0.0</v>
      </c>
      <c r="CC23" s="15" t="s">
        <v>111</v>
      </c>
      <c r="CD23" s="17"/>
    </row>
    <row r="24" ht="15.75" customHeight="1">
      <c r="A24" s="9">
        <v>23.0</v>
      </c>
      <c r="B24" s="10">
        <v>78.0</v>
      </c>
      <c r="C24" s="9" t="s">
        <v>81</v>
      </c>
      <c r="D24" s="11" t="s">
        <v>82</v>
      </c>
      <c r="E24" s="9" t="s">
        <v>96</v>
      </c>
      <c r="F24" s="12">
        <v>187.96</v>
      </c>
      <c r="G24" s="12">
        <v>102.6</v>
      </c>
      <c r="H24" s="12">
        <f t="shared" si="2"/>
        <v>29.04132908</v>
      </c>
      <c r="I24" s="9">
        <v>1.0</v>
      </c>
      <c r="J24" s="9">
        <v>4.0</v>
      </c>
      <c r="K24" s="9">
        <v>3.0</v>
      </c>
      <c r="L24" s="9">
        <v>1.0</v>
      </c>
      <c r="M24" s="9">
        <v>147.0</v>
      </c>
      <c r="N24" s="9">
        <v>0.0</v>
      </c>
      <c r="O24" s="9">
        <v>147.0</v>
      </c>
      <c r="P24" s="9">
        <v>0.0</v>
      </c>
      <c r="Q24" s="9">
        <v>22.0</v>
      </c>
      <c r="R24" s="9">
        <v>0.0</v>
      </c>
      <c r="S24" s="12">
        <v>97.8</v>
      </c>
      <c r="T24" s="9">
        <v>0.0</v>
      </c>
      <c r="U24" s="9">
        <v>97.0</v>
      </c>
      <c r="V24" s="9">
        <v>1.0</v>
      </c>
      <c r="W24" s="9">
        <v>0.0</v>
      </c>
      <c r="X24" s="9">
        <v>1.0</v>
      </c>
      <c r="Y24" s="9">
        <v>0.0</v>
      </c>
      <c r="Z24" s="9">
        <v>0.0</v>
      </c>
      <c r="AA24" s="9">
        <v>0.0</v>
      </c>
      <c r="AB24" s="9">
        <v>0.0</v>
      </c>
      <c r="AC24" s="9">
        <v>0.0</v>
      </c>
      <c r="AD24" s="9">
        <v>0.0</v>
      </c>
      <c r="AE24" s="9">
        <v>0.0</v>
      </c>
      <c r="AF24" s="9">
        <v>0.0</v>
      </c>
      <c r="AG24" s="9">
        <v>0.0</v>
      </c>
      <c r="AH24" s="9">
        <v>0.0</v>
      </c>
      <c r="AI24" s="9">
        <v>0.0</v>
      </c>
      <c r="AJ24" s="9">
        <v>0.0</v>
      </c>
      <c r="AK24" s="9">
        <v>0.0</v>
      </c>
      <c r="AL24" s="9">
        <v>0.0</v>
      </c>
      <c r="AM24" s="9">
        <v>0.0</v>
      </c>
      <c r="AN24" s="9">
        <v>0.0</v>
      </c>
      <c r="AO24" s="9">
        <v>1.0</v>
      </c>
      <c r="AP24" s="9">
        <v>1.0</v>
      </c>
      <c r="AQ24" s="9">
        <v>1.0</v>
      </c>
      <c r="AR24" s="9">
        <v>0.0</v>
      </c>
      <c r="AS24" s="9">
        <v>0.0</v>
      </c>
      <c r="AT24" s="9">
        <v>0.0</v>
      </c>
      <c r="AU24" s="9">
        <v>0.0</v>
      </c>
      <c r="AV24" s="9">
        <v>0.0</v>
      </c>
      <c r="AW24" s="9" t="s">
        <v>97</v>
      </c>
      <c r="AX24" s="13">
        <f>3.85/4.06</f>
        <v>0.9482758621</v>
      </c>
      <c r="AY24" s="10">
        <v>0.0</v>
      </c>
      <c r="AZ24" s="10">
        <v>0.0</v>
      </c>
      <c r="BA24" s="10">
        <v>1.0</v>
      </c>
      <c r="BB24" s="13">
        <f>3.08/3.32</f>
        <v>0.9277108434</v>
      </c>
      <c r="BC24" s="10">
        <v>2.0</v>
      </c>
      <c r="BD24" s="10">
        <v>0.0</v>
      </c>
      <c r="BE24" s="10"/>
      <c r="BF24" s="9">
        <v>1.0</v>
      </c>
      <c r="BG24" s="15" t="s">
        <v>112</v>
      </c>
      <c r="BH24" s="9">
        <v>1.0</v>
      </c>
      <c r="BI24" s="9">
        <v>0.0</v>
      </c>
      <c r="BJ24" s="9">
        <v>1.0</v>
      </c>
      <c r="BK24" s="9">
        <v>1.0</v>
      </c>
      <c r="BL24" s="9">
        <v>0.0</v>
      </c>
      <c r="BM24" s="9">
        <v>0.0</v>
      </c>
      <c r="BN24" s="9">
        <v>0.0</v>
      </c>
      <c r="BO24" s="9">
        <v>0.0</v>
      </c>
      <c r="BP24" s="9" t="s">
        <v>84</v>
      </c>
      <c r="BQ24" s="9" t="s">
        <v>84</v>
      </c>
      <c r="BR24" s="9">
        <v>0.0</v>
      </c>
      <c r="BS24" s="9" t="s">
        <v>84</v>
      </c>
      <c r="BT24" s="9">
        <v>0.0</v>
      </c>
      <c r="BU24" s="9">
        <v>0.0</v>
      </c>
      <c r="BV24" s="9">
        <v>1.0</v>
      </c>
      <c r="BW24" s="10" t="s">
        <v>84</v>
      </c>
      <c r="BX24" s="14" t="s">
        <v>84</v>
      </c>
      <c r="BY24" s="9" t="s">
        <v>84</v>
      </c>
      <c r="BZ24" s="9" t="s">
        <v>84</v>
      </c>
      <c r="CA24" s="9">
        <v>0.0</v>
      </c>
      <c r="CB24" s="9">
        <v>0.0</v>
      </c>
      <c r="CC24" s="15" t="s">
        <v>113</v>
      </c>
      <c r="CD24" s="17"/>
    </row>
    <row r="25" ht="15.75" customHeight="1">
      <c r="A25" s="9">
        <v>24.0</v>
      </c>
      <c r="B25" s="10">
        <v>53.0</v>
      </c>
      <c r="C25" s="9" t="s">
        <v>81</v>
      </c>
      <c r="D25" s="11" t="s">
        <v>82</v>
      </c>
      <c r="E25" s="9" t="s">
        <v>83</v>
      </c>
      <c r="F25" s="12">
        <v>175.26</v>
      </c>
      <c r="G25" s="12">
        <v>96.16</v>
      </c>
      <c r="H25" s="12">
        <f t="shared" si="2"/>
        <v>31.30609076</v>
      </c>
      <c r="I25" s="9">
        <v>1.0</v>
      </c>
      <c r="J25" s="9">
        <v>3.0</v>
      </c>
      <c r="K25" s="9">
        <v>2.0</v>
      </c>
      <c r="L25" s="9">
        <v>1.0</v>
      </c>
      <c r="M25" s="9">
        <v>114.0</v>
      </c>
      <c r="N25" s="9">
        <v>0.0</v>
      </c>
      <c r="O25" s="9">
        <v>155.0</v>
      </c>
      <c r="P25" s="9">
        <v>0.0</v>
      </c>
      <c r="Q25" s="9">
        <v>17.0</v>
      </c>
      <c r="R25" s="9">
        <v>0.0</v>
      </c>
      <c r="S25" s="12">
        <v>97.5</v>
      </c>
      <c r="T25" s="9">
        <v>0.0</v>
      </c>
      <c r="U25" s="9">
        <v>96.0</v>
      </c>
      <c r="V25" s="9">
        <v>0.0</v>
      </c>
      <c r="W25" s="9">
        <v>0.0</v>
      </c>
      <c r="X25" s="9">
        <v>0.0</v>
      </c>
      <c r="Y25" s="9">
        <v>0.0</v>
      </c>
      <c r="Z25" s="9">
        <v>0.0</v>
      </c>
      <c r="AA25" s="9">
        <v>0.0</v>
      </c>
      <c r="AB25" s="9">
        <v>0.0</v>
      </c>
      <c r="AC25" s="9">
        <v>0.0</v>
      </c>
      <c r="AD25" s="9">
        <v>0.0</v>
      </c>
      <c r="AE25" s="9">
        <v>0.0</v>
      </c>
      <c r="AF25" s="9">
        <v>0.0</v>
      </c>
      <c r="AG25" s="9">
        <v>0.0</v>
      </c>
      <c r="AH25" s="9">
        <v>0.0</v>
      </c>
      <c r="AI25" s="9">
        <v>0.0</v>
      </c>
      <c r="AJ25" s="9">
        <v>0.0</v>
      </c>
      <c r="AK25" s="9">
        <v>0.0</v>
      </c>
      <c r="AL25" s="9">
        <v>0.0</v>
      </c>
      <c r="AM25" s="9">
        <v>0.0</v>
      </c>
      <c r="AN25" s="9">
        <v>0.0</v>
      </c>
      <c r="AO25" s="9">
        <v>0.0</v>
      </c>
      <c r="AP25" s="9" t="s">
        <v>84</v>
      </c>
      <c r="AQ25" s="9">
        <v>1.0</v>
      </c>
      <c r="AR25" s="9">
        <v>0.0</v>
      </c>
      <c r="AS25" s="9">
        <v>1.0</v>
      </c>
      <c r="AT25" s="9">
        <v>0.0</v>
      </c>
      <c r="AU25" s="9">
        <v>0.0</v>
      </c>
      <c r="AV25" s="9">
        <v>0.0</v>
      </c>
      <c r="AW25" s="9" t="s">
        <v>97</v>
      </c>
      <c r="AX25" s="13">
        <f>4.57/4.64</f>
        <v>0.9849137931</v>
      </c>
      <c r="AY25" s="10">
        <v>0.0</v>
      </c>
      <c r="AZ25" s="10">
        <v>0.0</v>
      </c>
      <c r="BA25" s="10">
        <v>1.0</v>
      </c>
      <c r="BB25" s="13">
        <f>3.2/3.37</f>
        <v>0.9495548961</v>
      </c>
      <c r="BC25" s="10">
        <v>1.0</v>
      </c>
      <c r="BD25" s="10">
        <v>0.0</v>
      </c>
      <c r="BE25" s="10"/>
      <c r="BF25" s="9">
        <v>0.0</v>
      </c>
      <c r="BG25" s="9" t="s">
        <v>84</v>
      </c>
      <c r="BH25" s="9">
        <v>1.0</v>
      </c>
      <c r="BI25" s="9">
        <v>0.0</v>
      </c>
      <c r="BJ25" s="9">
        <v>0.0</v>
      </c>
      <c r="BK25" s="9">
        <v>0.0</v>
      </c>
      <c r="BL25" s="9">
        <v>0.0</v>
      </c>
      <c r="BM25" s="9">
        <v>0.0</v>
      </c>
      <c r="BN25" s="9">
        <v>0.0</v>
      </c>
      <c r="BO25" s="9">
        <v>1.0</v>
      </c>
      <c r="BP25" s="9">
        <v>0.0</v>
      </c>
      <c r="BQ25" s="9">
        <v>1.0</v>
      </c>
      <c r="BR25" s="9">
        <v>1.0</v>
      </c>
      <c r="BS25" s="15" t="s">
        <v>114</v>
      </c>
      <c r="BT25" s="9">
        <v>0.0</v>
      </c>
      <c r="BU25" s="9">
        <v>0.0</v>
      </c>
      <c r="BV25" s="9">
        <v>0.0</v>
      </c>
      <c r="BW25" s="10">
        <v>0.0</v>
      </c>
      <c r="BX25" s="14">
        <v>0.0</v>
      </c>
      <c r="BY25" s="9">
        <v>0.0</v>
      </c>
      <c r="BZ25" s="9">
        <v>0.0</v>
      </c>
      <c r="CA25" s="9">
        <v>0.0</v>
      </c>
      <c r="CB25" s="9">
        <v>0.0</v>
      </c>
      <c r="CC25" s="15" t="s">
        <v>95</v>
      </c>
      <c r="CD25" s="17"/>
    </row>
    <row r="26" ht="15.75" customHeight="1">
      <c r="A26" s="9">
        <v>25.0</v>
      </c>
      <c r="B26" s="10">
        <v>69.0</v>
      </c>
      <c r="C26" s="9" t="s">
        <v>81</v>
      </c>
      <c r="D26" s="11" t="s">
        <v>82</v>
      </c>
      <c r="E26" s="9" t="s">
        <v>93</v>
      </c>
      <c r="F26" s="12">
        <v>177.8</v>
      </c>
      <c r="G26" s="12">
        <v>68.5</v>
      </c>
      <c r="H26" s="12">
        <f t="shared" si="2"/>
        <v>21.66841068</v>
      </c>
      <c r="I26" s="9">
        <v>0.0</v>
      </c>
      <c r="J26" s="9">
        <v>2.0</v>
      </c>
      <c r="K26" s="9">
        <v>1.0</v>
      </c>
      <c r="L26" s="9">
        <v>0.0</v>
      </c>
      <c r="M26" s="9">
        <v>68.0</v>
      </c>
      <c r="N26" s="9">
        <v>0.0</v>
      </c>
      <c r="O26" s="9">
        <v>124.0</v>
      </c>
      <c r="P26" s="9">
        <v>0.0</v>
      </c>
      <c r="Q26" s="9">
        <v>18.0</v>
      </c>
      <c r="R26" s="9">
        <v>0.0</v>
      </c>
      <c r="S26" s="12">
        <v>98.4</v>
      </c>
      <c r="T26" s="9">
        <v>0.0</v>
      </c>
      <c r="U26" s="9">
        <v>97.0</v>
      </c>
      <c r="V26" s="9">
        <v>0.0</v>
      </c>
      <c r="W26" s="9">
        <v>0.0</v>
      </c>
      <c r="X26" s="9">
        <v>0.0</v>
      </c>
      <c r="Y26" s="9">
        <v>0.0</v>
      </c>
      <c r="Z26" s="9">
        <v>0.0</v>
      </c>
      <c r="AA26" s="9">
        <v>0.0</v>
      </c>
      <c r="AB26" s="9">
        <v>0.0</v>
      </c>
      <c r="AC26" s="9">
        <v>0.0</v>
      </c>
      <c r="AD26" s="9">
        <v>0.0</v>
      </c>
      <c r="AE26" s="9">
        <v>0.0</v>
      </c>
      <c r="AF26" s="9">
        <v>0.0</v>
      </c>
      <c r="AG26" s="9">
        <v>0.0</v>
      </c>
      <c r="AH26" s="9">
        <v>0.0</v>
      </c>
      <c r="AI26" s="9">
        <v>0.0</v>
      </c>
      <c r="AJ26" s="9">
        <v>0.0</v>
      </c>
      <c r="AK26" s="9">
        <v>0.0</v>
      </c>
      <c r="AL26" s="9">
        <v>0.0</v>
      </c>
      <c r="AM26" s="9">
        <v>0.0</v>
      </c>
      <c r="AN26" s="9">
        <v>0.0</v>
      </c>
      <c r="AO26" s="9">
        <v>1.0</v>
      </c>
      <c r="AP26" s="9">
        <v>1.0</v>
      </c>
      <c r="AQ26" s="9">
        <v>0.0</v>
      </c>
      <c r="AR26" s="9">
        <v>0.0</v>
      </c>
      <c r="AS26" s="9">
        <v>0.0</v>
      </c>
      <c r="AT26" s="9">
        <v>0.0</v>
      </c>
      <c r="AU26" s="9">
        <v>0.0</v>
      </c>
      <c r="AV26" s="9">
        <v>0.0</v>
      </c>
      <c r="AW26" s="9">
        <v>23.8</v>
      </c>
      <c r="AX26" s="13">
        <f>3.89/3.66</f>
        <v>1.06284153</v>
      </c>
      <c r="AY26" s="10">
        <v>0.0</v>
      </c>
      <c r="AZ26" s="10">
        <v>0.0</v>
      </c>
      <c r="BA26" s="10">
        <v>1.0</v>
      </c>
      <c r="BB26" s="13">
        <f>3.4/3.61</f>
        <v>0.9418282548</v>
      </c>
      <c r="BC26" s="10">
        <v>1.0</v>
      </c>
      <c r="BD26" s="10">
        <v>1.0</v>
      </c>
      <c r="BE26" s="10"/>
      <c r="BF26" s="9">
        <v>0.0</v>
      </c>
      <c r="BG26" s="9" t="s">
        <v>84</v>
      </c>
      <c r="BH26" s="9">
        <v>1.0</v>
      </c>
      <c r="BI26" s="9">
        <v>0.0</v>
      </c>
      <c r="BJ26" s="9">
        <v>0.0</v>
      </c>
      <c r="BK26" s="9">
        <v>0.0</v>
      </c>
      <c r="BL26" s="9">
        <v>0.0</v>
      </c>
      <c r="BM26" s="9">
        <v>0.0</v>
      </c>
      <c r="BN26" s="9">
        <v>0.0</v>
      </c>
      <c r="BO26" s="9">
        <v>0.0</v>
      </c>
      <c r="BP26" s="9" t="s">
        <v>84</v>
      </c>
      <c r="BQ26" s="9" t="s">
        <v>84</v>
      </c>
      <c r="BR26" s="9">
        <v>0.0</v>
      </c>
      <c r="BS26" s="9" t="s">
        <v>84</v>
      </c>
      <c r="BT26" s="9">
        <v>0.0</v>
      </c>
      <c r="BU26" s="9">
        <v>0.0</v>
      </c>
      <c r="BV26" s="9">
        <v>0.0</v>
      </c>
      <c r="BW26" s="10">
        <v>0.0</v>
      </c>
      <c r="BX26" s="14">
        <v>0.0</v>
      </c>
      <c r="BY26" s="9">
        <v>0.0</v>
      </c>
      <c r="BZ26" s="9">
        <v>0.0</v>
      </c>
      <c r="CA26" s="9">
        <v>0.0</v>
      </c>
      <c r="CB26" s="9">
        <v>0.0</v>
      </c>
      <c r="CC26" s="15" t="s">
        <v>101</v>
      </c>
      <c r="CD26" s="17"/>
    </row>
    <row r="27" ht="15.75" customHeight="1">
      <c r="A27" s="9">
        <v>26.0</v>
      </c>
      <c r="B27" s="10">
        <v>65.0</v>
      </c>
      <c r="C27" s="9" t="s">
        <v>81</v>
      </c>
      <c r="D27" s="11" t="s">
        <v>88</v>
      </c>
      <c r="E27" s="9" t="s">
        <v>83</v>
      </c>
      <c r="F27" s="12">
        <v>185.42000000000002</v>
      </c>
      <c r="G27" s="12">
        <v>113.5</v>
      </c>
      <c r="H27" s="12">
        <f t="shared" si="2"/>
        <v>33.01282639</v>
      </c>
      <c r="I27" s="9">
        <v>1.0</v>
      </c>
      <c r="J27" s="9">
        <v>3.0</v>
      </c>
      <c r="K27" s="9">
        <v>2.0</v>
      </c>
      <c r="L27" s="9">
        <v>0.0</v>
      </c>
      <c r="M27" s="9">
        <v>74.0</v>
      </c>
      <c r="N27" s="9">
        <v>0.0</v>
      </c>
      <c r="O27" s="9">
        <v>142.0</v>
      </c>
      <c r="P27" s="9">
        <v>0.0</v>
      </c>
      <c r="Q27" s="9">
        <v>24.0</v>
      </c>
      <c r="R27" s="9">
        <v>0.0</v>
      </c>
      <c r="S27" s="12">
        <v>98.3</v>
      </c>
      <c r="T27" s="9">
        <v>0.0</v>
      </c>
      <c r="U27" s="9">
        <v>96.0</v>
      </c>
      <c r="V27" s="9">
        <v>0.0</v>
      </c>
      <c r="W27" s="9">
        <v>0.0</v>
      </c>
      <c r="X27" s="9">
        <v>0.0</v>
      </c>
      <c r="Y27" s="9">
        <v>0.0</v>
      </c>
      <c r="Z27" s="9">
        <v>0.0</v>
      </c>
      <c r="AA27" s="9">
        <v>0.0</v>
      </c>
      <c r="AB27" s="9">
        <v>0.0</v>
      </c>
      <c r="AC27" s="9">
        <v>1.0</v>
      </c>
      <c r="AD27" s="9">
        <v>0.0</v>
      </c>
      <c r="AE27" s="9">
        <v>0.0</v>
      </c>
      <c r="AF27" s="9">
        <v>0.0</v>
      </c>
      <c r="AG27" s="9">
        <v>0.0</v>
      </c>
      <c r="AH27" s="9">
        <v>0.0</v>
      </c>
      <c r="AI27" s="9">
        <v>0.0</v>
      </c>
      <c r="AJ27" s="9">
        <v>0.0</v>
      </c>
      <c r="AK27" s="9">
        <v>0.0</v>
      </c>
      <c r="AL27" s="9">
        <v>1.0</v>
      </c>
      <c r="AM27" s="9">
        <v>0.0</v>
      </c>
      <c r="AN27" s="9">
        <v>0.0</v>
      </c>
      <c r="AO27" s="9">
        <v>1.0</v>
      </c>
      <c r="AP27" s="9">
        <v>1.0</v>
      </c>
      <c r="AQ27" s="9">
        <v>0.0</v>
      </c>
      <c r="AR27" s="9">
        <v>0.0</v>
      </c>
      <c r="AS27" s="9">
        <v>1.0</v>
      </c>
      <c r="AT27" s="9">
        <v>1.0</v>
      </c>
      <c r="AU27" s="9">
        <v>1.0</v>
      </c>
      <c r="AV27" s="9">
        <v>0.0</v>
      </c>
      <c r="AW27" s="9">
        <v>42.7</v>
      </c>
      <c r="AX27" s="13">
        <f>3.73/3.66</f>
        <v>1.019125683</v>
      </c>
      <c r="AY27" s="10">
        <v>0.0</v>
      </c>
      <c r="AZ27" s="10">
        <v>0.0</v>
      </c>
      <c r="BA27" s="10">
        <v>1.0</v>
      </c>
      <c r="BB27" s="13">
        <f>2.91/4.3</f>
        <v>0.676744186</v>
      </c>
      <c r="BC27" s="10">
        <v>2.0</v>
      </c>
      <c r="BD27" s="10">
        <v>1.0</v>
      </c>
      <c r="BE27" s="10"/>
      <c r="BF27" s="9">
        <v>0.0</v>
      </c>
      <c r="BG27" s="9" t="s">
        <v>84</v>
      </c>
      <c r="BH27" s="9">
        <v>0.0</v>
      </c>
      <c r="BI27" s="9">
        <v>0.0</v>
      </c>
      <c r="BJ27" s="9">
        <v>0.0</v>
      </c>
      <c r="BK27" s="9">
        <v>0.0</v>
      </c>
      <c r="BL27" s="9">
        <v>0.0</v>
      </c>
      <c r="BM27" s="9">
        <v>0.0</v>
      </c>
      <c r="BN27" s="9">
        <v>0.0</v>
      </c>
      <c r="BO27" s="9">
        <v>0.0</v>
      </c>
      <c r="BP27" s="9" t="s">
        <v>84</v>
      </c>
      <c r="BQ27" s="9" t="s">
        <v>84</v>
      </c>
      <c r="BR27" s="9">
        <v>0.0</v>
      </c>
      <c r="BS27" s="9" t="s">
        <v>84</v>
      </c>
      <c r="BT27" s="9">
        <v>0.0</v>
      </c>
      <c r="BU27" s="9">
        <v>0.0</v>
      </c>
      <c r="BV27" s="9">
        <v>0.0</v>
      </c>
      <c r="BW27" s="10">
        <v>0.0</v>
      </c>
      <c r="BX27" s="14">
        <v>0.0</v>
      </c>
      <c r="BY27" s="9">
        <v>0.0</v>
      </c>
      <c r="BZ27" s="9">
        <v>0.0</v>
      </c>
      <c r="CA27" s="9">
        <v>0.0</v>
      </c>
      <c r="CB27" s="9">
        <v>0.0</v>
      </c>
      <c r="CC27" s="15" t="s">
        <v>101</v>
      </c>
      <c r="CD27" s="17"/>
    </row>
    <row r="28" ht="15.75" customHeight="1">
      <c r="A28" s="9">
        <v>27.0</v>
      </c>
      <c r="B28" s="10">
        <v>55.0</v>
      </c>
      <c r="C28" s="9" t="s">
        <v>81</v>
      </c>
      <c r="D28" s="11" t="s">
        <v>82</v>
      </c>
      <c r="E28" s="9" t="s">
        <v>96</v>
      </c>
      <c r="F28" s="12">
        <v>172.72</v>
      </c>
      <c r="G28" s="12">
        <v>87.0</v>
      </c>
      <c r="H28" s="12">
        <f t="shared" si="2"/>
        <v>29.16312061</v>
      </c>
      <c r="I28" s="9">
        <v>0.0</v>
      </c>
      <c r="J28" s="9">
        <v>2.0</v>
      </c>
      <c r="K28" s="9">
        <v>2.0</v>
      </c>
      <c r="L28" s="9">
        <v>0.0</v>
      </c>
      <c r="M28" s="9">
        <v>98.0</v>
      </c>
      <c r="N28" s="9">
        <v>0.0</v>
      </c>
      <c r="O28" s="9">
        <v>112.0</v>
      </c>
      <c r="P28" s="9">
        <v>0.0</v>
      </c>
      <c r="Q28" s="9">
        <v>20.0</v>
      </c>
      <c r="R28" s="9">
        <v>0.0</v>
      </c>
      <c r="S28" s="12">
        <v>98.1</v>
      </c>
      <c r="T28" s="9">
        <v>0.0</v>
      </c>
      <c r="U28" s="9">
        <v>94.0</v>
      </c>
      <c r="V28" s="9">
        <v>0.0</v>
      </c>
      <c r="W28" s="9">
        <v>0.0</v>
      </c>
      <c r="X28" s="9">
        <v>0.0</v>
      </c>
      <c r="Y28" s="9">
        <v>0.0</v>
      </c>
      <c r="Z28" s="9">
        <v>0.0</v>
      </c>
      <c r="AA28" s="9">
        <v>0.0</v>
      </c>
      <c r="AB28" s="9">
        <v>0.0</v>
      </c>
      <c r="AC28" s="9">
        <v>0.0</v>
      </c>
      <c r="AD28" s="9">
        <v>0.0</v>
      </c>
      <c r="AE28" s="9">
        <v>0.0</v>
      </c>
      <c r="AF28" s="9">
        <v>0.0</v>
      </c>
      <c r="AG28" s="9">
        <v>1.0</v>
      </c>
      <c r="AH28" s="9">
        <v>0.0</v>
      </c>
      <c r="AI28" s="9">
        <v>0.0</v>
      </c>
      <c r="AJ28" s="9">
        <v>0.0</v>
      </c>
      <c r="AK28" s="9">
        <v>0.0</v>
      </c>
      <c r="AL28" s="9">
        <v>0.0</v>
      </c>
      <c r="AM28" s="9">
        <v>0.0</v>
      </c>
      <c r="AN28" s="9">
        <v>0.0</v>
      </c>
      <c r="AO28" s="9">
        <v>1.0</v>
      </c>
      <c r="AP28" s="9">
        <v>1.0</v>
      </c>
      <c r="AQ28" s="9">
        <v>1.0</v>
      </c>
      <c r="AR28" s="9">
        <v>1.0</v>
      </c>
      <c r="AS28" s="9">
        <v>1.0</v>
      </c>
      <c r="AT28" s="9">
        <v>1.0</v>
      </c>
      <c r="AU28" s="9">
        <v>1.0</v>
      </c>
      <c r="AV28" s="9">
        <v>0.0</v>
      </c>
      <c r="AW28" s="9" t="s">
        <v>97</v>
      </c>
      <c r="AX28" s="13">
        <f>5/4.83</f>
        <v>1.035196687</v>
      </c>
      <c r="AY28" s="10">
        <v>0.0</v>
      </c>
      <c r="AZ28" s="10">
        <v>0.0</v>
      </c>
      <c r="BA28" s="10">
        <v>1.0</v>
      </c>
      <c r="BB28" s="13">
        <f>3.12/3.01</f>
        <v>1.03654485</v>
      </c>
      <c r="BC28" s="10">
        <v>4.0</v>
      </c>
      <c r="BD28" s="10">
        <v>1.0</v>
      </c>
      <c r="BE28" s="10"/>
      <c r="BF28" s="9">
        <v>1.0</v>
      </c>
      <c r="BG28" s="15" t="s">
        <v>115</v>
      </c>
      <c r="BH28" s="9">
        <v>1.0</v>
      </c>
      <c r="BI28" s="9">
        <v>0.0</v>
      </c>
      <c r="BJ28" s="9">
        <v>0.0</v>
      </c>
      <c r="BK28" s="9">
        <v>0.0</v>
      </c>
      <c r="BL28" s="9">
        <v>0.0</v>
      </c>
      <c r="BM28" s="9">
        <v>0.0</v>
      </c>
      <c r="BN28" s="9">
        <v>0.0</v>
      </c>
      <c r="BO28" s="9">
        <v>1.0</v>
      </c>
      <c r="BP28" s="9">
        <v>0.0</v>
      </c>
      <c r="BQ28" s="9">
        <v>1.0</v>
      </c>
      <c r="BR28" s="9">
        <v>0.0</v>
      </c>
      <c r="BS28" s="9" t="s">
        <v>84</v>
      </c>
      <c r="BT28" s="9">
        <v>0.0</v>
      </c>
      <c r="BU28" s="9">
        <v>1.0</v>
      </c>
      <c r="BV28" s="9">
        <v>0.0</v>
      </c>
      <c r="BW28" s="10">
        <v>0.0</v>
      </c>
      <c r="BX28" s="14">
        <v>0.0</v>
      </c>
      <c r="BY28" s="9">
        <v>0.0</v>
      </c>
      <c r="BZ28" s="9">
        <v>0.0</v>
      </c>
      <c r="CA28" s="9">
        <v>0.0</v>
      </c>
      <c r="CB28" s="9">
        <v>0.0</v>
      </c>
      <c r="CC28" s="15" t="s">
        <v>113</v>
      </c>
      <c r="CD28" s="17"/>
    </row>
    <row r="29" ht="15.75" customHeight="1">
      <c r="A29" s="9">
        <v>28.0</v>
      </c>
      <c r="B29" s="10">
        <v>68.0</v>
      </c>
      <c r="C29" s="9" t="s">
        <v>81</v>
      </c>
      <c r="D29" s="11" t="s">
        <v>82</v>
      </c>
      <c r="E29" s="9" t="s">
        <v>116</v>
      </c>
      <c r="F29" s="12">
        <v>182.88</v>
      </c>
      <c r="G29" s="12">
        <v>89.4</v>
      </c>
      <c r="H29" s="12">
        <f t="shared" si="2"/>
        <v>26.73037753</v>
      </c>
      <c r="I29" s="9">
        <v>0.0</v>
      </c>
      <c r="J29" s="9">
        <v>2.0</v>
      </c>
      <c r="K29" s="9">
        <v>2.0</v>
      </c>
      <c r="L29" s="9">
        <v>0.0</v>
      </c>
      <c r="M29" s="9">
        <v>108.0</v>
      </c>
      <c r="N29" s="9">
        <v>0.0</v>
      </c>
      <c r="O29" s="9">
        <v>107.0</v>
      </c>
      <c r="P29" s="9">
        <v>0.0</v>
      </c>
      <c r="Q29" s="9">
        <v>18.0</v>
      </c>
      <c r="R29" s="9">
        <v>0.0</v>
      </c>
      <c r="S29" s="12">
        <v>98.1</v>
      </c>
      <c r="T29" s="9">
        <v>0.0</v>
      </c>
      <c r="U29" s="9">
        <v>97.0</v>
      </c>
      <c r="V29" s="9">
        <v>1.0</v>
      </c>
      <c r="W29" s="9">
        <v>0.0</v>
      </c>
      <c r="X29" s="9">
        <v>1.0</v>
      </c>
      <c r="Y29" s="9">
        <v>0.0</v>
      </c>
      <c r="Z29" s="9">
        <v>0.0</v>
      </c>
      <c r="AA29" s="9">
        <v>0.0</v>
      </c>
      <c r="AB29" s="9">
        <v>0.0</v>
      </c>
      <c r="AC29" s="9">
        <v>0.0</v>
      </c>
      <c r="AD29" s="9">
        <v>0.0</v>
      </c>
      <c r="AE29" s="9">
        <v>1.0</v>
      </c>
      <c r="AF29" s="9">
        <v>0.0</v>
      </c>
      <c r="AG29" s="9">
        <v>0.0</v>
      </c>
      <c r="AH29" s="9">
        <v>0.0</v>
      </c>
      <c r="AI29" s="9">
        <v>0.0</v>
      </c>
      <c r="AJ29" s="9">
        <v>0.0</v>
      </c>
      <c r="AK29" s="9">
        <v>0.0</v>
      </c>
      <c r="AL29" s="9">
        <v>0.0</v>
      </c>
      <c r="AM29" s="9">
        <v>0.0</v>
      </c>
      <c r="AN29" s="9">
        <v>0.0</v>
      </c>
      <c r="AO29" s="9">
        <v>1.0</v>
      </c>
      <c r="AP29" s="9">
        <v>1.0</v>
      </c>
      <c r="AQ29" s="9">
        <v>0.0</v>
      </c>
      <c r="AR29" s="9">
        <v>1.0</v>
      </c>
      <c r="AS29" s="9">
        <v>1.0</v>
      </c>
      <c r="AT29" s="9">
        <v>1.0</v>
      </c>
      <c r="AU29" s="9">
        <v>1.0</v>
      </c>
      <c r="AV29" s="9">
        <v>0.0</v>
      </c>
      <c r="AW29" s="9">
        <v>45.0</v>
      </c>
      <c r="AX29" s="13">
        <f>4.04/4.13</f>
        <v>0.9782082324</v>
      </c>
      <c r="AY29" s="10">
        <v>0.0</v>
      </c>
      <c r="AZ29" s="10">
        <v>0.0</v>
      </c>
      <c r="BA29" s="10">
        <v>1.0</v>
      </c>
      <c r="BB29" s="13">
        <f>2.76/3.32</f>
        <v>0.8313253012</v>
      </c>
      <c r="BC29" s="10">
        <v>1.0</v>
      </c>
      <c r="BD29" s="10">
        <v>0.0</v>
      </c>
      <c r="BE29" s="10"/>
      <c r="BF29" s="9">
        <v>0.0</v>
      </c>
      <c r="BG29" s="9" t="s">
        <v>84</v>
      </c>
      <c r="BH29" s="9">
        <v>1.0</v>
      </c>
      <c r="BI29" s="9">
        <v>0.0</v>
      </c>
      <c r="BJ29" s="9">
        <v>0.0</v>
      </c>
      <c r="BK29" s="9">
        <v>0.0</v>
      </c>
      <c r="BL29" s="9">
        <v>0.0</v>
      </c>
      <c r="BM29" s="9">
        <v>0.0</v>
      </c>
      <c r="BN29" s="9">
        <v>0.0</v>
      </c>
      <c r="BO29" s="9">
        <v>1.0</v>
      </c>
      <c r="BP29" s="9">
        <v>0.0</v>
      </c>
      <c r="BQ29" s="9">
        <v>1.0</v>
      </c>
      <c r="BR29" s="9">
        <v>0.0</v>
      </c>
      <c r="BS29" s="9" t="s">
        <v>84</v>
      </c>
      <c r="BT29" s="9">
        <v>0.0</v>
      </c>
      <c r="BU29" s="9">
        <v>0.0</v>
      </c>
      <c r="BV29" s="9">
        <v>0.0</v>
      </c>
      <c r="BW29" s="10">
        <v>0.0</v>
      </c>
      <c r="BX29" s="14">
        <v>0.0</v>
      </c>
      <c r="BY29" s="9">
        <v>0.0</v>
      </c>
      <c r="BZ29" s="9">
        <v>0.0</v>
      </c>
      <c r="CA29" s="9">
        <v>0.0</v>
      </c>
      <c r="CB29" s="9">
        <v>0.0</v>
      </c>
      <c r="CC29" s="15" t="s">
        <v>95</v>
      </c>
      <c r="CD29" s="17"/>
    </row>
    <row r="30" ht="15.75" customHeight="1">
      <c r="A30" s="9">
        <v>29.0</v>
      </c>
      <c r="B30" s="10">
        <v>59.0</v>
      </c>
      <c r="C30" s="9" t="s">
        <v>86</v>
      </c>
      <c r="D30" s="11" t="s">
        <v>82</v>
      </c>
      <c r="E30" s="9" t="s">
        <v>93</v>
      </c>
      <c r="F30" s="12">
        <v>162.56</v>
      </c>
      <c r="G30" s="12">
        <v>73.65</v>
      </c>
      <c r="H30" s="12">
        <f t="shared" si="2"/>
        <v>27.87053914</v>
      </c>
      <c r="I30" s="9">
        <v>0.0</v>
      </c>
      <c r="J30" s="9">
        <v>1.0</v>
      </c>
      <c r="K30" s="9">
        <v>1.0</v>
      </c>
      <c r="L30" s="9">
        <v>0.0</v>
      </c>
      <c r="M30" s="9">
        <v>104.0</v>
      </c>
      <c r="N30" s="9">
        <v>0.0</v>
      </c>
      <c r="O30" s="9">
        <v>128.0</v>
      </c>
      <c r="P30" s="9">
        <v>0.0</v>
      </c>
      <c r="Q30" s="9">
        <v>18.0</v>
      </c>
      <c r="R30" s="9">
        <v>0.0</v>
      </c>
      <c r="S30" s="12">
        <v>97.5</v>
      </c>
      <c r="T30" s="9">
        <v>0.0</v>
      </c>
      <c r="U30" s="9">
        <v>97.0</v>
      </c>
      <c r="V30" s="9">
        <v>0.0</v>
      </c>
      <c r="W30" s="9">
        <v>0.0</v>
      </c>
      <c r="X30" s="9">
        <v>0.0</v>
      </c>
      <c r="Y30" s="9">
        <v>0.0</v>
      </c>
      <c r="Z30" s="9">
        <v>0.0</v>
      </c>
      <c r="AA30" s="9">
        <v>0.0</v>
      </c>
      <c r="AB30" s="9">
        <v>0.0</v>
      </c>
      <c r="AC30" s="9">
        <v>0.0</v>
      </c>
      <c r="AD30" s="9">
        <v>0.0</v>
      </c>
      <c r="AE30" s="9">
        <v>0.0</v>
      </c>
      <c r="AF30" s="9">
        <v>0.0</v>
      </c>
      <c r="AG30" s="9">
        <v>0.0</v>
      </c>
      <c r="AH30" s="9">
        <v>0.0</v>
      </c>
      <c r="AI30" s="9">
        <v>0.0</v>
      </c>
      <c r="AJ30" s="9">
        <v>0.0</v>
      </c>
      <c r="AK30" s="9">
        <v>0.0</v>
      </c>
      <c r="AL30" s="9">
        <v>1.0</v>
      </c>
      <c r="AM30" s="9">
        <v>0.0</v>
      </c>
      <c r="AN30" s="9">
        <v>0.0</v>
      </c>
      <c r="AO30" s="9">
        <v>1.0</v>
      </c>
      <c r="AP30" s="9">
        <v>1.0</v>
      </c>
      <c r="AQ30" s="9">
        <v>0.0</v>
      </c>
      <c r="AR30" s="9">
        <v>0.0</v>
      </c>
      <c r="AS30" s="9">
        <v>0.0</v>
      </c>
      <c r="AT30" s="9">
        <v>0.0</v>
      </c>
      <c r="AU30" s="9">
        <v>0.0</v>
      </c>
      <c r="AV30" s="9">
        <v>0.0</v>
      </c>
      <c r="AW30" s="9" t="s">
        <v>97</v>
      </c>
      <c r="AX30" s="13">
        <f>2.97/4.25</f>
        <v>0.6988235294</v>
      </c>
      <c r="AY30" s="10">
        <v>0.0</v>
      </c>
      <c r="AZ30" s="10">
        <v>0.0</v>
      </c>
      <c r="BA30" s="10">
        <v>0.0</v>
      </c>
      <c r="BB30" s="13">
        <f>2.65/3.26</f>
        <v>0.8128834356</v>
      </c>
      <c r="BC30" s="10">
        <v>1.0</v>
      </c>
      <c r="BD30" s="10">
        <v>0.0</v>
      </c>
      <c r="BE30" s="10"/>
      <c r="BF30" s="9">
        <v>0.0</v>
      </c>
      <c r="BG30" s="9" t="s">
        <v>84</v>
      </c>
      <c r="BH30" s="9">
        <v>1.0</v>
      </c>
      <c r="BI30" s="9">
        <v>0.0</v>
      </c>
      <c r="BJ30" s="9">
        <v>0.0</v>
      </c>
      <c r="BK30" s="9">
        <v>0.0</v>
      </c>
      <c r="BL30" s="9">
        <v>0.0</v>
      </c>
      <c r="BM30" s="9">
        <v>0.0</v>
      </c>
      <c r="BN30" s="9">
        <v>0.0</v>
      </c>
      <c r="BO30" s="9">
        <v>0.0</v>
      </c>
      <c r="BP30" s="9" t="s">
        <v>84</v>
      </c>
      <c r="BQ30" s="9" t="s">
        <v>84</v>
      </c>
      <c r="BR30" s="9">
        <v>0.0</v>
      </c>
      <c r="BS30" s="9" t="s">
        <v>84</v>
      </c>
      <c r="BT30" s="9">
        <v>0.0</v>
      </c>
      <c r="BU30" s="9">
        <v>0.0</v>
      </c>
      <c r="BV30" s="9">
        <v>0.0</v>
      </c>
      <c r="BW30" s="10">
        <v>0.0</v>
      </c>
      <c r="BX30" s="14">
        <v>0.0</v>
      </c>
      <c r="BY30" s="9">
        <v>0.0</v>
      </c>
      <c r="BZ30" s="9">
        <v>0.0</v>
      </c>
      <c r="CA30" s="9">
        <v>0.0</v>
      </c>
      <c r="CB30" s="9">
        <v>0.0</v>
      </c>
      <c r="CC30" s="15" t="s">
        <v>117</v>
      </c>
      <c r="CD30" s="17"/>
    </row>
    <row r="31" ht="15.75" customHeight="1">
      <c r="A31" s="9">
        <v>30.0</v>
      </c>
      <c r="B31" s="10">
        <v>62.0</v>
      </c>
      <c r="C31" s="9" t="s">
        <v>81</v>
      </c>
      <c r="D31" s="11" t="s">
        <v>82</v>
      </c>
      <c r="E31" s="9" t="s">
        <v>99</v>
      </c>
      <c r="F31" s="12">
        <v>165.1</v>
      </c>
      <c r="G31" s="12">
        <v>88.5</v>
      </c>
      <c r="H31" s="12">
        <f t="shared" si="2"/>
        <v>32.46752056</v>
      </c>
      <c r="I31" s="9">
        <v>0.0</v>
      </c>
      <c r="J31" s="9">
        <v>2.0</v>
      </c>
      <c r="K31" s="9">
        <v>2.0</v>
      </c>
      <c r="L31" s="9">
        <v>0.0</v>
      </c>
      <c r="M31" s="9">
        <v>102.0</v>
      </c>
      <c r="N31" s="9">
        <v>0.0</v>
      </c>
      <c r="O31" s="9">
        <v>133.0</v>
      </c>
      <c r="P31" s="9">
        <v>0.0</v>
      </c>
      <c r="Q31" s="9">
        <v>18.0</v>
      </c>
      <c r="R31" s="9">
        <v>0.0</v>
      </c>
      <c r="S31" s="12">
        <v>98.5</v>
      </c>
      <c r="T31" s="9">
        <v>0.0</v>
      </c>
      <c r="U31" s="9">
        <v>98.0</v>
      </c>
      <c r="V31" s="9">
        <v>0.0</v>
      </c>
      <c r="W31" s="9">
        <v>0.0</v>
      </c>
      <c r="X31" s="9">
        <v>0.0</v>
      </c>
      <c r="Y31" s="9">
        <v>0.0</v>
      </c>
      <c r="Z31" s="9">
        <v>0.0</v>
      </c>
      <c r="AA31" s="9">
        <v>0.0</v>
      </c>
      <c r="AB31" s="9">
        <v>0.0</v>
      </c>
      <c r="AC31" s="9">
        <v>0.0</v>
      </c>
      <c r="AD31" s="9">
        <v>0.0</v>
      </c>
      <c r="AE31" s="9">
        <v>0.0</v>
      </c>
      <c r="AF31" s="9">
        <v>0.0</v>
      </c>
      <c r="AG31" s="9">
        <v>0.0</v>
      </c>
      <c r="AH31" s="9">
        <v>0.0</v>
      </c>
      <c r="AI31" s="9">
        <v>0.0</v>
      </c>
      <c r="AJ31" s="9">
        <v>0.0</v>
      </c>
      <c r="AK31" s="9">
        <v>0.0</v>
      </c>
      <c r="AL31" s="9">
        <v>0.0</v>
      </c>
      <c r="AM31" s="9">
        <v>0.0</v>
      </c>
      <c r="AN31" s="9">
        <v>0.0</v>
      </c>
      <c r="AO31" s="9" t="s">
        <v>84</v>
      </c>
      <c r="AP31" s="9" t="s">
        <v>84</v>
      </c>
      <c r="AQ31" s="9" t="s">
        <v>84</v>
      </c>
      <c r="AR31" s="9">
        <v>0.0</v>
      </c>
      <c r="AS31" s="9">
        <v>1.0</v>
      </c>
      <c r="AT31" s="9">
        <v>1.0</v>
      </c>
      <c r="AU31" s="9">
        <v>1.0</v>
      </c>
      <c r="AV31" s="9">
        <v>0.0</v>
      </c>
      <c r="AW31" s="9">
        <v>51.5</v>
      </c>
      <c r="AX31" s="13">
        <f>5.35/4.19</f>
        <v>1.276849642</v>
      </c>
      <c r="AY31" s="10">
        <v>0.0</v>
      </c>
      <c r="AZ31" s="10">
        <v>0.0</v>
      </c>
      <c r="BA31" s="10">
        <v>1.0</v>
      </c>
      <c r="BB31" s="13">
        <f>2.74/2.91</f>
        <v>0.941580756</v>
      </c>
      <c r="BC31" s="10">
        <v>1.0</v>
      </c>
      <c r="BD31" s="10">
        <v>1.0</v>
      </c>
      <c r="BE31" s="10"/>
      <c r="BF31" s="9">
        <v>0.0</v>
      </c>
      <c r="BG31" s="9" t="s">
        <v>84</v>
      </c>
      <c r="BH31" s="9">
        <v>0.0</v>
      </c>
      <c r="BI31" s="9">
        <v>0.0</v>
      </c>
      <c r="BJ31" s="9">
        <v>0.0</v>
      </c>
      <c r="BK31" s="9">
        <v>0.0</v>
      </c>
      <c r="BL31" s="9">
        <v>0.0</v>
      </c>
      <c r="BM31" s="9">
        <v>0.0</v>
      </c>
      <c r="BN31" s="9">
        <v>0.0</v>
      </c>
      <c r="BO31" s="9">
        <v>0.0</v>
      </c>
      <c r="BP31" s="9" t="s">
        <v>84</v>
      </c>
      <c r="BQ31" s="9" t="s">
        <v>84</v>
      </c>
      <c r="BR31" s="9">
        <v>0.0</v>
      </c>
      <c r="BS31" s="9" t="s">
        <v>84</v>
      </c>
      <c r="BT31" s="9">
        <v>0.0</v>
      </c>
      <c r="BU31" s="9">
        <v>0.0</v>
      </c>
      <c r="BV31" s="9">
        <v>0.0</v>
      </c>
      <c r="BW31" s="10">
        <v>0.0</v>
      </c>
      <c r="BX31" s="14">
        <v>0.0</v>
      </c>
      <c r="BY31" s="9">
        <v>0.0</v>
      </c>
      <c r="BZ31" s="9">
        <v>1.0</v>
      </c>
      <c r="CA31" s="9">
        <v>0.0</v>
      </c>
      <c r="CB31" s="9">
        <v>0.0</v>
      </c>
      <c r="CC31" s="15" t="s">
        <v>95</v>
      </c>
      <c r="CD31" s="17"/>
    </row>
    <row r="32" ht="15.75" customHeight="1">
      <c r="A32" s="9">
        <v>31.0</v>
      </c>
      <c r="B32" s="10">
        <v>73.0</v>
      </c>
      <c r="C32" s="9" t="s">
        <v>81</v>
      </c>
      <c r="D32" s="11" t="s">
        <v>82</v>
      </c>
      <c r="E32" s="9" t="s">
        <v>96</v>
      </c>
      <c r="F32" s="12">
        <v>182.88</v>
      </c>
      <c r="G32" s="12">
        <v>106.6</v>
      </c>
      <c r="H32" s="12">
        <f t="shared" si="2"/>
        <v>31.87313473</v>
      </c>
      <c r="I32" s="9">
        <v>1.0</v>
      </c>
      <c r="J32" s="9">
        <v>5.0</v>
      </c>
      <c r="K32" s="9">
        <v>2.0</v>
      </c>
      <c r="L32" s="9">
        <v>1.0</v>
      </c>
      <c r="M32" s="9">
        <v>130.0</v>
      </c>
      <c r="N32" s="9">
        <v>0.0</v>
      </c>
      <c r="O32" s="9">
        <v>119.0</v>
      </c>
      <c r="P32" s="9">
        <v>0.0</v>
      </c>
      <c r="Q32" s="9">
        <v>25.0</v>
      </c>
      <c r="R32" s="9">
        <v>0.0</v>
      </c>
      <c r="S32" s="12">
        <v>97.1</v>
      </c>
      <c r="T32" s="9">
        <v>1.0</v>
      </c>
      <c r="U32" s="9" t="s">
        <v>84</v>
      </c>
      <c r="V32" s="9">
        <v>1.0</v>
      </c>
      <c r="W32" s="9">
        <v>0.0</v>
      </c>
      <c r="X32" s="9">
        <v>0.0</v>
      </c>
      <c r="Y32" s="9">
        <v>0.0</v>
      </c>
      <c r="Z32" s="9">
        <v>0.0</v>
      </c>
      <c r="AA32" s="9">
        <v>0.0</v>
      </c>
      <c r="AB32" s="9">
        <v>0.0</v>
      </c>
      <c r="AC32" s="9">
        <v>1.0</v>
      </c>
      <c r="AD32" s="9">
        <v>0.0</v>
      </c>
      <c r="AE32" s="9">
        <v>0.0</v>
      </c>
      <c r="AF32" s="9">
        <v>0.0</v>
      </c>
      <c r="AG32" s="9">
        <v>0.0</v>
      </c>
      <c r="AH32" s="9">
        <v>0.0</v>
      </c>
      <c r="AI32" s="9">
        <v>0.0</v>
      </c>
      <c r="AJ32" s="9">
        <v>0.0</v>
      </c>
      <c r="AK32" s="9">
        <v>0.0</v>
      </c>
      <c r="AL32" s="9">
        <v>0.0</v>
      </c>
      <c r="AM32" s="9">
        <v>0.0</v>
      </c>
      <c r="AN32" s="9">
        <v>0.0</v>
      </c>
      <c r="AO32" s="9">
        <v>1.0</v>
      </c>
      <c r="AP32" s="9">
        <v>1.0</v>
      </c>
      <c r="AQ32" s="9">
        <v>0.0</v>
      </c>
      <c r="AR32" s="9">
        <v>0.0</v>
      </c>
      <c r="AS32" s="9">
        <v>1.0</v>
      </c>
      <c r="AT32" s="9">
        <v>0.0</v>
      </c>
      <c r="AU32" s="9">
        <v>0.0</v>
      </c>
      <c r="AV32" s="9">
        <v>0.0</v>
      </c>
      <c r="AW32" s="9" t="s">
        <v>97</v>
      </c>
      <c r="AX32" s="13">
        <f>5.97/4.06</f>
        <v>1.47044335</v>
      </c>
      <c r="AY32" s="10">
        <v>0.0</v>
      </c>
      <c r="AZ32" s="10">
        <v>0.0</v>
      </c>
      <c r="BA32" s="10">
        <v>1.0</v>
      </c>
      <c r="BB32" s="13">
        <f>2.97/3.82</f>
        <v>0.777486911</v>
      </c>
      <c r="BC32" s="10">
        <v>3.0</v>
      </c>
      <c r="BD32" s="10">
        <v>1.0</v>
      </c>
      <c r="BE32" s="10"/>
      <c r="BF32" s="9">
        <v>0.0</v>
      </c>
      <c r="BG32" s="9" t="s">
        <v>84</v>
      </c>
      <c r="BH32" s="9">
        <v>1.0</v>
      </c>
      <c r="BI32" s="9">
        <v>0.0</v>
      </c>
      <c r="BJ32" s="9">
        <v>0.0</v>
      </c>
      <c r="BK32" s="9">
        <v>0.0</v>
      </c>
      <c r="BL32" s="9">
        <v>0.0</v>
      </c>
      <c r="BM32" s="9">
        <v>0.0</v>
      </c>
      <c r="BN32" s="9">
        <v>0.0</v>
      </c>
      <c r="BO32" s="9">
        <v>1.0</v>
      </c>
      <c r="BP32" s="9">
        <v>1.0</v>
      </c>
      <c r="BQ32" s="9">
        <v>1.0</v>
      </c>
      <c r="BR32" s="9">
        <v>0.0</v>
      </c>
      <c r="BS32" s="9" t="s">
        <v>84</v>
      </c>
      <c r="BT32" s="9">
        <v>0.0</v>
      </c>
      <c r="BU32" s="9">
        <v>0.0</v>
      </c>
      <c r="BV32" s="9">
        <v>0.0</v>
      </c>
      <c r="BW32" s="10">
        <v>0.0</v>
      </c>
      <c r="BX32" s="14">
        <v>0.0</v>
      </c>
      <c r="BY32" s="9">
        <v>0.0</v>
      </c>
      <c r="BZ32" s="9">
        <v>0.0</v>
      </c>
      <c r="CA32" s="9">
        <v>0.0</v>
      </c>
      <c r="CB32" s="9">
        <v>0.0</v>
      </c>
      <c r="CC32" s="15" t="s">
        <v>101</v>
      </c>
      <c r="CD32" s="17"/>
    </row>
    <row r="33" ht="15.75" customHeight="1">
      <c r="A33" s="9">
        <v>32.0</v>
      </c>
      <c r="B33" s="10">
        <v>55.0</v>
      </c>
      <c r="C33" s="9" t="s">
        <v>86</v>
      </c>
      <c r="D33" s="11" t="s">
        <v>88</v>
      </c>
      <c r="E33" s="9" t="s">
        <v>108</v>
      </c>
      <c r="F33" s="12">
        <v>149.86</v>
      </c>
      <c r="G33" s="12">
        <v>41.0</v>
      </c>
      <c r="H33" s="12">
        <f t="shared" si="2"/>
        <v>18.25628472</v>
      </c>
      <c r="I33" s="9">
        <v>1.0</v>
      </c>
      <c r="J33" s="9">
        <v>3.0</v>
      </c>
      <c r="K33" s="9">
        <v>3.0</v>
      </c>
      <c r="L33" s="9">
        <v>0.0</v>
      </c>
      <c r="M33" s="9">
        <v>108.0</v>
      </c>
      <c r="N33" s="9">
        <v>0.0</v>
      </c>
      <c r="O33" s="9">
        <v>101.0</v>
      </c>
      <c r="P33" s="9">
        <v>0.0</v>
      </c>
      <c r="Q33" s="9">
        <v>16.0</v>
      </c>
      <c r="R33" s="9">
        <v>0.0</v>
      </c>
      <c r="S33" s="12">
        <v>98.4</v>
      </c>
      <c r="T33" s="9">
        <v>0.0</v>
      </c>
      <c r="U33" s="9">
        <v>99.0</v>
      </c>
      <c r="V33" s="9">
        <v>0.0</v>
      </c>
      <c r="W33" s="9">
        <v>0.0</v>
      </c>
      <c r="X33" s="9">
        <v>0.0</v>
      </c>
      <c r="Y33" s="9">
        <v>0.0</v>
      </c>
      <c r="Z33" s="9">
        <v>1.0</v>
      </c>
      <c r="AA33" s="9">
        <v>1.0</v>
      </c>
      <c r="AB33" s="9">
        <v>0.0</v>
      </c>
      <c r="AC33" s="9">
        <v>0.0</v>
      </c>
      <c r="AD33" s="9">
        <v>0.0</v>
      </c>
      <c r="AE33" s="9">
        <v>0.0</v>
      </c>
      <c r="AF33" s="9">
        <v>0.0</v>
      </c>
      <c r="AG33" s="9">
        <v>1.0</v>
      </c>
      <c r="AH33" s="9">
        <v>0.0</v>
      </c>
      <c r="AI33" s="9">
        <v>0.0</v>
      </c>
      <c r="AJ33" s="9">
        <v>0.0</v>
      </c>
      <c r="AK33" s="9">
        <v>1.0</v>
      </c>
      <c r="AL33" s="9">
        <v>0.0</v>
      </c>
      <c r="AM33" s="9">
        <v>0.0</v>
      </c>
      <c r="AN33" s="9">
        <v>0.0</v>
      </c>
      <c r="AO33" s="9">
        <v>0.0</v>
      </c>
      <c r="AP33" s="9" t="s">
        <v>84</v>
      </c>
      <c r="AQ33" s="9" t="s">
        <v>84</v>
      </c>
      <c r="AR33" s="9" t="s">
        <v>84</v>
      </c>
      <c r="AS33" s="9">
        <v>1.0</v>
      </c>
      <c r="AT33" s="9">
        <v>1.0</v>
      </c>
      <c r="AU33" s="9">
        <v>1.0</v>
      </c>
      <c r="AV33" s="9">
        <v>0.0</v>
      </c>
      <c r="AW33" s="9">
        <v>60.3</v>
      </c>
      <c r="AX33" s="13">
        <f>3.28/3.35</f>
        <v>0.9791044776</v>
      </c>
      <c r="AY33" s="10">
        <v>0.0</v>
      </c>
      <c r="AZ33" s="10">
        <v>0.0</v>
      </c>
      <c r="BA33" s="10">
        <v>1.0</v>
      </c>
      <c r="BB33" s="13">
        <f>1.8/3.05</f>
        <v>0.5901639344</v>
      </c>
      <c r="BC33" s="10">
        <v>4.0</v>
      </c>
      <c r="BD33" s="10">
        <v>1.0</v>
      </c>
      <c r="BE33" s="10"/>
      <c r="BF33" s="9">
        <v>0.0</v>
      </c>
      <c r="BG33" s="9" t="s">
        <v>84</v>
      </c>
      <c r="BH33" s="9">
        <v>1.0</v>
      </c>
      <c r="BI33" s="9">
        <v>0.0</v>
      </c>
      <c r="BJ33" s="9">
        <v>0.0</v>
      </c>
      <c r="BK33" s="9">
        <v>1.0</v>
      </c>
      <c r="BL33" s="9">
        <v>1.0</v>
      </c>
      <c r="BM33" s="9">
        <v>1.0</v>
      </c>
      <c r="BN33" s="9">
        <v>0.0</v>
      </c>
      <c r="BO33" s="9">
        <v>0.0</v>
      </c>
      <c r="BP33" s="9" t="s">
        <v>84</v>
      </c>
      <c r="BQ33" s="9" t="s">
        <v>84</v>
      </c>
      <c r="BR33" s="9">
        <v>1.0</v>
      </c>
      <c r="BS33" s="9" t="s">
        <v>118</v>
      </c>
      <c r="BT33" s="9">
        <v>1.0</v>
      </c>
      <c r="BU33" s="9">
        <v>0.0</v>
      </c>
      <c r="BV33" s="9">
        <v>0.0</v>
      </c>
      <c r="BW33" s="10" t="s">
        <v>94</v>
      </c>
      <c r="BX33" s="14" t="s">
        <v>94</v>
      </c>
      <c r="BY33" s="9">
        <v>1.0</v>
      </c>
      <c r="BZ33" s="9">
        <v>0.0</v>
      </c>
      <c r="CA33" s="9">
        <v>0.0</v>
      </c>
      <c r="CB33" s="9">
        <v>0.0</v>
      </c>
      <c r="CC33" s="15" t="s">
        <v>104</v>
      </c>
      <c r="CD33" s="17"/>
    </row>
    <row r="34" ht="15.75" customHeight="1">
      <c r="A34" s="9">
        <v>33.0</v>
      </c>
      <c r="B34" s="10">
        <v>76.0</v>
      </c>
      <c r="C34" s="9" t="s">
        <v>86</v>
      </c>
      <c r="D34" s="11" t="s">
        <v>88</v>
      </c>
      <c r="E34" s="9" t="s">
        <v>119</v>
      </c>
      <c r="F34" s="12">
        <v>165.1</v>
      </c>
      <c r="G34" s="12">
        <v>113.4</v>
      </c>
      <c r="H34" s="12">
        <f t="shared" si="2"/>
        <v>41.60245007</v>
      </c>
      <c r="I34" s="9">
        <v>1.0</v>
      </c>
      <c r="J34" s="9">
        <v>4.0</v>
      </c>
      <c r="K34" s="9">
        <v>2.0</v>
      </c>
      <c r="L34" s="9">
        <v>1.0</v>
      </c>
      <c r="M34" s="9">
        <v>110.0</v>
      </c>
      <c r="N34" s="9">
        <v>0.0</v>
      </c>
      <c r="O34" s="9">
        <v>145.0</v>
      </c>
      <c r="P34" s="9">
        <v>0.0</v>
      </c>
      <c r="Q34" s="9">
        <v>20.0</v>
      </c>
      <c r="R34" s="9">
        <v>0.0</v>
      </c>
      <c r="S34" s="12">
        <v>98.1</v>
      </c>
      <c r="T34" s="9">
        <v>0.0</v>
      </c>
      <c r="U34" s="9">
        <v>91.0</v>
      </c>
      <c r="V34" s="9">
        <v>0.0</v>
      </c>
      <c r="W34" s="9">
        <v>0.0</v>
      </c>
      <c r="X34" s="9">
        <v>0.0</v>
      </c>
      <c r="Y34" s="9">
        <v>0.0</v>
      </c>
      <c r="Z34" s="9">
        <v>0.0</v>
      </c>
      <c r="AA34" s="9">
        <v>0.0</v>
      </c>
      <c r="AB34" s="9">
        <v>0.0</v>
      </c>
      <c r="AC34" s="9">
        <v>1.0</v>
      </c>
      <c r="AD34" s="9">
        <v>0.0</v>
      </c>
      <c r="AE34" s="9">
        <v>0.0</v>
      </c>
      <c r="AF34" s="9">
        <v>0.0</v>
      </c>
      <c r="AG34" s="9">
        <v>0.0</v>
      </c>
      <c r="AH34" s="9">
        <v>0.0</v>
      </c>
      <c r="AI34" s="9">
        <v>0.0</v>
      </c>
      <c r="AJ34" s="9">
        <v>0.0</v>
      </c>
      <c r="AK34" s="9">
        <v>0.0</v>
      </c>
      <c r="AL34" s="9">
        <v>0.0</v>
      </c>
      <c r="AM34" s="9">
        <v>0.0</v>
      </c>
      <c r="AN34" s="9">
        <v>0.0</v>
      </c>
      <c r="AO34" s="9">
        <v>1.0</v>
      </c>
      <c r="AP34" s="9">
        <v>1.0</v>
      </c>
      <c r="AQ34" s="9">
        <v>1.0</v>
      </c>
      <c r="AR34" s="9">
        <v>0.0</v>
      </c>
      <c r="AS34" s="9">
        <v>1.0</v>
      </c>
      <c r="AT34" s="9">
        <v>1.0</v>
      </c>
      <c r="AU34" s="9">
        <v>1.0</v>
      </c>
      <c r="AV34" s="9">
        <v>0.0</v>
      </c>
      <c r="AW34" s="9">
        <v>67.8</v>
      </c>
      <c r="AX34" s="13">
        <f>4.99/3.01</f>
        <v>1.657807309</v>
      </c>
      <c r="AY34" s="10">
        <v>0.0</v>
      </c>
      <c r="AZ34" s="10">
        <v>0.0</v>
      </c>
      <c r="BA34" s="10">
        <v>1.0</v>
      </c>
      <c r="BB34" s="13">
        <f>3.9/3.46</f>
        <v>1.12716763</v>
      </c>
      <c r="BC34" s="10">
        <v>2.0</v>
      </c>
      <c r="BD34" s="10">
        <v>1.0</v>
      </c>
      <c r="BE34" s="10"/>
      <c r="BF34" s="9">
        <v>0.0</v>
      </c>
      <c r="BG34" s="9" t="s">
        <v>84</v>
      </c>
      <c r="BH34" s="9">
        <v>1.0</v>
      </c>
      <c r="BI34" s="9">
        <v>0.0</v>
      </c>
      <c r="BJ34" s="9">
        <v>0.0</v>
      </c>
      <c r="BK34" s="9">
        <v>0.0</v>
      </c>
      <c r="BL34" s="9">
        <v>0.0</v>
      </c>
      <c r="BM34" s="9">
        <v>0.0</v>
      </c>
      <c r="BN34" s="9">
        <v>0.0</v>
      </c>
      <c r="BO34" s="9">
        <v>1.0</v>
      </c>
      <c r="BP34" s="9">
        <v>0.0</v>
      </c>
      <c r="BQ34" s="9">
        <v>0.0</v>
      </c>
      <c r="BR34" s="9">
        <v>0.0</v>
      </c>
      <c r="BS34" s="9" t="s">
        <v>84</v>
      </c>
      <c r="BT34" s="9">
        <v>0.0</v>
      </c>
      <c r="BU34" s="9">
        <v>0.0</v>
      </c>
      <c r="BV34" s="9">
        <v>0.0</v>
      </c>
      <c r="BW34" s="10">
        <v>0.0</v>
      </c>
      <c r="BX34" s="14">
        <v>0.0</v>
      </c>
      <c r="BY34" s="9" t="s">
        <v>84</v>
      </c>
      <c r="BZ34" s="9">
        <v>0.0</v>
      </c>
      <c r="CA34" s="9">
        <v>0.0</v>
      </c>
      <c r="CB34" s="9">
        <v>0.0</v>
      </c>
      <c r="CC34" s="15" t="s">
        <v>101</v>
      </c>
      <c r="CD34" s="17"/>
    </row>
    <row r="35" ht="15.75" customHeight="1">
      <c r="A35" s="9">
        <v>34.0</v>
      </c>
      <c r="B35" s="10">
        <v>72.0</v>
      </c>
      <c r="C35" s="9" t="s">
        <v>86</v>
      </c>
      <c r="D35" s="11" t="s">
        <v>88</v>
      </c>
      <c r="E35" s="9" t="s">
        <v>83</v>
      </c>
      <c r="F35" s="12">
        <v>160.02</v>
      </c>
      <c r="G35" s="12">
        <v>97.5</v>
      </c>
      <c r="H35" s="12">
        <f t="shared" si="2"/>
        <v>38.0764178</v>
      </c>
      <c r="I35" s="9">
        <v>1.0</v>
      </c>
      <c r="J35" s="9">
        <v>4.0</v>
      </c>
      <c r="K35" s="9">
        <v>2.0</v>
      </c>
      <c r="L35" s="9">
        <v>1.0</v>
      </c>
      <c r="M35" s="9">
        <v>110.0</v>
      </c>
      <c r="N35" s="9">
        <v>0.0</v>
      </c>
      <c r="O35" s="9">
        <v>140.0</v>
      </c>
      <c r="P35" s="9">
        <v>0.0</v>
      </c>
      <c r="Q35" s="9">
        <v>20.0</v>
      </c>
      <c r="R35" s="9">
        <v>0.0</v>
      </c>
      <c r="S35" s="12">
        <v>98.3</v>
      </c>
      <c r="T35" s="9">
        <v>1.0</v>
      </c>
      <c r="U35" s="9">
        <v>60.0</v>
      </c>
      <c r="V35" s="9">
        <v>1.0</v>
      </c>
      <c r="W35" s="9">
        <v>0.0</v>
      </c>
      <c r="X35" s="9">
        <v>0.0</v>
      </c>
      <c r="Y35" s="9">
        <v>0.0</v>
      </c>
      <c r="Z35" s="9">
        <v>0.0</v>
      </c>
      <c r="AA35" s="9">
        <v>0.0</v>
      </c>
      <c r="AB35" s="9">
        <v>0.0</v>
      </c>
      <c r="AC35" s="9">
        <v>0.0</v>
      </c>
      <c r="AD35" s="9">
        <v>0.0</v>
      </c>
      <c r="AE35" s="9">
        <v>1.0</v>
      </c>
      <c r="AF35" s="9">
        <v>0.0</v>
      </c>
      <c r="AG35" s="9">
        <v>0.0</v>
      </c>
      <c r="AH35" s="9">
        <v>0.0</v>
      </c>
      <c r="AI35" s="9">
        <v>0.0</v>
      </c>
      <c r="AJ35" s="9">
        <v>0.0</v>
      </c>
      <c r="AK35" s="9">
        <v>0.0</v>
      </c>
      <c r="AL35" s="9">
        <v>0.0</v>
      </c>
      <c r="AM35" s="9">
        <v>0.0</v>
      </c>
      <c r="AN35" s="9">
        <v>0.0</v>
      </c>
      <c r="AO35" s="9" t="s">
        <v>84</v>
      </c>
      <c r="AP35" s="9" t="s">
        <v>84</v>
      </c>
      <c r="AQ35" s="9">
        <v>0.0</v>
      </c>
      <c r="AR35" s="9">
        <v>1.0</v>
      </c>
      <c r="AS35" s="9" t="s">
        <v>84</v>
      </c>
      <c r="AT35" s="9" t="s">
        <v>84</v>
      </c>
      <c r="AU35" s="9" t="s">
        <v>84</v>
      </c>
      <c r="AV35" s="9" t="s">
        <v>84</v>
      </c>
      <c r="AW35" s="9" t="s">
        <v>84</v>
      </c>
      <c r="AX35" s="13">
        <f>5.44/4.65</f>
        <v>1.169892473</v>
      </c>
      <c r="AY35" s="10">
        <v>0.0</v>
      </c>
      <c r="AZ35" s="10">
        <v>0.0</v>
      </c>
      <c r="BA35" s="10">
        <v>1.0</v>
      </c>
      <c r="BB35" s="13">
        <f>3.94/3.78</f>
        <v>1.042328042</v>
      </c>
      <c r="BC35" s="10">
        <v>4.0</v>
      </c>
      <c r="BD35" s="10">
        <v>1.0</v>
      </c>
      <c r="BE35" s="10"/>
      <c r="BF35" s="9">
        <v>0.0</v>
      </c>
      <c r="BG35" s="9" t="s">
        <v>84</v>
      </c>
      <c r="BH35" s="9">
        <v>1.0</v>
      </c>
      <c r="BI35" s="9">
        <v>0.0</v>
      </c>
      <c r="BJ35" s="9">
        <v>0.0</v>
      </c>
      <c r="BK35" s="9">
        <v>0.0</v>
      </c>
      <c r="BL35" s="9">
        <v>0.0</v>
      </c>
      <c r="BM35" s="9">
        <v>0.0</v>
      </c>
      <c r="BN35" s="9">
        <v>0.0</v>
      </c>
      <c r="BO35" s="9">
        <v>1.0</v>
      </c>
      <c r="BP35" s="9">
        <v>1.0</v>
      </c>
      <c r="BQ35" s="9">
        <v>1.0</v>
      </c>
      <c r="BR35" s="9">
        <v>0.0</v>
      </c>
      <c r="BS35" s="9" t="s">
        <v>84</v>
      </c>
      <c r="BT35" s="9">
        <v>0.0</v>
      </c>
      <c r="BU35" s="9">
        <v>1.0</v>
      </c>
      <c r="BV35" s="9">
        <v>0.0</v>
      </c>
      <c r="BW35" s="10">
        <v>0.0</v>
      </c>
      <c r="BX35" s="14">
        <v>0.0</v>
      </c>
      <c r="BY35" s="9">
        <v>1.0</v>
      </c>
      <c r="BZ35" s="9">
        <v>0.0</v>
      </c>
      <c r="CA35" s="9">
        <v>0.0</v>
      </c>
      <c r="CB35" s="9">
        <v>0.0</v>
      </c>
      <c r="CC35" s="15" t="s">
        <v>101</v>
      </c>
      <c r="CD35" s="17"/>
    </row>
    <row r="36" ht="15.75" customHeight="1">
      <c r="A36" s="9">
        <v>35.0</v>
      </c>
      <c r="B36" s="10">
        <v>73.0</v>
      </c>
      <c r="C36" s="9" t="s">
        <v>81</v>
      </c>
      <c r="D36" s="11" t="s">
        <v>82</v>
      </c>
      <c r="E36" s="9" t="s">
        <v>99</v>
      </c>
      <c r="F36" s="12">
        <v>175.26</v>
      </c>
      <c r="G36" s="12">
        <v>77.1</v>
      </c>
      <c r="H36" s="12">
        <f t="shared" si="2"/>
        <v>25.10086936</v>
      </c>
      <c r="I36" s="9">
        <v>1.0</v>
      </c>
      <c r="J36" s="9">
        <v>4.0</v>
      </c>
      <c r="K36" s="9">
        <v>2.0</v>
      </c>
      <c r="L36" s="9">
        <v>0.0</v>
      </c>
      <c r="M36" s="9">
        <v>83.0</v>
      </c>
      <c r="N36" s="9">
        <v>0.0</v>
      </c>
      <c r="O36" s="9">
        <v>198.0</v>
      </c>
      <c r="P36" s="9">
        <v>0.0</v>
      </c>
      <c r="Q36" s="9">
        <v>17.0</v>
      </c>
      <c r="R36" s="9">
        <v>0.0</v>
      </c>
      <c r="S36" s="12">
        <v>98.1</v>
      </c>
      <c r="T36" s="9">
        <v>0.0</v>
      </c>
      <c r="U36" s="9">
        <v>98.0</v>
      </c>
      <c r="V36" s="9">
        <v>0.0</v>
      </c>
      <c r="W36" s="9">
        <v>0.0</v>
      </c>
      <c r="X36" s="9">
        <v>0.0</v>
      </c>
      <c r="Y36" s="9">
        <v>0.0</v>
      </c>
      <c r="Z36" s="9">
        <v>1.0</v>
      </c>
      <c r="AA36" s="9">
        <v>1.0</v>
      </c>
      <c r="AB36" s="9">
        <v>0.0</v>
      </c>
      <c r="AC36" s="9">
        <v>0.0</v>
      </c>
      <c r="AD36" s="9">
        <v>0.0</v>
      </c>
      <c r="AE36" s="9">
        <v>1.0</v>
      </c>
      <c r="AF36" s="9">
        <v>0.0</v>
      </c>
      <c r="AG36" s="9">
        <v>0.0</v>
      </c>
      <c r="AH36" s="9">
        <v>0.0</v>
      </c>
      <c r="AI36" s="9">
        <v>0.0</v>
      </c>
      <c r="AJ36" s="9">
        <v>0.0</v>
      </c>
      <c r="AK36" s="9">
        <v>0.0</v>
      </c>
      <c r="AL36" s="9">
        <v>0.0</v>
      </c>
      <c r="AM36" s="9">
        <v>0.0</v>
      </c>
      <c r="AN36" s="9">
        <v>0.0</v>
      </c>
      <c r="AO36" s="9">
        <v>1.0</v>
      </c>
      <c r="AP36" s="9">
        <v>1.0</v>
      </c>
      <c r="AQ36" s="9">
        <v>0.0</v>
      </c>
      <c r="AR36" s="9">
        <v>0.0</v>
      </c>
      <c r="AS36" s="9">
        <v>1.0</v>
      </c>
      <c r="AT36" s="9">
        <v>0.0</v>
      </c>
      <c r="AU36" s="9">
        <v>0.0</v>
      </c>
      <c r="AV36" s="9">
        <v>0.0</v>
      </c>
      <c r="AW36" s="9">
        <v>31.6</v>
      </c>
      <c r="AX36" s="13">
        <f>5.62/5.35</f>
        <v>1.05046729</v>
      </c>
      <c r="AY36" s="10">
        <v>0.0</v>
      </c>
      <c r="AZ36" s="10">
        <v>0.0</v>
      </c>
      <c r="BA36" s="10">
        <v>1.0</v>
      </c>
      <c r="BB36" s="13">
        <f>3.44/3.68</f>
        <v>0.9347826087</v>
      </c>
      <c r="BC36" s="10">
        <v>1.0</v>
      </c>
      <c r="BD36" s="10">
        <v>0.0</v>
      </c>
      <c r="BE36" s="10"/>
      <c r="BF36" s="9">
        <v>0.0</v>
      </c>
      <c r="BG36" s="9" t="s">
        <v>84</v>
      </c>
      <c r="BH36" s="9">
        <v>0.0</v>
      </c>
      <c r="BI36" s="9">
        <v>0.0</v>
      </c>
      <c r="BJ36" s="9">
        <v>0.0</v>
      </c>
      <c r="BK36" s="9">
        <v>0.0</v>
      </c>
      <c r="BL36" s="9">
        <v>0.0</v>
      </c>
      <c r="BM36" s="9">
        <v>0.0</v>
      </c>
      <c r="BN36" s="9">
        <v>0.0</v>
      </c>
      <c r="BO36" s="9">
        <v>0.0</v>
      </c>
      <c r="BP36" s="9" t="s">
        <v>84</v>
      </c>
      <c r="BQ36" s="9" t="s">
        <v>84</v>
      </c>
      <c r="BR36" s="9">
        <v>0.0</v>
      </c>
      <c r="BS36" s="9" t="s">
        <v>84</v>
      </c>
      <c r="BT36" s="9">
        <v>0.0</v>
      </c>
      <c r="BU36" s="9">
        <v>0.0</v>
      </c>
      <c r="BV36" s="9">
        <v>0.0</v>
      </c>
      <c r="BW36" s="10">
        <v>0.0</v>
      </c>
      <c r="BX36" s="14">
        <v>0.0</v>
      </c>
      <c r="BY36" s="9">
        <v>0.0</v>
      </c>
      <c r="BZ36" s="9">
        <v>0.0</v>
      </c>
      <c r="CA36" s="9">
        <v>0.0</v>
      </c>
      <c r="CB36" s="9">
        <v>0.0</v>
      </c>
      <c r="CC36" s="15" t="s">
        <v>104</v>
      </c>
      <c r="CD36" s="17"/>
    </row>
    <row r="37" ht="15.75" customHeight="1">
      <c r="A37" s="9">
        <v>36.0</v>
      </c>
      <c r="B37" s="10">
        <v>72.0</v>
      </c>
      <c r="C37" s="9" t="s">
        <v>86</v>
      </c>
      <c r="D37" s="11" t="s">
        <v>82</v>
      </c>
      <c r="E37" s="9" t="s">
        <v>96</v>
      </c>
      <c r="F37" s="12">
        <v>160.02</v>
      </c>
      <c r="G37" s="12">
        <v>99.5</v>
      </c>
      <c r="H37" s="12">
        <f t="shared" si="2"/>
        <v>38.85747252</v>
      </c>
      <c r="I37" s="9">
        <v>1.0</v>
      </c>
      <c r="J37" s="9">
        <v>3.0</v>
      </c>
      <c r="K37" s="9">
        <v>2.0</v>
      </c>
      <c r="L37" s="9">
        <v>1.0</v>
      </c>
      <c r="M37" s="9">
        <v>111.0</v>
      </c>
      <c r="N37" s="9">
        <v>0.0</v>
      </c>
      <c r="O37" s="9">
        <v>137.0</v>
      </c>
      <c r="P37" s="9">
        <v>0.0</v>
      </c>
      <c r="Q37" s="9">
        <v>20.0</v>
      </c>
      <c r="R37" s="9">
        <v>0.0</v>
      </c>
      <c r="S37" s="12">
        <v>97.7</v>
      </c>
      <c r="T37" s="9">
        <v>0.0</v>
      </c>
      <c r="U37" s="9">
        <v>95.0</v>
      </c>
      <c r="V37" s="9">
        <v>1.0</v>
      </c>
      <c r="W37" s="9">
        <v>0.0</v>
      </c>
      <c r="X37" s="9">
        <v>0.0</v>
      </c>
      <c r="Y37" s="9">
        <v>0.0</v>
      </c>
      <c r="Z37" s="9">
        <v>0.0</v>
      </c>
      <c r="AA37" s="9">
        <v>0.0</v>
      </c>
      <c r="AB37" s="9">
        <v>0.0</v>
      </c>
      <c r="AC37" s="9">
        <v>0.0</v>
      </c>
      <c r="AD37" s="9">
        <v>0.0</v>
      </c>
      <c r="AE37" s="9">
        <v>0.0</v>
      </c>
      <c r="AF37" s="9">
        <v>0.0</v>
      </c>
      <c r="AG37" s="9">
        <v>1.0</v>
      </c>
      <c r="AH37" s="9">
        <v>0.0</v>
      </c>
      <c r="AI37" s="9">
        <v>0.0</v>
      </c>
      <c r="AJ37" s="9">
        <v>0.0</v>
      </c>
      <c r="AK37" s="9">
        <v>0.0</v>
      </c>
      <c r="AL37" s="9">
        <v>0.0</v>
      </c>
      <c r="AM37" s="9">
        <v>0.0</v>
      </c>
      <c r="AN37" s="9">
        <v>0.0</v>
      </c>
      <c r="AO37" s="9">
        <v>1.0</v>
      </c>
      <c r="AP37" s="9">
        <v>1.0</v>
      </c>
      <c r="AQ37" s="9">
        <v>0.0</v>
      </c>
      <c r="AR37" s="9">
        <v>1.0</v>
      </c>
      <c r="AS37" s="9">
        <v>1.0</v>
      </c>
      <c r="AT37" s="9">
        <v>1.0</v>
      </c>
      <c r="AU37" s="9">
        <v>1.0</v>
      </c>
      <c r="AV37" s="9">
        <v>0.0</v>
      </c>
      <c r="AW37" s="9" t="s">
        <v>97</v>
      </c>
      <c r="AX37" s="13">
        <f>4.61/4.93</f>
        <v>0.9350912779</v>
      </c>
      <c r="AY37" s="10">
        <v>0.0</v>
      </c>
      <c r="AZ37" s="10">
        <v>1.0</v>
      </c>
      <c r="BA37" s="10">
        <v>0.0</v>
      </c>
      <c r="BB37" s="13">
        <f>3.11/2.59</f>
        <v>1.200772201</v>
      </c>
      <c r="BC37" s="10">
        <v>2.0</v>
      </c>
      <c r="BD37" s="10">
        <v>0.0</v>
      </c>
      <c r="BE37" s="10"/>
      <c r="BF37" s="9">
        <v>0.0</v>
      </c>
      <c r="BG37" s="9" t="s">
        <v>84</v>
      </c>
      <c r="BH37" s="9">
        <v>1.0</v>
      </c>
      <c r="BI37" s="9">
        <v>0.0</v>
      </c>
      <c r="BJ37" s="9">
        <v>0.0</v>
      </c>
      <c r="BK37" s="9">
        <v>0.0</v>
      </c>
      <c r="BL37" s="9">
        <v>0.0</v>
      </c>
      <c r="BM37" s="9">
        <v>0.0</v>
      </c>
      <c r="BN37" s="9">
        <v>0.0</v>
      </c>
      <c r="BO37" s="9">
        <v>0.0</v>
      </c>
      <c r="BP37" s="9" t="s">
        <v>84</v>
      </c>
      <c r="BQ37" s="9" t="s">
        <v>84</v>
      </c>
      <c r="BR37" s="9">
        <v>0.0</v>
      </c>
      <c r="BS37" s="9" t="s">
        <v>84</v>
      </c>
      <c r="BT37" s="9">
        <v>0.0</v>
      </c>
      <c r="BU37" s="9">
        <v>0.0</v>
      </c>
      <c r="BV37" s="9">
        <v>0.0</v>
      </c>
      <c r="BW37" s="10">
        <v>0.0</v>
      </c>
      <c r="BX37" s="14">
        <v>0.0</v>
      </c>
      <c r="BY37" s="9">
        <v>0.0</v>
      </c>
      <c r="BZ37" s="9">
        <v>0.0</v>
      </c>
      <c r="CA37" s="9">
        <v>0.0</v>
      </c>
      <c r="CB37" s="9">
        <v>0.0</v>
      </c>
      <c r="CC37" s="15" t="s">
        <v>113</v>
      </c>
      <c r="CD37" s="17"/>
    </row>
    <row r="38" ht="15.75" customHeight="1">
      <c r="A38" s="9">
        <v>37.0</v>
      </c>
      <c r="B38" s="10">
        <v>40.0</v>
      </c>
      <c r="C38" s="9" t="s">
        <v>81</v>
      </c>
      <c r="D38" s="11" t="s">
        <v>88</v>
      </c>
      <c r="E38" s="9" t="s">
        <v>96</v>
      </c>
      <c r="F38" s="12">
        <v>175.26</v>
      </c>
      <c r="G38" s="12">
        <v>108.9</v>
      </c>
      <c r="H38" s="12">
        <f t="shared" si="2"/>
        <v>35.45375711</v>
      </c>
      <c r="I38" s="9">
        <v>1.0</v>
      </c>
      <c r="J38" s="9">
        <v>2.0</v>
      </c>
      <c r="K38" s="9">
        <v>2.0</v>
      </c>
      <c r="L38" s="9">
        <v>1.0</v>
      </c>
      <c r="M38" s="9">
        <v>114.0</v>
      </c>
      <c r="N38" s="9">
        <v>0.0</v>
      </c>
      <c r="O38" s="9">
        <v>141.0</v>
      </c>
      <c r="P38" s="9">
        <v>0.0</v>
      </c>
      <c r="Q38" s="9">
        <v>20.0</v>
      </c>
      <c r="R38" s="9">
        <v>0.0</v>
      </c>
      <c r="S38" s="12">
        <v>98.4</v>
      </c>
      <c r="T38" s="9">
        <v>0.0</v>
      </c>
      <c r="U38" s="9">
        <v>97.0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9">
        <v>0.0</v>
      </c>
      <c r="AB38" s="9">
        <v>0.0</v>
      </c>
      <c r="AC38" s="9">
        <v>1.0</v>
      </c>
      <c r="AD38" s="9">
        <v>0.0</v>
      </c>
      <c r="AE38" s="9">
        <v>0.0</v>
      </c>
      <c r="AF38" s="9">
        <v>0.0</v>
      </c>
      <c r="AG38" s="9">
        <v>1.0</v>
      </c>
      <c r="AH38" s="9">
        <v>0.0</v>
      </c>
      <c r="AI38" s="9">
        <v>0.0</v>
      </c>
      <c r="AJ38" s="9">
        <v>0.0</v>
      </c>
      <c r="AK38" s="9">
        <v>1.0</v>
      </c>
      <c r="AL38" s="9">
        <v>0.0</v>
      </c>
      <c r="AM38" s="9">
        <v>0.0</v>
      </c>
      <c r="AN38" s="9">
        <v>0.0</v>
      </c>
      <c r="AO38" s="9">
        <v>1.0</v>
      </c>
      <c r="AP38" s="9">
        <v>0.0</v>
      </c>
      <c r="AQ38" s="9">
        <v>0.0</v>
      </c>
      <c r="AR38" s="9">
        <v>0.0</v>
      </c>
      <c r="AS38" s="9">
        <v>0.0</v>
      </c>
      <c r="AT38" s="9">
        <v>1.0</v>
      </c>
      <c r="AU38" s="9">
        <v>0.0</v>
      </c>
      <c r="AV38" s="9">
        <v>0.0</v>
      </c>
      <c r="AW38" s="9">
        <v>34.0</v>
      </c>
      <c r="AX38" s="13">
        <f>5.18/4.24</f>
        <v>1.221698113</v>
      </c>
      <c r="AY38" s="10">
        <v>0.0</v>
      </c>
      <c r="AZ38" s="10">
        <v>0.0</v>
      </c>
      <c r="BA38" s="10">
        <v>1.0</v>
      </c>
      <c r="BB38" s="13">
        <f>3.46/2.75</f>
        <v>1.258181818</v>
      </c>
      <c r="BC38" s="10">
        <v>2.0</v>
      </c>
      <c r="BD38" s="10">
        <v>1.0</v>
      </c>
      <c r="BE38" s="10"/>
      <c r="BF38" s="9">
        <v>0.0</v>
      </c>
      <c r="BG38" s="9" t="s">
        <v>84</v>
      </c>
      <c r="BH38" s="9">
        <v>1.0</v>
      </c>
      <c r="BI38" s="9">
        <v>0.0</v>
      </c>
      <c r="BJ38" s="9">
        <v>0.0</v>
      </c>
      <c r="BK38" s="9">
        <v>0.0</v>
      </c>
      <c r="BL38" s="9">
        <v>0.0</v>
      </c>
      <c r="BM38" s="9">
        <v>0.0</v>
      </c>
      <c r="BN38" s="9">
        <v>0.0</v>
      </c>
      <c r="BO38" s="9">
        <v>1.0</v>
      </c>
      <c r="BP38" s="9">
        <v>0.0</v>
      </c>
      <c r="BQ38" s="9">
        <v>0.0</v>
      </c>
      <c r="BR38" s="9">
        <v>0.0</v>
      </c>
      <c r="BS38" s="9" t="s">
        <v>84</v>
      </c>
      <c r="BT38" s="9">
        <v>0.0</v>
      </c>
      <c r="BU38" s="9">
        <v>0.0</v>
      </c>
      <c r="BV38" s="9">
        <v>0.0</v>
      </c>
      <c r="BW38" s="10">
        <v>0.0</v>
      </c>
      <c r="BX38" s="14">
        <v>0.0</v>
      </c>
      <c r="BY38" s="9">
        <v>0.0</v>
      </c>
      <c r="BZ38" s="9">
        <v>0.0</v>
      </c>
      <c r="CA38" s="9">
        <v>0.0</v>
      </c>
      <c r="CB38" s="9">
        <v>0.0</v>
      </c>
      <c r="CC38" s="15" t="s">
        <v>92</v>
      </c>
      <c r="CD38" s="17"/>
    </row>
    <row r="39" ht="15.75" customHeight="1">
      <c r="A39" s="9">
        <v>38.0</v>
      </c>
      <c r="B39" s="10">
        <v>56.0</v>
      </c>
      <c r="C39" s="9" t="s">
        <v>86</v>
      </c>
      <c r="D39" s="11" t="s">
        <v>88</v>
      </c>
      <c r="E39" s="9" t="s">
        <v>96</v>
      </c>
      <c r="F39" s="12">
        <v>167.64000000000001</v>
      </c>
      <c r="G39" s="12">
        <v>126.6</v>
      </c>
      <c r="H39" s="12">
        <f t="shared" si="2"/>
        <v>45.04829946</v>
      </c>
      <c r="I39" s="9">
        <v>1.0</v>
      </c>
      <c r="J39" s="9">
        <v>4.0</v>
      </c>
      <c r="K39" s="9">
        <v>2.0</v>
      </c>
      <c r="L39" s="9">
        <v>1.0</v>
      </c>
      <c r="M39" s="9">
        <v>124.0</v>
      </c>
      <c r="N39" s="9">
        <v>0.0</v>
      </c>
      <c r="O39" s="9">
        <v>118.0</v>
      </c>
      <c r="P39" s="9">
        <v>0.0</v>
      </c>
      <c r="Q39" s="9">
        <v>20.0</v>
      </c>
      <c r="R39" s="9">
        <v>0.0</v>
      </c>
      <c r="S39" s="12">
        <v>97.7</v>
      </c>
      <c r="T39" s="9">
        <v>1.0</v>
      </c>
      <c r="U39" s="9" t="s">
        <v>84</v>
      </c>
      <c r="V39" s="9">
        <v>1.0</v>
      </c>
      <c r="W39" s="9">
        <v>0.0</v>
      </c>
      <c r="X39" s="9">
        <v>0.0</v>
      </c>
      <c r="Y39" s="9">
        <v>0.0</v>
      </c>
      <c r="Z39" s="9">
        <v>0.0</v>
      </c>
      <c r="AA39" s="9">
        <v>0.0</v>
      </c>
      <c r="AB39" s="9">
        <v>0.0</v>
      </c>
      <c r="AC39" s="9">
        <v>1.0</v>
      </c>
      <c r="AD39" s="9">
        <v>0.0</v>
      </c>
      <c r="AE39" s="9">
        <v>0.0</v>
      </c>
      <c r="AF39" s="9">
        <v>0.0</v>
      </c>
      <c r="AG39" s="9">
        <v>0.0</v>
      </c>
      <c r="AH39" s="9">
        <v>0.0</v>
      </c>
      <c r="AI39" s="9">
        <v>0.0</v>
      </c>
      <c r="AJ39" s="9">
        <v>0.0</v>
      </c>
      <c r="AK39" s="9">
        <v>0.0</v>
      </c>
      <c r="AL39" s="9">
        <v>1.0</v>
      </c>
      <c r="AM39" s="9">
        <v>0.0</v>
      </c>
      <c r="AN39" s="9">
        <v>0.0</v>
      </c>
      <c r="AO39" s="9">
        <v>1.0</v>
      </c>
      <c r="AP39" s="9">
        <v>1.0</v>
      </c>
      <c r="AQ39" s="9">
        <v>1.0</v>
      </c>
      <c r="AR39" s="9">
        <v>1.0</v>
      </c>
      <c r="AS39" s="9">
        <v>0.0</v>
      </c>
      <c r="AT39" s="9">
        <v>0.0</v>
      </c>
      <c r="AU39" s="9">
        <v>0.0</v>
      </c>
      <c r="AV39" s="9">
        <v>1.0</v>
      </c>
      <c r="AW39" s="9" t="s">
        <v>97</v>
      </c>
      <c r="AX39" s="13">
        <f>3.99/3.77</f>
        <v>1.058355438</v>
      </c>
      <c r="AY39" s="10">
        <v>0.0</v>
      </c>
      <c r="AZ39" s="10">
        <v>0.0</v>
      </c>
      <c r="BA39" s="10">
        <v>1.0</v>
      </c>
      <c r="BB39" s="13">
        <f>3.77/3.39</f>
        <v>1.112094395</v>
      </c>
      <c r="BC39" s="10">
        <v>1.0</v>
      </c>
      <c r="BD39" s="10">
        <v>1.0</v>
      </c>
      <c r="BE39" s="10"/>
      <c r="BF39" s="9">
        <v>0.0</v>
      </c>
      <c r="BG39" s="9" t="s">
        <v>84</v>
      </c>
      <c r="BH39" s="9">
        <v>1.0</v>
      </c>
      <c r="BI39" s="9">
        <v>0.0</v>
      </c>
      <c r="BJ39" s="9">
        <v>0.0</v>
      </c>
      <c r="BK39" s="9">
        <v>0.0</v>
      </c>
      <c r="BL39" s="9">
        <v>0.0</v>
      </c>
      <c r="BM39" s="9">
        <v>0.0</v>
      </c>
      <c r="BN39" s="9">
        <v>1.0</v>
      </c>
      <c r="BO39" s="9">
        <v>0.0</v>
      </c>
      <c r="BP39" s="9">
        <v>1.0</v>
      </c>
      <c r="BQ39" s="9">
        <v>0.0</v>
      </c>
      <c r="BR39" s="9">
        <v>0.0</v>
      </c>
      <c r="BS39" s="9" t="s">
        <v>84</v>
      </c>
      <c r="BT39" s="9">
        <v>0.0</v>
      </c>
      <c r="BU39" s="9">
        <v>1.0</v>
      </c>
      <c r="BV39" s="9">
        <v>0.0</v>
      </c>
      <c r="BW39" s="10">
        <v>0.0</v>
      </c>
      <c r="BX39" s="14">
        <v>0.0</v>
      </c>
      <c r="BY39" s="9">
        <v>1.0</v>
      </c>
      <c r="BZ39" s="9">
        <v>0.0</v>
      </c>
      <c r="CA39" s="9">
        <v>0.0</v>
      </c>
      <c r="CB39" s="9">
        <v>0.0</v>
      </c>
      <c r="CC39" s="15" t="s">
        <v>95</v>
      </c>
      <c r="CD39" s="17"/>
    </row>
    <row r="40" ht="15.75" customHeight="1">
      <c r="A40" s="9">
        <v>39.0</v>
      </c>
      <c r="B40" s="10">
        <v>34.0</v>
      </c>
      <c r="C40" s="9" t="s">
        <v>86</v>
      </c>
      <c r="D40" s="11" t="s">
        <v>82</v>
      </c>
      <c r="E40" s="9" t="s">
        <v>103</v>
      </c>
      <c r="F40" s="12">
        <v>167.64000000000001</v>
      </c>
      <c r="G40" s="12">
        <v>179.0</v>
      </c>
      <c r="H40" s="12">
        <f t="shared" si="2"/>
        <v>63.69388313</v>
      </c>
      <c r="I40" s="9">
        <v>1.0</v>
      </c>
      <c r="J40" s="9">
        <v>2.0</v>
      </c>
      <c r="K40" s="9">
        <v>2.0</v>
      </c>
      <c r="L40" s="9">
        <v>1.0</v>
      </c>
      <c r="M40" s="9">
        <v>133.0</v>
      </c>
      <c r="N40" s="9">
        <v>0.0</v>
      </c>
      <c r="O40" s="9">
        <v>135.0</v>
      </c>
      <c r="P40" s="9">
        <v>1.0</v>
      </c>
      <c r="Q40" s="9">
        <v>40.0</v>
      </c>
      <c r="R40" s="9">
        <v>0.0</v>
      </c>
      <c r="S40" s="12">
        <v>97.5</v>
      </c>
      <c r="T40" s="9">
        <v>0.0</v>
      </c>
      <c r="U40" s="9">
        <v>90.0</v>
      </c>
      <c r="V40" s="9">
        <v>0.0</v>
      </c>
      <c r="W40" s="9">
        <v>0.0</v>
      </c>
      <c r="X40" s="9">
        <v>0.0</v>
      </c>
      <c r="Y40" s="9">
        <v>0.0</v>
      </c>
      <c r="Z40" s="9">
        <v>0.0</v>
      </c>
      <c r="AA40" s="9">
        <v>0.0</v>
      </c>
      <c r="AB40" s="9">
        <v>0.0</v>
      </c>
      <c r="AC40" s="9">
        <v>0.0</v>
      </c>
      <c r="AD40" s="9">
        <v>0.0</v>
      </c>
      <c r="AE40" s="9">
        <v>0.0</v>
      </c>
      <c r="AF40" s="9">
        <v>1.0</v>
      </c>
      <c r="AG40" s="9">
        <v>0.0</v>
      </c>
      <c r="AH40" s="9">
        <v>0.0</v>
      </c>
      <c r="AI40" s="9">
        <v>0.0</v>
      </c>
      <c r="AJ40" s="9">
        <v>0.0</v>
      </c>
      <c r="AK40" s="9">
        <v>0.0</v>
      </c>
      <c r="AL40" s="9">
        <v>0.0</v>
      </c>
      <c r="AM40" s="9">
        <v>0.0</v>
      </c>
      <c r="AN40" s="9">
        <v>0.0</v>
      </c>
      <c r="AO40" s="9">
        <v>0.0</v>
      </c>
      <c r="AP40" s="9" t="s">
        <v>84</v>
      </c>
      <c r="AQ40" s="9">
        <v>1.0</v>
      </c>
      <c r="AR40" s="9">
        <v>0.0</v>
      </c>
      <c r="AS40" s="9">
        <v>1.0</v>
      </c>
      <c r="AT40" s="9">
        <v>1.0</v>
      </c>
      <c r="AU40" s="9">
        <v>1.0</v>
      </c>
      <c r="AV40" s="9">
        <v>0.0</v>
      </c>
      <c r="AW40" s="9">
        <v>51.0</v>
      </c>
      <c r="AX40" s="13">
        <f>5.47/5.18</f>
        <v>1.055984556</v>
      </c>
      <c r="AY40" s="10">
        <v>0.0</v>
      </c>
      <c r="AZ40" s="10">
        <v>0.0</v>
      </c>
      <c r="BA40" s="10">
        <v>1.0</v>
      </c>
      <c r="BB40" s="13">
        <f>3.3/3.21</f>
        <v>1.028037383</v>
      </c>
      <c r="BC40" s="10">
        <v>2.0</v>
      </c>
      <c r="BD40" s="10">
        <v>1.0</v>
      </c>
      <c r="BE40" s="10"/>
      <c r="BF40" s="9">
        <v>0.0</v>
      </c>
      <c r="BG40" s="9" t="s">
        <v>84</v>
      </c>
      <c r="BH40" s="9">
        <v>0.0</v>
      </c>
      <c r="BI40" s="9">
        <v>0.0</v>
      </c>
      <c r="BJ40" s="9">
        <v>0.0</v>
      </c>
      <c r="BK40" s="9">
        <v>0.0</v>
      </c>
      <c r="BL40" s="9">
        <v>0.0</v>
      </c>
      <c r="BM40" s="9">
        <v>0.0</v>
      </c>
      <c r="BN40" s="9">
        <v>0.0</v>
      </c>
      <c r="BO40" s="9">
        <v>0.0</v>
      </c>
      <c r="BP40" s="9" t="s">
        <v>84</v>
      </c>
      <c r="BQ40" s="9" t="s">
        <v>84</v>
      </c>
      <c r="BR40" s="9">
        <v>0.0</v>
      </c>
      <c r="BS40" s="9" t="s">
        <v>84</v>
      </c>
      <c r="BT40" s="9">
        <v>0.0</v>
      </c>
      <c r="BU40" s="9">
        <v>0.0</v>
      </c>
      <c r="BV40" s="9">
        <v>0.0</v>
      </c>
      <c r="BW40" s="10">
        <v>0.0</v>
      </c>
      <c r="BX40" s="14">
        <v>0.0</v>
      </c>
      <c r="BY40" s="9">
        <v>0.0</v>
      </c>
      <c r="BZ40" s="9">
        <v>1.0</v>
      </c>
      <c r="CA40" s="9">
        <v>0.0</v>
      </c>
      <c r="CB40" s="9">
        <v>0.0</v>
      </c>
      <c r="CC40" s="15" t="s">
        <v>102</v>
      </c>
      <c r="CD40" s="15"/>
    </row>
    <row r="41" ht="15.75" customHeight="1">
      <c r="A41" s="9">
        <v>40.0</v>
      </c>
      <c r="B41" s="10">
        <v>78.0</v>
      </c>
      <c r="C41" s="9" t="s">
        <v>86</v>
      </c>
      <c r="D41" s="11" t="s">
        <v>82</v>
      </c>
      <c r="E41" s="9" t="s">
        <v>119</v>
      </c>
      <c r="F41" s="12">
        <v>167.64000000000001</v>
      </c>
      <c r="G41" s="12">
        <v>77.0</v>
      </c>
      <c r="H41" s="12">
        <f t="shared" si="2"/>
        <v>27.3990447</v>
      </c>
      <c r="I41" s="9">
        <v>0.0</v>
      </c>
      <c r="J41" s="9">
        <v>4.0</v>
      </c>
      <c r="K41" s="9">
        <v>2.0</v>
      </c>
      <c r="L41" s="9">
        <v>0.0</v>
      </c>
      <c r="M41" s="9">
        <v>78.0</v>
      </c>
      <c r="N41" s="9">
        <v>0.0</v>
      </c>
      <c r="O41" s="9">
        <v>177.0</v>
      </c>
      <c r="P41" s="9">
        <v>0.0</v>
      </c>
      <c r="Q41" s="9">
        <v>18.0</v>
      </c>
      <c r="R41" s="9">
        <v>0.0</v>
      </c>
      <c r="S41" s="12">
        <v>97.6</v>
      </c>
      <c r="T41" s="9">
        <v>0.0</v>
      </c>
      <c r="U41" s="9">
        <v>98.0</v>
      </c>
      <c r="V41" s="9">
        <v>0.0</v>
      </c>
      <c r="W41" s="9">
        <v>0.0</v>
      </c>
      <c r="X41" s="9">
        <v>0.0</v>
      </c>
      <c r="Y41" s="9">
        <v>0.0</v>
      </c>
      <c r="Z41" s="9">
        <v>0.0</v>
      </c>
      <c r="AA41" s="9">
        <v>1.0</v>
      </c>
      <c r="AB41" s="9">
        <v>0.0</v>
      </c>
      <c r="AC41" s="9">
        <v>0.0</v>
      </c>
      <c r="AD41" s="9">
        <v>0.0</v>
      </c>
      <c r="AE41" s="9">
        <v>0.0</v>
      </c>
      <c r="AF41" s="9">
        <v>0.0</v>
      </c>
      <c r="AG41" s="9">
        <v>0.0</v>
      </c>
      <c r="AH41" s="9">
        <v>0.0</v>
      </c>
      <c r="AI41" s="9">
        <v>0.0</v>
      </c>
      <c r="AJ41" s="9">
        <v>0.0</v>
      </c>
      <c r="AK41" s="9">
        <v>0.0</v>
      </c>
      <c r="AL41" s="9">
        <v>0.0</v>
      </c>
      <c r="AM41" s="9">
        <v>0.0</v>
      </c>
      <c r="AN41" s="9">
        <v>0.0</v>
      </c>
      <c r="AO41" s="9">
        <v>1.0</v>
      </c>
      <c r="AP41" s="9">
        <v>1.0</v>
      </c>
      <c r="AQ41" s="9">
        <v>1.0</v>
      </c>
      <c r="AR41" s="9">
        <v>0.0</v>
      </c>
      <c r="AS41" s="9">
        <v>1.0</v>
      </c>
      <c r="AT41" s="9">
        <v>1.0</v>
      </c>
      <c r="AU41" s="9">
        <v>1.0</v>
      </c>
      <c r="AV41" s="9">
        <v>0.0</v>
      </c>
      <c r="AW41" s="9">
        <v>45.0</v>
      </c>
      <c r="AX41" s="13">
        <f>3.87/4.54</f>
        <v>0.8524229075</v>
      </c>
      <c r="AY41" s="10">
        <v>1.0</v>
      </c>
      <c r="AZ41" s="10">
        <v>0.0</v>
      </c>
      <c r="BA41" s="10">
        <v>0.0</v>
      </c>
      <c r="BB41" s="13">
        <f>2.6/2.94</f>
        <v>0.8843537415</v>
      </c>
      <c r="BC41" s="10">
        <v>1.0</v>
      </c>
      <c r="BD41" s="10">
        <v>0.0</v>
      </c>
      <c r="BE41" s="10"/>
      <c r="BF41" s="9">
        <v>0.0</v>
      </c>
      <c r="BG41" s="9" t="s">
        <v>84</v>
      </c>
      <c r="BH41" s="9">
        <v>0.0</v>
      </c>
      <c r="BI41" s="9">
        <v>0.0</v>
      </c>
      <c r="BJ41" s="9">
        <v>0.0</v>
      </c>
      <c r="BK41" s="9">
        <v>0.0</v>
      </c>
      <c r="BL41" s="9">
        <v>0.0</v>
      </c>
      <c r="BM41" s="9">
        <v>0.0</v>
      </c>
      <c r="BN41" s="9">
        <v>0.0</v>
      </c>
      <c r="BO41" s="9">
        <v>0.0</v>
      </c>
      <c r="BP41" s="9" t="s">
        <v>84</v>
      </c>
      <c r="BQ41" s="9" t="s">
        <v>84</v>
      </c>
      <c r="BR41" s="9">
        <v>0.0</v>
      </c>
      <c r="BS41" s="9" t="s">
        <v>84</v>
      </c>
      <c r="BT41" s="9">
        <v>0.0</v>
      </c>
      <c r="BU41" s="9">
        <v>0.0</v>
      </c>
      <c r="BV41" s="9">
        <v>0.0</v>
      </c>
      <c r="BW41" s="10">
        <v>0.0</v>
      </c>
      <c r="BX41" s="14">
        <v>0.0</v>
      </c>
      <c r="BY41" s="9">
        <v>0.0</v>
      </c>
      <c r="BZ41" s="9">
        <v>0.0</v>
      </c>
      <c r="CA41" s="9">
        <v>0.0</v>
      </c>
      <c r="CB41" s="9">
        <v>0.0</v>
      </c>
      <c r="CC41" s="16" t="s">
        <v>101</v>
      </c>
      <c r="CD41" s="17"/>
    </row>
    <row r="42" ht="15.75" customHeight="1">
      <c r="A42" s="9">
        <v>41.0</v>
      </c>
      <c r="B42" s="10">
        <v>72.0</v>
      </c>
      <c r="C42" s="9" t="s">
        <v>81</v>
      </c>
      <c r="D42" s="11" t="s">
        <v>88</v>
      </c>
      <c r="E42" s="9" t="s">
        <v>103</v>
      </c>
      <c r="F42" s="12">
        <v>182.88</v>
      </c>
      <c r="G42" s="12">
        <v>98.4</v>
      </c>
      <c r="H42" s="12">
        <f t="shared" si="2"/>
        <v>29.42135514</v>
      </c>
      <c r="I42" s="9">
        <v>0.0</v>
      </c>
      <c r="J42" s="9">
        <v>2.0</v>
      </c>
      <c r="K42" s="9">
        <v>3.0</v>
      </c>
      <c r="L42" s="9">
        <v>0.0</v>
      </c>
      <c r="M42" s="9">
        <v>88.0</v>
      </c>
      <c r="N42" s="9">
        <v>0.0</v>
      </c>
      <c r="O42" s="9">
        <v>132.0</v>
      </c>
      <c r="P42" s="9">
        <v>0.0</v>
      </c>
      <c r="Q42" s="9">
        <v>15.0</v>
      </c>
      <c r="R42" s="9">
        <v>0.0</v>
      </c>
      <c r="S42" s="12">
        <v>98.3</v>
      </c>
      <c r="T42" s="9">
        <v>0.0</v>
      </c>
      <c r="U42" s="9">
        <v>96.0</v>
      </c>
      <c r="V42" s="9">
        <v>1.0</v>
      </c>
      <c r="W42" s="9">
        <v>0.0</v>
      </c>
      <c r="X42" s="9">
        <v>1.0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9">
        <v>0.0</v>
      </c>
      <c r="AE42" s="9">
        <v>1.0</v>
      </c>
      <c r="AF42" s="9">
        <v>0.0</v>
      </c>
      <c r="AG42" s="9">
        <v>0.0</v>
      </c>
      <c r="AH42" s="9">
        <v>0.0</v>
      </c>
      <c r="AI42" s="9">
        <v>0.0</v>
      </c>
      <c r="AJ42" s="9">
        <v>0.0</v>
      </c>
      <c r="AK42" s="9">
        <v>0.0</v>
      </c>
      <c r="AL42" s="9">
        <v>0.0</v>
      </c>
      <c r="AM42" s="9">
        <v>0.0</v>
      </c>
      <c r="AN42" s="9">
        <v>0.0</v>
      </c>
      <c r="AO42" s="9">
        <v>1.0</v>
      </c>
      <c r="AP42" s="9">
        <v>1.0</v>
      </c>
      <c r="AQ42" s="9">
        <v>1.0</v>
      </c>
      <c r="AR42" s="9">
        <v>1.0</v>
      </c>
      <c r="AS42" s="9">
        <v>0.0</v>
      </c>
      <c r="AT42" s="9">
        <v>1.0</v>
      </c>
      <c r="AU42" s="9">
        <v>0.0</v>
      </c>
      <c r="AV42" s="9">
        <v>0.0</v>
      </c>
      <c r="AW42" s="9">
        <v>55.0</v>
      </c>
      <c r="AX42" s="13">
        <f>4.26/4.76</f>
        <v>0.8949579832</v>
      </c>
      <c r="AY42" s="10">
        <v>1.0</v>
      </c>
      <c r="AZ42" s="10">
        <v>0.0</v>
      </c>
      <c r="BA42" s="10">
        <v>0.0</v>
      </c>
      <c r="BB42" s="13">
        <f>2.78/3.25</f>
        <v>0.8553846154</v>
      </c>
      <c r="BC42" s="10">
        <v>3.0</v>
      </c>
      <c r="BD42" s="10">
        <v>0.0</v>
      </c>
      <c r="BE42" s="10"/>
      <c r="BF42" s="9">
        <v>0.0</v>
      </c>
      <c r="BG42" s="9" t="s">
        <v>84</v>
      </c>
      <c r="BH42" s="9">
        <v>1.0</v>
      </c>
      <c r="BI42" s="9">
        <v>0.0</v>
      </c>
      <c r="BJ42" s="9">
        <v>0.0</v>
      </c>
      <c r="BK42" s="9">
        <v>1.0</v>
      </c>
      <c r="BL42" s="9">
        <v>1.0</v>
      </c>
      <c r="BM42" s="9">
        <v>1.0</v>
      </c>
      <c r="BN42" s="9">
        <v>0.0</v>
      </c>
      <c r="BO42" s="9">
        <v>0.0</v>
      </c>
      <c r="BP42" s="9" t="s">
        <v>84</v>
      </c>
      <c r="BQ42" s="9" t="s">
        <v>84</v>
      </c>
      <c r="BR42" s="9">
        <v>0.0</v>
      </c>
      <c r="BS42" s="9" t="s">
        <v>84</v>
      </c>
      <c r="BT42" s="9">
        <v>0.0</v>
      </c>
      <c r="BU42" s="9">
        <v>0.0</v>
      </c>
      <c r="BV42" s="9">
        <v>0.0</v>
      </c>
      <c r="BW42" s="10">
        <v>0.0</v>
      </c>
      <c r="BX42" s="14">
        <v>0.0</v>
      </c>
      <c r="BY42" s="9">
        <v>0.0</v>
      </c>
      <c r="BZ42" s="9">
        <v>0.0</v>
      </c>
      <c r="CA42" s="9">
        <v>0.0</v>
      </c>
      <c r="CB42" s="9">
        <v>0.0</v>
      </c>
      <c r="CC42" s="15" t="s">
        <v>101</v>
      </c>
      <c r="CD42" s="17"/>
    </row>
    <row r="43" ht="15.75" customHeight="1">
      <c r="A43" s="9">
        <v>42.0</v>
      </c>
      <c r="B43" s="10">
        <v>74.0</v>
      </c>
      <c r="C43" s="9" t="s">
        <v>86</v>
      </c>
      <c r="D43" s="11" t="s">
        <v>82</v>
      </c>
      <c r="E43" s="9" t="s">
        <v>119</v>
      </c>
      <c r="F43" s="12">
        <v>167.64000000000001</v>
      </c>
      <c r="G43" s="12">
        <v>103.0</v>
      </c>
      <c r="H43" s="12">
        <f t="shared" si="2"/>
        <v>36.65067018</v>
      </c>
      <c r="I43" s="9">
        <v>0.0</v>
      </c>
      <c r="J43" s="9">
        <v>2.0</v>
      </c>
      <c r="K43" s="9">
        <v>2.0</v>
      </c>
      <c r="L43" s="9">
        <v>0.0</v>
      </c>
      <c r="M43" s="9">
        <v>103.0</v>
      </c>
      <c r="N43" s="9">
        <v>0.0</v>
      </c>
      <c r="O43" s="9">
        <v>171.0</v>
      </c>
      <c r="P43" s="9">
        <v>0.0</v>
      </c>
      <c r="Q43" s="9">
        <v>20.0</v>
      </c>
      <c r="R43" s="9">
        <v>0.0</v>
      </c>
      <c r="S43" s="12">
        <v>98.3</v>
      </c>
      <c r="T43" s="9">
        <v>0.0</v>
      </c>
      <c r="U43" s="9">
        <v>90.0</v>
      </c>
      <c r="V43" s="9">
        <v>1.0</v>
      </c>
      <c r="W43" s="9">
        <v>0.0</v>
      </c>
      <c r="X43" s="9">
        <v>0.0</v>
      </c>
      <c r="Y43" s="9">
        <v>0.0</v>
      </c>
      <c r="Z43" s="9">
        <v>0.0</v>
      </c>
      <c r="AA43" s="9">
        <v>0.0</v>
      </c>
      <c r="AB43" s="9">
        <v>0.0</v>
      </c>
      <c r="AC43" s="9">
        <v>0.0</v>
      </c>
      <c r="AD43" s="9">
        <v>0.0</v>
      </c>
      <c r="AE43" s="9">
        <v>1.0</v>
      </c>
      <c r="AF43" s="9">
        <v>1.0</v>
      </c>
      <c r="AG43" s="9">
        <v>0.0</v>
      </c>
      <c r="AH43" s="9">
        <v>0.0</v>
      </c>
      <c r="AI43" s="9">
        <v>0.0</v>
      </c>
      <c r="AJ43" s="9">
        <v>0.0</v>
      </c>
      <c r="AK43" s="9">
        <v>1.0</v>
      </c>
      <c r="AL43" s="9">
        <v>0.0</v>
      </c>
      <c r="AM43" s="9">
        <v>0.0</v>
      </c>
      <c r="AN43" s="9">
        <v>0.0</v>
      </c>
      <c r="AO43" s="9">
        <v>1.0</v>
      </c>
      <c r="AP43" s="9">
        <v>1.0</v>
      </c>
      <c r="AQ43" s="9">
        <v>1.0</v>
      </c>
      <c r="AR43" s="9">
        <v>1.0</v>
      </c>
      <c r="AS43" s="9">
        <v>1.0</v>
      </c>
      <c r="AT43" s="9">
        <v>1.0</v>
      </c>
      <c r="AU43" s="9">
        <v>1.0</v>
      </c>
      <c r="AV43" s="9">
        <v>0.0</v>
      </c>
      <c r="AW43" s="9">
        <v>43.5</v>
      </c>
      <c r="AX43" s="13">
        <f>4.59/4.46</f>
        <v>1.029147982</v>
      </c>
      <c r="AY43" s="10">
        <v>0.0</v>
      </c>
      <c r="AZ43" s="10">
        <v>0.0</v>
      </c>
      <c r="BA43" s="10">
        <v>1.0</v>
      </c>
      <c r="BB43" s="13">
        <f>4.26/3.77</f>
        <v>1.129973475</v>
      </c>
      <c r="BC43" s="10">
        <v>2.0</v>
      </c>
      <c r="BD43" s="10">
        <v>1.0</v>
      </c>
      <c r="BE43" s="10"/>
      <c r="BF43" s="9">
        <v>0.0</v>
      </c>
      <c r="BG43" s="9" t="s">
        <v>84</v>
      </c>
      <c r="BH43" s="9">
        <v>1.0</v>
      </c>
      <c r="BI43" s="9">
        <v>0.0</v>
      </c>
      <c r="BJ43" s="9">
        <v>0.0</v>
      </c>
      <c r="BK43" s="9">
        <v>0.0</v>
      </c>
      <c r="BL43" s="9">
        <v>0.0</v>
      </c>
      <c r="BM43" s="9">
        <v>0.0</v>
      </c>
      <c r="BN43" s="9">
        <v>0.0</v>
      </c>
      <c r="BO43" s="9">
        <v>1.0</v>
      </c>
      <c r="BP43" s="9">
        <v>0.0</v>
      </c>
      <c r="BQ43" s="9">
        <v>1.0</v>
      </c>
      <c r="BR43" s="9">
        <v>0.0</v>
      </c>
      <c r="BS43" s="9" t="s">
        <v>84</v>
      </c>
      <c r="BT43" s="9">
        <v>0.0</v>
      </c>
      <c r="BU43" s="9">
        <v>1.0</v>
      </c>
      <c r="BV43" s="9">
        <v>0.0</v>
      </c>
      <c r="BW43" s="10">
        <v>0.0</v>
      </c>
      <c r="BX43" s="14">
        <v>0.0</v>
      </c>
      <c r="BY43" s="9">
        <v>0.0</v>
      </c>
      <c r="BZ43" s="9">
        <v>0.0</v>
      </c>
      <c r="CA43" s="9">
        <v>0.0</v>
      </c>
      <c r="CB43" s="9">
        <v>0.0</v>
      </c>
      <c r="CC43" s="15" t="s">
        <v>101</v>
      </c>
      <c r="CD43" s="17"/>
    </row>
    <row r="44" ht="15.75" customHeight="1">
      <c r="A44" s="9">
        <v>43.0</v>
      </c>
      <c r="B44" s="10">
        <v>68.0</v>
      </c>
      <c r="C44" s="9" t="s">
        <v>86</v>
      </c>
      <c r="D44" s="11" t="s">
        <v>82</v>
      </c>
      <c r="E44" s="9" t="s">
        <v>99</v>
      </c>
      <c r="F44" s="12">
        <v>160.02</v>
      </c>
      <c r="G44" s="12">
        <v>73.0</v>
      </c>
      <c r="H44" s="12">
        <f t="shared" si="2"/>
        <v>28.50849743</v>
      </c>
      <c r="I44" s="9">
        <v>1.0</v>
      </c>
      <c r="J44" s="9">
        <v>3.0</v>
      </c>
      <c r="K44" s="9">
        <v>2.0</v>
      </c>
      <c r="L44" s="9">
        <v>0.0</v>
      </c>
      <c r="M44" s="9">
        <v>107.0</v>
      </c>
      <c r="N44" s="9">
        <v>0.0</v>
      </c>
      <c r="O44" s="9">
        <v>125.0</v>
      </c>
      <c r="P44" s="9">
        <v>0.0</v>
      </c>
      <c r="Q44" s="9">
        <v>20.0</v>
      </c>
      <c r="R44" s="9">
        <v>0.0</v>
      </c>
      <c r="S44" s="12">
        <v>99.0</v>
      </c>
      <c r="T44" s="9">
        <v>0.0</v>
      </c>
      <c r="U44" s="9">
        <v>94.0</v>
      </c>
      <c r="V44" s="9">
        <v>1.0</v>
      </c>
      <c r="W44" s="9">
        <v>0.0</v>
      </c>
      <c r="X44" s="9">
        <v>0.0</v>
      </c>
      <c r="Y44" s="9">
        <v>0.0</v>
      </c>
      <c r="Z44" s="9">
        <v>0.0</v>
      </c>
      <c r="AA44" s="9">
        <v>0.0</v>
      </c>
      <c r="AB44" s="9">
        <v>0.0</v>
      </c>
      <c r="AC44" s="9">
        <v>0.0</v>
      </c>
      <c r="AD44" s="9">
        <v>0.0</v>
      </c>
      <c r="AE44" s="9">
        <v>0.0</v>
      </c>
      <c r="AF44" s="9">
        <v>0.0</v>
      </c>
      <c r="AG44" s="9">
        <v>1.0</v>
      </c>
      <c r="AH44" s="9">
        <v>1.0</v>
      </c>
      <c r="AI44" s="9">
        <v>0.0</v>
      </c>
      <c r="AJ44" s="9">
        <v>0.0</v>
      </c>
      <c r="AK44" s="9">
        <v>1.0</v>
      </c>
      <c r="AL44" s="9">
        <v>0.0</v>
      </c>
      <c r="AM44" s="9">
        <v>0.0</v>
      </c>
      <c r="AN44" s="9">
        <v>0.0</v>
      </c>
      <c r="AO44" s="9">
        <v>1.0</v>
      </c>
      <c r="AP44" s="9">
        <v>1.0</v>
      </c>
      <c r="AQ44" s="9" t="s">
        <v>84</v>
      </c>
      <c r="AR44" s="9" t="s">
        <v>84</v>
      </c>
      <c r="AS44" s="9">
        <v>1.0</v>
      </c>
      <c r="AT44" s="9">
        <v>1.0</v>
      </c>
      <c r="AU44" s="9">
        <v>1.0</v>
      </c>
      <c r="AV44" s="9">
        <v>0.0</v>
      </c>
      <c r="AW44" s="9">
        <v>51.0</v>
      </c>
      <c r="AX44" s="13">
        <f>4.77/4.55</f>
        <v>1.048351648</v>
      </c>
      <c r="AY44" s="10">
        <v>0.0</v>
      </c>
      <c r="AZ44" s="10">
        <v>0.0</v>
      </c>
      <c r="BA44" s="10">
        <v>1.0</v>
      </c>
      <c r="BB44" s="13">
        <f>2.87/3.44</f>
        <v>0.8343023256</v>
      </c>
      <c r="BC44" s="10">
        <v>2.0</v>
      </c>
      <c r="BD44" s="10">
        <v>0.0</v>
      </c>
      <c r="BE44" s="10"/>
      <c r="BF44" s="9">
        <v>0.0</v>
      </c>
      <c r="BG44" s="9" t="s">
        <v>84</v>
      </c>
      <c r="BH44" s="9">
        <v>0.0</v>
      </c>
      <c r="BI44" s="9">
        <v>0.0</v>
      </c>
      <c r="BJ44" s="9">
        <v>0.0</v>
      </c>
      <c r="BK44" s="9">
        <v>0.0</v>
      </c>
      <c r="BL44" s="9">
        <v>0.0</v>
      </c>
      <c r="BM44" s="9">
        <v>0.0</v>
      </c>
      <c r="BN44" s="9">
        <v>0.0</v>
      </c>
      <c r="BO44" s="9">
        <v>0.0</v>
      </c>
      <c r="BP44" s="9" t="s">
        <v>84</v>
      </c>
      <c r="BQ44" s="9" t="s">
        <v>84</v>
      </c>
      <c r="BR44" s="9">
        <v>0.0</v>
      </c>
      <c r="BS44" s="9" t="s">
        <v>84</v>
      </c>
      <c r="BT44" s="9">
        <v>0.0</v>
      </c>
      <c r="BU44" s="9">
        <v>0.0</v>
      </c>
      <c r="BV44" s="9">
        <v>0.0</v>
      </c>
      <c r="BW44" s="10">
        <v>0.0</v>
      </c>
      <c r="BX44" s="14">
        <v>0.0</v>
      </c>
      <c r="BY44" s="9">
        <v>1.0</v>
      </c>
      <c r="BZ44" s="9">
        <v>0.0</v>
      </c>
      <c r="CA44" s="9">
        <v>0.0</v>
      </c>
      <c r="CB44" s="9">
        <v>0.0</v>
      </c>
      <c r="CC44" s="15" t="s">
        <v>92</v>
      </c>
      <c r="CD44" s="17"/>
    </row>
    <row r="45" ht="15.75" customHeight="1">
      <c r="A45" s="9">
        <v>44.0</v>
      </c>
      <c r="B45" s="10">
        <v>72.0</v>
      </c>
      <c r="C45" s="9" t="s">
        <v>86</v>
      </c>
      <c r="D45" s="11" t="s">
        <v>82</v>
      </c>
      <c r="E45" s="9" t="s">
        <v>83</v>
      </c>
      <c r="F45" s="12">
        <v>175.26</v>
      </c>
      <c r="G45" s="12">
        <v>116.0</v>
      </c>
      <c r="H45" s="12">
        <f t="shared" si="2"/>
        <v>37.76525091</v>
      </c>
      <c r="I45" s="9">
        <v>0.0</v>
      </c>
      <c r="J45" s="9">
        <v>2.0</v>
      </c>
      <c r="K45" s="9">
        <v>1.0</v>
      </c>
      <c r="L45" s="9">
        <v>0.0</v>
      </c>
      <c r="M45" s="9">
        <v>85.0</v>
      </c>
      <c r="N45" s="9">
        <v>0.0</v>
      </c>
      <c r="O45" s="9">
        <v>138.0</v>
      </c>
      <c r="P45" s="9">
        <v>0.0</v>
      </c>
      <c r="Q45" s="9">
        <v>18.0</v>
      </c>
      <c r="R45" s="9">
        <v>0.0</v>
      </c>
      <c r="S45" s="12">
        <v>98.0</v>
      </c>
      <c r="T45" s="9">
        <v>0.0</v>
      </c>
      <c r="U45" s="9">
        <v>94.0</v>
      </c>
      <c r="V45" s="9">
        <v>0.0</v>
      </c>
      <c r="W45" s="9">
        <v>0.0</v>
      </c>
      <c r="X45" s="9">
        <v>0.0</v>
      </c>
      <c r="Y45" s="9">
        <v>0.0</v>
      </c>
      <c r="Z45" s="9">
        <v>0.0</v>
      </c>
      <c r="AA45" s="9">
        <v>0.0</v>
      </c>
      <c r="AB45" s="9">
        <v>0.0</v>
      </c>
      <c r="AC45" s="9">
        <v>0.0</v>
      </c>
      <c r="AD45" s="9">
        <v>0.0</v>
      </c>
      <c r="AE45" s="9">
        <v>1.0</v>
      </c>
      <c r="AF45" s="9">
        <v>0.0</v>
      </c>
      <c r="AG45" s="9">
        <v>1.0</v>
      </c>
      <c r="AH45" s="9">
        <v>0.0</v>
      </c>
      <c r="AI45" s="9">
        <v>0.0</v>
      </c>
      <c r="AJ45" s="9">
        <v>0.0</v>
      </c>
      <c r="AK45" s="9">
        <v>0.0</v>
      </c>
      <c r="AL45" s="9">
        <v>0.0</v>
      </c>
      <c r="AM45" s="9">
        <v>0.0</v>
      </c>
      <c r="AN45" s="9">
        <v>0.0</v>
      </c>
      <c r="AO45" s="9">
        <v>1.0</v>
      </c>
      <c r="AP45" s="9">
        <v>1.0</v>
      </c>
      <c r="AQ45" s="9" t="s">
        <v>84</v>
      </c>
      <c r="AR45" s="9">
        <v>0.0</v>
      </c>
      <c r="AS45" s="9">
        <v>0.0</v>
      </c>
      <c r="AT45" s="9">
        <v>0.0</v>
      </c>
      <c r="AU45" s="9">
        <v>0.0</v>
      </c>
      <c r="AV45" s="9">
        <v>0.0</v>
      </c>
      <c r="AW45" s="9" t="s">
        <v>97</v>
      </c>
      <c r="AX45" s="13">
        <f>4.13/4.57</f>
        <v>0.9037199125</v>
      </c>
      <c r="AY45" s="10">
        <v>1.0</v>
      </c>
      <c r="AZ45" s="10">
        <v>0.0</v>
      </c>
      <c r="BA45" s="10">
        <v>0.0</v>
      </c>
      <c r="BB45" s="13">
        <f>2.65/3.19</f>
        <v>0.8307210031</v>
      </c>
      <c r="BC45" s="10">
        <v>2.0</v>
      </c>
      <c r="BD45" s="10">
        <v>0.0</v>
      </c>
      <c r="BE45" s="10"/>
      <c r="BF45" s="9">
        <v>0.0</v>
      </c>
      <c r="BG45" s="9" t="s">
        <v>84</v>
      </c>
      <c r="BH45" s="9">
        <v>0.0</v>
      </c>
      <c r="BI45" s="9">
        <v>0.0</v>
      </c>
      <c r="BJ45" s="9">
        <v>0.0</v>
      </c>
      <c r="BK45" s="9">
        <v>0.0</v>
      </c>
      <c r="BL45" s="9">
        <v>0.0</v>
      </c>
      <c r="BM45" s="9">
        <v>0.0</v>
      </c>
      <c r="BN45" s="9">
        <v>0.0</v>
      </c>
      <c r="BO45" s="9">
        <v>0.0</v>
      </c>
      <c r="BP45" s="9" t="s">
        <v>84</v>
      </c>
      <c r="BQ45" s="9" t="s">
        <v>84</v>
      </c>
      <c r="BR45" s="9">
        <v>0.0</v>
      </c>
      <c r="BS45" s="9" t="s">
        <v>84</v>
      </c>
      <c r="BT45" s="9">
        <v>0.0</v>
      </c>
      <c r="BU45" s="9">
        <v>0.0</v>
      </c>
      <c r="BV45" s="9">
        <v>0.0</v>
      </c>
      <c r="BW45" s="10">
        <v>0.0</v>
      </c>
      <c r="BX45" s="14">
        <v>0.0</v>
      </c>
      <c r="BY45" s="9">
        <v>0.0</v>
      </c>
      <c r="BZ45" s="9">
        <v>0.0</v>
      </c>
      <c r="CA45" s="9">
        <v>0.0</v>
      </c>
      <c r="CB45" s="9">
        <v>0.0</v>
      </c>
      <c r="CC45" s="15" t="s">
        <v>113</v>
      </c>
      <c r="CD45" s="17"/>
    </row>
    <row r="46" ht="15.75" customHeight="1">
      <c r="A46" s="9">
        <v>45.0</v>
      </c>
      <c r="B46" s="10">
        <v>87.0</v>
      </c>
      <c r="C46" s="9" t="s">
        <v>81</v>
      </c>
      <c r="D46" s="11" t="s">
        <v>82</v>
      </c>
      <c r="E46" s="9" t="s">
        <v>83</v>
      </c>
      <c r="F46" s="12">
        <v>172.72</v>
      </c>
      <c r="G46" s="12">
        <v>170.6</v>
      </c>
      <c r="H46" s="12">
        <f t="shared" si="2"/>
        <v>57.18653306</v>
      </c>
      <c r="I46" s="9">
        <v>1.0</v>
      </c>
      <c r="J46" s="9">
        <v>5.0</v>
      </c>
      <c r="K46" s="9">
        <v>2.0</v>
      </c>
      <c r="L46" s="9">
        <v>0.0</v>
      </c>
      <c r="M46" s="9">
        <v>94.0</v>
      </c>
      <c r="N46" s="9">
        <v>0.0</v>
      </c>
      <c r="O46" s="9">
        <v>149.0</v>
      </c>
      <c r="P46" s="9">
        <v>0.0</v>
      </c>
      <c r="Q46" s="9">
        <v>18.0</v>
      </c>
      <c r="R46" s="9">
        <v>0.0</v>
      </c>
      <c r="S46" s="12">
        <v>97.2</v>
      </c>
      <c r="T46" s="9">
        <v>0.0</v>
      </c>
      <c r="U46" s="9">
        <v>97.0</v>
      </c>
      <c r="V46" s="9">
        <v>0.0</v>
      </c>
      <c r="W46" s="9">
        <v>0.0</v>
      </c>
      <c r="X46" s="9">
        <v>0.0</v>
      </c>
      <c r="Y46" s="9">
        <v>0.0</v>
      </c>
      <c r="Z46" s="9">
        <v>1.0</v>
      </c>
      <c r="AA46" s="9">
        <v>1.0</v>
      </c>
      <c r="AB46" s="9">
        <v>0.0</v>
      </c>
      <c r="AC46" s="9">
        <v>0.0</v>
      </c>
      <c r="AD46" s="9">
        <v>0.0</v>
      </c>
      <c r="AE46" s="9">
        <v>0.0</v>
      </c>
      <c r="AF46" s="9">
        <v>0.0</v>
      </c>
      <c r="AG46" s="9">
        <v>0.0</v>
      </c>
      <c r="AH46" s="9">
        <v>0.0</v>
      </c>
      <c r="AI46" s="9">
        <v>0.0</v>
      </c>
      <c r="AJ46" s="9">
        <v>0.0</v>
      </c>
      <c r="AK46" s="9">
        <v>0.0</v>
      </c>
      <c r="AL46" s="9">
        <v>0.0</v>
      </c>
      <c r="AM46" s="9">
        <v>0.0</v>
      </c>
      <c r="AN46" s="9">
        <v>0.0</v>
      </c>
      <c r="AO46" s="9">
        <v>1.0</v>
      </c>
      <c r="AP46" s="9">
        <v>1.0</v>
      </c>
      <c r="AQ46" s="9">
        <v>1.0</v>
      </c>
      <c r="AR46" s="9">
        <v>0.0</v>
      </c>
      <c r="AS46" s="9">
        <v>0.0</v>
      </c>
      <c r="AT46" s="9">
        <v>0.0</v>
      </c>
      <c r="AU46" s="9">
        <v>0.0</v>
      </c>
      <c r="AV46" s="9">
        <v>1.0</v>
      </c>
      <c r="AW46" s="9">
        <v>32.5</v>
      </c>
      <c r="AX46" s="13">
        <f>3.34/4.01</f>
        <v>0.8329177057</v>
      </c>
      <c r="AY46" s="10">
        <v>0.0</v>
      </c>
      <c r="AZ46" s="10">
        <v>0.0</v>
      </c>
      <c r="BA46" s="10">
        <v>0.0</v>
      </c>
      <c r="BB46" s="13">
        <f>2.86/3.56</f>
        <v>0.8033707865</v>
      </c>
      <c r="BC46" s="10">
        <v>3.0</v>
      </c>
      <c r="BD46" s="10">
        <v>0.0</v>
      </c>
      <c r="BE46" s="10"/>
      <c r="BF46" s="9">
        <v>0.0</v>
      </c>
      <c r="BG46" s="9" t="s">
        <v>84</v>
      </c>
      <c r="BH46" s="9">
        <v>1.0</v>
      </c>
      <c r="BI46" s="9">
        <v>0.0</v>
      </c>
      <c r="BJ46" s="9">
        <v>0.0</v>
      </c>
      <c r="BK46" s="9">
        <v>0.0</v>
      </c>
      <c r="BL46" s="9">
        <v>0.0</v>
      </c>
      <c r="BM46" s="9">
        <v>0.0</v>
      </c>
      <c r="BN46" s="9">
        <v>1.0</v>
      </c>
      <c r="BO46" s="9">
        <v>0.0</v>
      </c>
      <c r="BP46" s="9">
        <v>1.0</v>
      </c>
      <c r="BQ46" s="9">
        <v>1.0</v>
      </c>
      <c r="BR46" s="9">
        <v>0.0</v>
      </c>
      <c r="BS46" s="9" t="s">
        <v>84</v>
      </c>
      <c r="BT46" s="9">
        <v>0.0</v>
      </c>
      <c r="BU46" s="9">
        <v>1.0</v>
      </c>
      <c r="BV46" s="9">
        <v>0.0</v>
      </c>
      <c r="BW46" s="10">
        <v>0.0</v>
      </c>
      <c r="BX46" s="14">
        <v>0.0</v>
      </c>
      <c r="BY46" s="9">
        <v>0.0</v>
      </c>
      <c r="BZ46" s="9">
        <v>0.0</v>
      </c>
      <c r="CA46" s="9">
        <v>0.0</v>
      </c>
      <c r="CB46" s="9">
        <v>0.0</v>
      </c>
      <c r="CC46" s="15" t="s">
        <v>104</v>
      </c>
      <c r="CD46" s="17"/>
    </row>
    <row r="47" ht="15.75" customHeight="1">
      <c r="A47" s="9">
        <v>46.0</v>
      </c>
      <c r="B47" s="10">
        <v>65.0</v>
      </c>
      <c r="C47" s="9" t="s">
        <v>81</v>
      </c>
      <c r="D47" s="11" t="s">
        <v>82</v>
      </c>
      <c r="E47" s="9" t="s">
        <v>119</v>
      </c>
      <c r="F47" s="12">
        <v>160.02</v>
      </c>
      <c r="G47" s="12">
        <v>75.0</v>
      </c>
      <c r="H47" s="12">
        <f t="shared" si="2"/>
        <v>29.28955215</v>
      </c>
      <c r="I47" s="9">
        <v>1.0</v>
      </c>
      <c r="J47" s="9">
        <v>5.0</v>
      </c>
      <c r="K47" s="9">
        <v>2.0</v>
      </c>
      <c r="L47" s="9">
        <v>1.0</v>
      </c>
      <c r="M47" s="9">
        <v>114.0</v>
      </c>
      <c r="N47" s="9">
        <v>0.0</v>
      </c>
      <c r="O47" s="9">
        <v>123.0</v>
      </c>
      <c r="P47" s="9">
        <v>0.0</v>
      </c>
      <c r="Q47" s="9">
        <v>24.0</v>
      </c>
      <c r="R47" s="9">
        <v>0.0</v>
      </c>
      <c r="S47" s="12">
        <v>97.4</v>
      </c>
      <c r="T47" s="9">
        <v>1.0</v>
      </c>
      <c r="U47" s="9">
        <v>74.0</v>
      </c>
      <c r="V47" s="9">
        <v>1.0</v>
      </c>
      <c r="W47" s="9">
        <v>0.0</v>
      </c>
      <c r="X47" s="9">
        <v>1.0</v>
      </c>
      <c r="Y47" s="9">
        <v>0.0</v>
      </c>
      <c r="Z47" s="9">
        <v>1.0</v>
      </c>
      <c r="AA47" s="9">
        <v>0.0</v>
      </c>
      <c r="AB47" s="9">
        <v>0.0</v>
      </c>
      <c r="AC47" s="9">
        <v>0.0</v>
      </c>
      <c r="AD47" s="9">
        <v>0.0</v>
      </c>
      <c r="AE47" s="9">
        <v>0.0</v>
      </c>
      <c r="AF47" s="9">
        <v>0.0</v>
      </c>
      <c r="AG47" s="9">
        <v>0.0</v>
      </c>
      <c r="AH47" s="9">
        <v>0.0</v>
      </c>
      <c r="AI47" s="9">
        <v>0.0</v>
      </c>
      <c r="AJ47" s="9">
        <v>0.0</v>
      </c>
      <c r="AK47" s="9">
        <v>0.0</v>
      </c>
      <c r="AL47" s="9">
        <v>0.0</v>
      </c>
      <c r="AM47" s="9">
        <v>0.0</v>
      </c>
      <c r="AN47" s="9">
        <v>0.0</v>
      </c>
      <c r="AO47" s="9">
        <v>1.0</v>
      </c>
      <c r="AP47" s="9">
        <v>1.0</v>
      </c>
      <c r="AQ47" s="9">
        <v>1.0</v>
      </c>
      <c r="AR47" s="9">
        <v>1.0</v>
      </c>
      <c r="AS47" s="9">
        <v>1.0</v>
      </c>
      <c r="AT47" s="9">
        <v>0.0</v>
      </c>
      <c r="AU47" s="9">
        <v>0.0</v>
      </c>
      <c r="AV47" s="9">
        <v>0.0</v>
      </c>
      <c r="AW47" s="9" t="s">
        <v>97</v>
      </c>
      <c r="AX47" s="13">
        <f>3.94/3.48</f>
        <v>1.132183908</v>
      </c>
      <c r="AY47" s="10">
        <v>0.0</v>
      </c>
      <c r="AZ47" s="10">
        <v>0.0</v>
      </c>
      <c r="BA47" s="10">
        <v>1.0</v>
      </c>
      <c r="BB47" s="13">
        <f>3.47/3.68</f>
        <v>0.9429347826</v>
      </c>
      <c r="BC47" s="10">
        <v>5.0</v>
      </c>
      <c r="BD47" s="10">
        <v>1.0</v>
      </c>
      <c r="BE47" s="10"/>
      <c r="BF47" s="9">
        <v>0.0</v>
      </c>
      <c r="BG47" s="9" t="s">
        <v>84</v>
      </c>
      <c r="BH47" s="9">
        <v>1.0</v>
      </c>
      <c r="BI47" s="9">
        <v>0.0</v>
      </c>
      <c r="BJ47" s="9">
        <v>0.0</v>
      </c>
      <c r="BK47" s="9">
        <v>0.0</v>
      </c>
      <c r="BL47" s="9">
        <v>0.0</v>
      </c>
      <c r="BM47" s="9">
        <v>0.0</v>
      </c>
      <c r="BN47" s="9">
        <v>1.0</v>
      </c>
      <c r="BO47" s="9">
        <v>0.0</v>
      </c>
      <c r="BP47" s="9">
        <v>1.0</v>
      </c>
      <c r="BQ47" s="9">
        <v>1.0</v>
      </c>
      <c r="BR47" s="9">
        <v>0.0</v>
      </c>
      <c r="BS47" s="9" t="s">
        <v>84</v>
      </c>
      <c r="BT47" s="9">
        <v>0.0</v>
      </c>
      <c r="BU47" s="9">
        <v>0.0</v>
      </c>
      <c r="BV47" s="9">
        <v>0.0</v>
      </c>
      <c r="BW47" s="10">
        <v>0.0</v>
      </c>
      <c r="BX47" s="14">
        <v>0.0</v>
      </c>
      <c r="BY47" s="9">
        <v>0.0</v>
      </c>
      <c r="BZ47" s="9">
        <v>1.0</v>
      </c>
      <c r="CA47" s="9">
        <v>0.0</v>
      </c>
      <c r="CB47" s="9">
        <v>0.0</v>
      </c>
      <c r="CC47" s="15" t="s">
        <v>104</v>
      </c>
      <c r="CD47" s="17"/>
    </row>
    <row r="48" ht="15.75" customHeight="1">
      <c r="A48" s="9">
        <v>47.0</v>
      </c>
      <c r="B48" s="10">
        <v>69.0</v>
      </c>
      <c r="C48" s="9" t="s">
        <v>81</v>
      </c>
      <c r="D48" s="11" t="s">
        <v>82</v>
      </c>
      <c r="E48" s="9" t="s">
        <v>116</v>
      </c>
      <c r="F48" s="12">
        <v>162.56</v>
      </c>
      <c r="G48" s="12">
        <v>69.5</v>
      </c>
      <c r="H48" s="12">
        <f t="shared" si="2"/>
        <v>26.30010143</v>
      </c>
      <c r="I48" s="9">
        <v>1.0</v>
      </c>
      <c r="J48" s="9">
        <v>3.0</v>
      </c>
      <c r="K48" s="9">
        <v>2.0</v>
      </c>
      <c r="L48" s="9">
        <v>0.0</v>
      </c>
      <c r="M48" s="9">
        <v>76.0</v>
      </c>
      <c r="N48" s="9">
        <v>0.0</v>
      </c>
      <c r="O48" s="9">
        <v>116.0</v>
      </c>
      <c r="P48" s="9">
        <v>0.0</v>
      </c>
      <c r="Q48" s="9">
        <v>18.0</v>
      </c>
      <c r="R48" s="9">
        <v>0.0</v>
      </c>
      <c r="S48" s="12">
        <v>99.0</v>
      </c>
      <c r="T48" s="9">
        <v>0.0</v>
      </c>
      <c r="U48" s="9">
        <v>95.0</v>
      </c>
      <c r="V48" s="9">
        <v>0.0</v>
      </c>
      <c r="W48" s="9">
        <v>0.0</v>
      </c>
      <c r="X48" s="9">
        <v>0.0</v>
      </c>
      <c r="Y48" s="9">
        <v>0.0</v>
      </c>
      <c r="Z48" s="9">
        <v>0.0</v>
      </c>
      <c r="AA48" s="9">
        <v>0.0</v>
      </c>
      <c r="AB48" s="9">
        <v>1.0</v>
      </c>
      <c r="AC48" s="9">
        <v>0.0</v>
      </c>
      <c r="AD48" s="9">
        <v>0.0</v>
      </c>
      <c r="AE48" s="9">
        <v>1.0</v>
      </c>
      <c r="AF48" s="9">
        <v>0.0</v>
      </c>
      <c r="AG48" s="9">
        <v>0.0</v>
      </c>
      <c r="AH48" s="9">
        <v>0.0</v>
      </c>
      <c r="AI48" s="9">
        <v>0.0</v>
      </c>
      <c r="AJ48" s="9">
        <v>0.0</v>
      </c>
      <c r="AK48" s="9">
        <v>0.0</v>
      </c>
      <c r="AL48" s="9">
        <v>0.0</v>
      </c>
      <c r="AM48" s="9">
        <v>0.0</v>
      </c>
      <c r="AN48" s="9">
        <v>0.0</v>
      </c>
      <c r="AO48" s="9">
        <v>0.0</v>
      </c>
      <c r="AP48" s="9" t="s">
        <v>84</v>
      </c>
      <c r="AQ48" s="9" t="s">
        <v>84</v>
      </c>
      <c r="AR48" s="9">
        <v>1.0</v>
      </c>
      <c r="AS48" s="9">
        <v>1.0</v>
      </c>
      <c r="AT48" s="9">
        <v>1.0</v>
      </c>
      <c r="AU48" s="9">
        <v>1.0</v>
      </c>
      <c r="AV48" s="9">
        <v>0.0</v>
      </c>
      <c r="AW48" s="9">
        <v>35.0</v>
      </c>
      <c r="AX48" s="13">
        <f>5.07/4.4</f>
        <v>1.152272727</v>
      </c>
      <c r="AY48" s="10">
        <v>0.0</v>
      </c>
      <c r="AZ48" s="10">
        <v>0.0</v>
      </c>
      <c r="BA48" s="10">
        <v>1.0</v>
      </c>
      <c r="BB48" s="13">
        <f>2.29/3.17</f>
        <v>0.7223974763</v>
      </c>
      <c r="BC48" s="10">
        <v>4.0</v>
      </c>
      <c r="BD48" s="10">
        <v>1.0</v>
      </c>
      <c r="BE48" s="10"/>
      <c r="BF48" s="9">
        <v>0.0</v>
      </c>
      <c r="BG48" s="9" t="s">
        <v>84</v>
      </c>
      <c r="BH48" s="9">
        <v>0.0</v>
      </c>
      <c r="BI48" s="9">
        <v>0.0</v>
      </c>
      <c r="BJ48" s="9">
        <v>0.0</v>
      </c>
      <c r="BK48" s="9">
        <v>0.0</v>
      </c>
      <c r="BL48" s="9">
        <v>0.0</v>
      </c>
      <c r="BM48" s="9">
        <v>0.0</v>
      </c>
      <c r="BN48" s="9">
        <v>0.0</v>
      </c>
      <c r="BO48" s="9">
        <v>0.0</v>
      </c>
      <c r="BP48" s="9" t="s">
        <v>84</v>
      </c>
      <c r="BQ48" s="9" t="s">
        <v>84</v>
      </c>
      <c r="BR48" s="9">
        <v>0.0</v>
      </c>
      <c r="BS48" s="9" t="s">
        <v>84</v>
      </c>
      <c r="BT48" s="9">
        <v>0.0</v>
      </c>
      <c r="BU48" s="9">
        <v>0.0</v>
      </c>
      <c r="BV48" s="9">
        <v>0.0</v>
      </c>
      <c r="BW48" s="10">
        <v>0.0</v>
      </c>
      <c r="BX48" s="14">
        <v>0.0</v>
      </c>
      <c r="BY48" s="9">
        <v>0.0</v>
      </c>
      <c r="BZ48" s="9">
        <v>0.0</v>
      </c>
      <c r="CA48" s="9">
        <v>0.0</v>
      </c>
      <c r="CB48" s="9">
        <v>0.0</v>
      </c>
      <c r="CC48" s="15" t="s">
        <v>101</v>
      </c>
      <c r="CD48" s="17"/>
    </row>
    <row r="49" ht="15.75" customHeight="1">
      <c r="A49" s="9">
        <v>48.0</v>
      </c>
      <c r="B49" s="10">
        <v>59.0</v>
      </c>
      <c r="C49" s="9" t="s">
        <v>86</v>
      </c>
      <c r="D49" s="11" t="s">
        <v>82</v>
      </c>
      <c r="E49" s="9" t="s">
        <v>90</v>
      </c>
      <c r="F49" s="12">
        <v>167.64000000000001</v>
      </c>
      <c r="G49" s="12">
        <v>81.2</v>
      </c>
      <c r="H49" s="12">
        <f t="shared" si="2"/>
        <v>28.89353804</v>
      </c>
      <c r="I49" s="9">
        <v>1.0</v>
      </c>
      <c r="J49" s="9">
        <v>3.0</v>
      </c>
      <c r="K49" s="9">
        <v>1.0</v>
      </c>
      <c r="L49" s="9">
        <v>0.0</v>
      </c>
      <c r="M49" s="9">
        <v>108.0</v>
      </c>
      <c r="N49" s="9">
        <v>0.0</v>
      </c>
      <c r="O49" s="9">
        <v>149.0</v>
      </c>
      <c r="P49" s="9">
        <v>0.0</v>
      </c>
      <c r="Q49" s="9">
        <v>22.0</v>
      </c>
      <c r="R49" s="9">
        <v>0.0</v>
      </c>
      <c r="S49" s="12">
        <v>98.6</v>
      </c>
      <c r="T49" s="9">
        <v>0.0</v>
      </c>
      <c r="U49" s="9">
        <v>94.0</v>
      </c>
      <c r="V49" s="9">
        <v>0.0</v>
      </c>
      <c r="W49" s="9">
        <v>0.0</v>
      </c>
      <c r="X49" s="9">
        <v>0.0</v>
      </c>
      <c r="Y49" s="9">
        <v>0.0</v>
      </c>
      <c r="Z49" s="9">
        <v>0.0</v>
      </c>
      <c r="AA49" s="9">
        <v>1.0</v>
      </c>
      <c r="AB49" s="9">
        <v>0.0</v>
      </c>
      <c r="AC49" s="9">
        <v>1.0</v>
      </c>
      <c r="AD49" s="9">
        <v>0.0</v>
      </c>
      <c r="AE49" s="9">
        <v>0.0</v>
      </c>
      <c r="AF49" s="9">
        <v>0.0</v>
      </c>
      <c r="AG49" s="9">
        <v>1.0</v>
      </c>
      <c r="AH49" s="9">
        <v>0.0</v>
      </c>
      <c r="AI49" s="9">
        <v>0.0</v>
      </c>
      <c r="AJ49" s="9">
        <v>0.0</v>
      </c>
      <c r="AK49" s="9">
        <v>0.0</v>
      </c>
      <c r="AL49" s="9">
        <v>0.0</v>
      </c>
      <c r="AM49" s="9">
        <v>0.0</v>
      </c>
      <c r="AN49" s="9">
        <v>0.0</v>
      </c>
      <c r="AO49" s="9">
        <v>1.0</v>
      </c>
      <c r="AP49" s="9">
        <v>1.0</v>
      </c>
      <c r="AQ49" s="9">
        <v>0.0</v>
      </c>
      <c r="AR49" s="9">
        <v>0.0</v>
      </c>
      <c r="AS49" s="9">
        <v>0.0</v>
      </c>
      <c r="AT49" s="9">
        <v>0.0</v>
      </c>
      <c r="AU49" s="9">
        <v>0.0</v>
      </c>
      <c r="AV49" s="9">
        <v>0.0</v>
      </c>
      <c r="AW49" s="9" t="s">
        <v>97</v>
      </c>
      <c r="AX49" s="13">
        <f>2.46/4.73</f>
        <v>0.5200845666</v>
      </c>
      <c r="AY49" s="10">
        <v>0.0</v>
      </c>
      <c r="AZ49" s="10">
        <v>0.0</v>
      </c>
      <c r="BA49" s="10">
        <v>0.0</v>
      </c>
      <c r="BB49" s="13">
        <f>3.64/3.3</f>
        <v>1.103030303</v>
      </c>
      <c r="BC49" s="10">
        <v>2.0</v>
      </c>
      <c r="BD49" s="10">
        <v>0.0</v>
      </c>
      <c r="BE49" s="10"/>
      <c r="BF49" s="9" t="s">
        <v>84</v>
      </c>
      <c r="BG49" s="9" t="s">
        <v>84</v>
      </c>
      <c r="BH49" s="9">
        <v>1.0</v>
      </c>
      <c r="BI49" s="9">
        <v>0.0</v>
      </c>
      <c r="BJ49" s="9">
        <v>0.0</v>
      </c>
      <c r="BK49" s="9">
        <v>0.0</v>
      </c>
      <c r="BL49" s="9">
        <v>0.0</v>
      </c>
      <c r="BM49" s="9">
        <v>0.0</v>
      </c>
      <c r="BN49" s="9">
        <v>0.0</v>
      </c>
      <c r="BO49" s="9">
        <v>0.0</v>
      </c>
      <c r="BP49" s="9" t="s">
        <v>84</v>
      </c>
      <c r="BQ49" s="9" t="s">
        <v>84</v>
      </c>
      <c r="BR49" s="9">
        <v>0.0</v>
      </c>
      <c r="BS49" s="9" t="s">
        <v>84</v>
      </c>
      <c r="BT49" s="9">
        <v>0.0</v>
      </c>
      <c r="BU49" s="9">
        <v>1.0</v>
      </c>
      <c r="BV49" s="9">
        <v>0.0</v>
      </c>
      <c r="BW49" s="10">
        <v>0.0</v>
      </c>
      <c r="BX49" s="14">
        <v>0.0</v>
      </c>
      <c r="BY49" s="9">
        <v>0.0</v>
      </c>
      <c r="BZ49" s="9">
        <v>0.0</v>
      </c>
      <c r="CA49" s="9">
        <v>0.0</v>
      </c>
      <c r="CB49" s="9">
        <v>0.0</v>
      </c>
      <c r="CC49" s="15" t="s">
        <v>113</v>
      </c>
      <c r="CD49" s="17"/>
    </row>
    <row r="50" ht="15.75" customHeight="1">
      <c r="A50" s="9">
        <v>49.0</v>
      </c>
      <c r="B50" s="10">
        <v>56.0</v>
      </c>
      <c r="C50" s="9" t="s">
        <v>86</v>
      </c>
      <c r="D50" s="11" t="s">
        <v>82</v>
      </c>
      <c r="E50" s="9" t="s">
        <v>119</v>
      </c>
      <c r="F50" s="12">
        <v>172.72</v>
      </c>
      <c r="G50" s="12">
        <v>117.0</v>
      </c>
      <c r="H50" s="12">
        <f t="shared" si="2"/>
        <v>39.2193691</v>
      </c>
      <c r="I50" s="9">
        <v>1.0</v>
      </c>
      <c r="J50" s="9">
        <v>5.0</v>
      </c>
      <c r="K50" s="9">
        <v>1.0</v>
      </c>
      <c r="L50" s="9">
        <v>0.0</v>
      </c>
      <c r="M50" s="9">
        <v>54.0</v>
      </c>
      <c r="N50" s="9">
        <v>1.0</v>
      </c>
      <c r="O50" s="9">
        <v>93.0</v>
      </c>
      <c r="P50" s="9">
        <v>0.0</v>
      </c>
      <c r="Q50" s="9">
        <v>26.0</v>
      </c>
      <c r="R50" s="9">
        <v>0.0</v>
      </c>
      <c r="S50" s="12">
        <v>100.1</v>
      </c>
      <c r="T50" s="9">
        <v>0.0</v>
      </c>
      <c r="U50" s="9">
        <v>95.0</v>
      </c>
      <c r="V50" s="9">
        <v>1.0</v>
      </c>
      <c r="W50" s="9">
        <v>0.0</v>
      </c>
      <c r="X50" s="9">
        <v>1.0</v>
      </c>
      <c r="Y50" s="9">
        <v>0.0</v>
      </c>
      <c r="Z50" s="9">
        <v>0.0</v>
      </c>
      <c r="AA50" s="9">
        <v>0.0</v>
      </c>
      <c r="AB50" s="9">
        <v>1.0</v>
      </c>
      <c r="AC50" s="9">
        <v>0.0</v>
      </c>
      <c r="AD50" s="9">
        <v>0.0</v>
      </c>
      <c r="AE50" s="9">
        <v>0.0</v>
      </c>
      <c r="AF50" s="9">
        <v>0.0</v>
      </c>
      <c r="AG50" s="9">
        <v>1.0</v>
      </c>
      <c r="AH50" s="9">
        <v>0.0</v>
      </c>
      <c r="AI50" s="9">
        <v>1.0</v>
      </c>
      <c r="AJ50" s="9">
        <v>1.0</v>
      </c>
      <c r="AK50" s="9">
        <v>0.0</v>
      </c>
      <c r="AL50" s="9">
        <v>0.0</v>
      </c>
      <c r="AM50" s="9">
        <v>0.0</v>
      </c>
      <c r="AN50" s="9">
        <v>1.0</v>
      </c>
      <c r="AO50" s="9">
        <v>0.0</v>
      </c>
      <c r="AP50" s="9" t="s">
        <v>84</v>
      </c>
      <c r="AQ50" s="9" t="s">
        <v>84</v>
      </c>
      <c r="AR50" s="9">
        <v>0.0</v>
      </c>
      <c r="AS50" s="9" t="s">
        <v>84</v>
      </c>
      <c r="AT50" s="9" t="s">
        <v>84</v>
      </c>
      <c r="AU50" s="9" t="s">
        <v>84</v>
      </c>
      <c r="AV50" s="9" t="s">
        <v>84</v>
      </c>
      <c r="AW50" s="9" t="s">
        <v>84</v>
      </c>
      <c r="AX50" s="13">
        <f>4.66/4.55</f>
        <v>1.024175824</v>
      </c>
      <c r="AY50" s="10">
        <v>0.0</v>
      </c>
      <c r="AZ50" s="10">
        <v>0.0</v>
      </c>
      <c r="BA50" s="10">
        <v>1.0</v>
      </c>
      <c r="BB50" s="13">
        <f>3.29/3.55</f>
        <v>0.9267605634</v>
      </c>
      <c r="BC50" s="10">
        <v>1.0</v>
      </c>
      <c r="BD50" s="10">
        <v>0.0</v>
      </c>
      <c r="BE50" s="10"/>
      <c r="BF50" s="9">
        <v>0.0</v>
      </c>
      <c r="BG50" s="9" t="s">
        <v>84</v>
      </c>
      <c r="BH50" s="9">
        <v>0.0</v>
      </c>
      <c r="BI50" s="9">
        <v>0.0</v>
      </c>
      <c r="BJ50" s="9">
        <v>0.0</v>
      </c>
      <c r="BK50" s="9">
        <v>0.0</v>
      </c>
      <c r="BL50" s="9">
        <v>0.0</v>
      </c>
      <c r="BM50" s="9">
        <v>0.0</v>
      </c>
      <c r="BN50" s="9">
        <v>0.0</v>
      </c>
      <c r="BO50" s="9">
        <v>0.0</v>
      </c>
      <c r="BP50" s="9" t="s">
        <v>84</v>
      </c>
      <c r="BQ50" s="9" t="s">
        <v>84</v>
      </c>
      <c r="BR50" s="9">
        <v>0.0</v>
      </c>
      <c r="BS50" s="9" t="s">
        <v>84</v>
      </c>
      <c r="BT50" s="9">
        <v>0.0</v>
      </c>
      <c r="BU50" s="9">
        <v>0.0</v>
      </c>
      <c r="BV50" s="9">
        <v>0.0</v>
      </c>
      <c r="BW50" s="10">
        <v>0.0</v>
      </c>
      <c r="BX50" s="14">
        <v>0.0</v>
      </c>
      <c r="BY50" s="9">
        <v>0.0</v>
      </c>
      <c r="BZ50" s="9">
        <v>1.0</v>
      </c>
      <c r="CA50" s="9">
        <v>0.0</v>
      </c>
      <c r="CB50" s="9">
        <v>0.0</v>
      </c>
      <c r="CC50" s="15" t="s">
        <v>87</v>
      </c>
      <c r="CD50" s="17"/>
    </row>
    <row r="51" ht="15.75" customHeight="1">
      <c r="A51" s="9">
        <v>50.0</v>
      </c>
      <c r="B51" s="10">
        <v>80.0</v>
      </c>
      <c r="C51" s="9" t="s">
        <v>86</v>
      </c>
      <c r="D51" s="11" t="s">
        <v>82</v>
      </c>
      <c r="E51" s="9" t="s">
        <v>99</v>
      </c>
      <c r="F51" s="12">
        <v>167.64000000000001</v>
      </c>
      <c r="G51" s="12">
        <v>90.7</v>
      </c>
      <c r="H51" s="12">
        <f t="shared" si="2"/>
        <v>32.27393966</v>
      </c>
      <c r="I51" s="9">
        <v>1.0</v>
      </c>
      <c r="J51" s="9">
        <v>3.0</v>
      </c>
      <c r="K51" s="9">
        <v>2.0</v>
      </c>
      <c r="L51" s="9">
        <v>0.0</v>
      </c>
      <c r="M51" s="9">
        <v>85.0</v>
      </c>
      <c r="N51" s="9">
        <v>0.0</v>
      </c>
      <c r="O51" s="9">
        <v>117.0</v>
      </c>
      <c r="P51" s="9">
        <v>0.0</v>
      </c>
      <c r="Q51" s="9">
        <v>14.0</v>
      </c>
      <c r="R51" s="9">
        <v>0.0</v>
      </c>
      <c r="S51" s="12">
        <v>98.2</v>
      </c>
      <c r="T51" s="9">
        <v>1.0</v>
      </c>
      <c r="U51" s="9">
        <v>84.0</v>
      </c>
      <c r="V51" s="9">
        <v>1.0</v>
      </c>
      <c r="W51" s="9">
        <v>0.0</v>
      </c>
      <c r="X51" s="9">
        <v>0.0</v>
      </c>
      <c r="Y51" s="9">
        <v>0.0</v>
      </c>
      <c r="Z51" s="9">
        <v>0.0</v>
      </c>
      <c r="AA51" s="9">
        <v>0.0</v>
      </c>
      <c r="AB51" s="9">
        <v>0.0</v>
      </c>
      <c r="AC51" s="9">
        <v>0.0</v>
      </c>
      <c r="AD51" s="9">
        <v>0.0</v>
      </c>
      <c r="AE51" s="9">
        <v>0.0</v>
      </c>
      <c r="AF51" s="9">
        <v>0.0</v>
      </c>
      <c r="AG51" s="9">
        <v>0.0</v>
      </c>
      <c r="AH51" s="9">
        <v>0.0</v>
      </c>
      <c r="AI51" s="9">
        <v>0.0</v>
      </c>
      <c r="AJ51" s="9">
        <v>0.0</v>
      </c>
      <c r="AK51" s="9">
        <v>0.0</v>
      </c>
      <c r="AL51" s="9">
        <v>0.0</v>
      </c>
      <c r="AM51" s="9">
        <v>0.0</v>
      </c>
      <c r="AN51" s="9">
        <v>0.0</v>
      </c>
      <c r="AO51" s="9">
        <v>0.0</v>
      </c>
      <c r="AP51" s="9" t="s">
        <v>84</v>
      </c>
      <c r="AQ51" s="9">
        <v>1.0</v>
      </c>
      <c r="AR51" s="9">
        <v>0.0</v>
      </c>
      <c r="AS51" s="9">
        <v>1.0</v>
      </c>
      <c r="AT51" s="9">
        <v>1.0</v>
      </c>
      <c r="AU51" s="9">
        <v>1.0</v>
      </c>
      <c r="AV51" s="9">
        <v>0.0</v>
      </c>
      <c r="AW51" s="9">
        <v>66.0</v>
      </c>
      <c r="AX51" s="13">
        <f>4.5/4.58</f>
        <v>0.9825327511</v>
      </c>
      <c r="AY51" s="10">
        <v>0.0</v>
      </c>
      <c r="AZ51" s="10">
        <v>0.0</v>
      </c>
      <c r="BA51" s="10">
        <v>1.0</v>
      </c>
      <c r="BB51" s="13">
        <f>2.96/3.65</f>
        <v>0.8109589041</v>
      </c>
      <c r="BC51" s="10">
        <v>3.0</v>
      </c>
      <c r="BD51" s="10">
        <v>0.0</v>
      </c>
      <c r="BE51" s="10"/>
      <c r="BF51" s="9">
        <v>0.0</v>
      </c>
      <c r="BG51" s="9" t="s">
        <v>84</v>
      </c>
      <c r="BH51" s="9">
        <v>1.0</v>
      </c>
      <c r="BI51" s="9">
        <v>0.0</v>
      </c>
      <c r="BJ51" s="9">
        <v>0.0</v>
      </c>
      <c r="BK51" s="9">
        <v>0.0</v>
      </c>
      <c r="BL51" s="9">
        <v>0.0</v>
      </c>
      <c r="BM51" s="9">
        <v>0.0</v>
      </c>
      <c r="BN51" s="9">
        <v>0.0</v>
      </c>
      <c r="BO51" s="9">
        <v>0.0</v>
      </c>
      <c r="BP51" s="9" t="s">
        <v>84</v>
      </c>
      <c r="BQ51" s="9" t="s">
        <v>84</v>
      </c>
      <c r="BR51" s="9">
        <v>0.0</v>
      </c>
      <c r="BS51" s="9" t="s">
        <v>84</v>
      </c>
      <c r="BT51" s="9">
        <v>0.0</v>
      </c>
      <c r="BU51" s="9">
        <v>0.0</v>
      </c>
      <c r="BV51" s="9">
        <v>0.0</v>
      </c>
      <c r="BW51" s="10">
        <v>0.0</v>
      </c>
      <c r="BX51" s="14">
        <v>0.0</v>
      </c>
      <c r="BY51" s="9">
        <v>0.0</v>
      </c>
      <c r="BZ51" s="9">
        <v>0.0</v>
      </c>
      <c r="CA51" s="9">
        <v>0.0</v>
      </c>
      <c r="CB51" s="9">
        <v>0.0</v>
      </c>
      <c r="CC51" s="15" t="s">
        <v>101</v>
      </c>
      <c r="CD51" s="17"/>
    </row>
    <row r="52" ht="15.75" customHeight="1">
      <c r="A52" s="9">
        <v>51.0</v>
      </c>
      <c r="B52" s="10">
        <v>58.0</v>
      </c>
      <c r="C52" s="9" t="s">
        <v>81</v>
      </c>
      <c r="D52" s="11" t="s">
        <v>82</v>
      </c>
      <c r="E52" s="9">
        <v>6.0</v>
      </c>
      <c r="F52" s="12">
        <v>177.8</v>
      </c>
      <c r="G52" s="12">
        <v>92.1</v>
      </c>
      <c r="H52" s="12">
        <f t="shared" si="2"/>
        <v>29.13373174</v>
      </c>
      <c r="I52" s="9">
        <v>0.0</v>
      </c>
      <c r="J52" s="9">
        <v>2.0</v>
      </c>
      <c r="K52" s="9">
        <v>2.0</v>
      </c>
      <c r="L52" s="9">
        <v>0.0</v>
      </c>
      <c r="M52" s="9">
        <v>106.0</v>
      </c>
      <c r="N52" s="9">
        <v>0.0</v>
      </c>
      <c r="O52" s="9">
        <v>148.0</v>
      </c>
      <c r="P52" s="9">
        <v>0.0</v>
      </c>
      <c r="Q52" s="9">
        <v>26.0</v>
      </c>
      <c r="R52" s="9">
        <v>0.0</v>
      </c>
      <c r="S52" s="12">
        <v>97.5</v>
      </c>
      <c r="T52" s="9">
        <v>0.0</v>
      </c>
      <c r="U52" s="9">
        <v>96.0</v>
      </c>
      <c r="V52" s="9">
        <v>1.0</v>
      </c>
      <c r="W52" s="9">
        <v>0.0</v>
      </c>
      <c r="X52" s="9">
        <v>0.0</v>
      </c>
      <c r="Y52" s="9">
        <v>0.0</v>
      </c>
      <c r="Z52" s="9">
        <v>0.0</v>
      </c>
      <c r="AA52" s="9">
        <v>0.0</v>
      </c>
      <c r="AB52" s="9">
        <v>0.0</v>
      </c>
      <c r="AC52" s="9">
        <v>0.0</v>
      </c>
      <c r="AD52" s="9">
        <v>0.0</v>
      </c>
      <c r="AE52" s="9">
        <v>0.0</v>
      </c>
      <c r="AF52" s="9">
        <v>0.0</v>
      </c>
      <c r="AG52" s="9">
        <v>0.0</v>
      </c>
      <c r="AH52" s="9">
        <v>0.0</v>
      </c>
      <c r="AI52" s="9">
        <v>0.0</v>
      </c>
      <c r="AJ52" s="9">
        <v>0.0</v>
      </c>
      <c r="AK52" s="9">
        <v>0.0</v>
      </c>
      <c r="AL52" s="9">
        <v>1.0</v>
      </c>
      <c r="AM52" s="9">
        <v>0.0</v>
      </c>
      <c r="AN52" s="9">
        <v>0.0</v>
      </c>
      <c r="AO52" s="9">
        <v>1.0</v>
      </c>
      <c r="AP52" s="9">
        <v>1.0</v>
      </c>
      <c r="AQ52" s="9">
        <v>0.0</v>
      </c>
      <c r="AR52" s="9">
        <v>0.0</v>
      </c>
      <c r="AS52" s="9">
        <v>1.0</v>
      </c>
      <c r="AT52" s="9">
        <v>1.0</v>
      </c>
      <c r="AU52" s="9">
        <v>1.0</v>
      </c>
      <c r="AV52" s="9">
        <v>0.0</v>
      </c>
      <c r="AW52" s="9">
        <v>37.9</v>
      </c>
      <c r="AX52" s="13">
        <f>3.3/4.5</f>
        <v>0.7333333333</v>
      </c>
      <c r="AY52" s="10">
        <v>0.0</v>
      </c>
      <c r="AZ52" s="10">
        <v>0.0</v>
      </c>
      <c r="BA52" s="10">
        <v>0.0</v>
      </c>
      <c r="BB52" s="13">
        <f>3.81/3.75</f>
        <v>1.016</v>
      </c>
      <c r="BC52" s="10">
        <v>2.0</v>
      </c>
      <c r="BD52" s="10">
        <v>0.0</v>
      </c>
      <c r="BE52" s="10"/>
      <c r="BF52" s="9">
        <v>0.0</v>
      </c>
      <c r="BG52" s="9" t="s">
        <v>84</v>
      </c>
      <c r="BH52" s="9">
        <v>1.0</v>
      </c>
      <c r="BI52" s="9">
        <v>0.0</v>
      </c>
      <c r="BJ52" s="9">
        <v>0.0</v>
      </c>
      <c r="BK52" s="9">
        <v>0.0</v>
      </c>
      <c r="BL52" s="9">
        <v>0.0</v>
      </c>
      <c r="BM52" s="9">
        <v>0.0</v>
      </c>
      <c r="BN52" s="9">
        <v>0.0</v>
      </c>
      <c r="BO52" s="9">
        <v>1.0</v>
      </c>
      <c r="BP52" s="9">
        <v>0.0</v>
      </c>
      <c r="BQ52" s="9">
        <v>1.0</v>
      </c>
      <c r="BR52" s="9">
        <v>0.0</v>
      </c>
      <c r="BS52" s="9" t="s">
        <v>84</v>
      </c>
      <c r="BT52" s="9">
        <v>0.0</v>
      </c>
      <c r="BU52" s="9">
        <v>0.0</v>
      </c>
      <c r="BV52" s="9">
        <v>0.0</v>
      </c>
      <c r="BW52" s="10" t="s">
        <v>94</v>
      </c>
      <c r="BX52" s="14" t="s">
        <v>94</v>
      </c>
      <c r="BY52" s="9">
        <v>0.0</v>
      </c>
      <c r="BZ52" s="9">
        <v>0.0</v>
      </c>
      <c r="CA52" s="9">
        <v>0.0</v>
      </c>
      <c r="CB52" s="9">
        <v>0.0</v>
      </c>
      <c r="CC52" s="15" t="s">
        <v>101</v>
      </c>
      <c r="CD52" s="17"/>
    </row>
    <row r="53" ht="15.75" customHeight="1">
      <c r="A53" s="9">
        <v>52.0</v>
      </c>
      <c r="B53" s="10">
        <v>80.0</v>
      </c>
      <c r="C53" s="9" t="s">
        <v>81</v>
      </c>
      <c r="D53" s="11" t="s">
        <v>82</v>
      </c>
      <c r="E53" s="9" t="s">
        <v>103</v>
      </c>
      <c r="F53" s="12">
        <v>175.26</v>
      </c>
      <c r="G53" s="12">
        <v>82.6</v>
      </c>
      <c r="H53" s="12">
        <f t="shared" si="2"/>
        <v>26.89146315</v>
      </c>
      <c r="I53" s="9">
        <v>1.0</v>
      </c>
      <c r="J53" s="9">
        <v>3.0</v>
      </c>
      <c r="K53" s="9">
        <v>1.0</v>
      </c>
      <c r="L53" s="9">
        <v>0.0</v>
      </c>
      <c r="M53" s="9">
        <v>96.0</v>
      </c>
      <c r="N53" s="9">
        <v>0.0</v>
      </c>
      <c r="O53" s="9">
        <v>155.0</v>
      </c>
      <c r="P53" s="9">
        <v>0.0</v>
      </c>
      <c r="Q53" s="9">
        <v>16.0</v>
      </c>
      <c r="R53" s="9">
        <v>0.0</v>
      </c>
      <c r="S53" s="12">
        <v>98.0</v>
      </c>
      <c r="T53" s="9">
        <v>0.0</v>
      </c>
      <c r="U53" s="9">
        <v>98.0</v>
      </c>
      <c r="V53" s="9">
        <v>0.0</v>
      </c>
      <c r="W53" s="9">
        <v>0.0</v>
      </c>
      <c r="X53" s="9">
        <v>0.0</v>
      </c>
      <c r="Y53" s="9">
        <v>1.0</v>
      </c>
      <c r="Z53" s="9">
        <v>0.0</v>
      </c>
      <c r="AA53" s="9">
        <v>0.0</v>
      </c>
      <c r="AB53" s="9">
        <v>0.0</v>
      </c>
      <c r="AC53" s="9">
        <v>0.0</v>
      </c>
      <c r="AD53" s="9">
        <v>0.0</v>
      </c>
      <c r="AE53" s="9">
        <v>1.0</v>
      </c>
      <c r="AF53" s="9" t="s">
        <v>84</v>
      </c>
      <c r="AG53" s="9" t="s">
        <v>84</v>
      </c>
      <c r="AH53" s="9" t="s">
        <v>84</v>
      </c>
      <c r="AI53" s="9" t="s">
        <v>84</v>
      </c>
      <c r="AJ53" s="9">
        <v>1.0</v>
      </c>
      <c r="AK53" s="9" t="s">
        <v>84</v>
      </c>
      <c r="AL53" s="9" t="s">
        <v>84</v>
      </c>
      <c r="AM53" s="9">
        <v>0.0</v>
      </c>
      <c r="AN53" s="9">
        <v>0.0</v>
      </c>
      <c r="AO53" s="9" t="s">
        <v>84</v>
      </c>
      <c r="AP53" s="9" t="s">
        <v>84</v>
      </c>
      <c r="AQ53" s="9">
        <v>0.0</v>
      </c>
      <c r="AR53" s="9">
        <v>0.0</v>
      </c>
      <c r="AS53" s="9" t="s">
        <v>84</v>
      </c>
      <c r="AT53" s="9" t="s">
        <v>84</v>
      </c>
      <c r="AU53" s="9" t="s">
        <v>84</v>
      </c>
      <c r="AV53" s="9" t="s">
        <v>84</v>
      </c>
      <c r="AW53" s="9" t="s">
        <v>84</v>
      </c>
      <c r="AX53" s="13">
        <f>3.34/3.79</f>
        <v>0.8812664908</v>
      </c>
      <c r="AY53" s="10">
        <v>1.0</v>
      </c>
      <c r="AZ53" s="10">
        <v>0.0</v>
      </c>
      <c r="BA53" s="10">
        <v>0.0</v>
      </c>
      <c r="BB53" s="13">
        <f>2.68/3.58</f>
        <v>0.748603352</v>
      </c>
      <c r="BC53" s="10">
        <v>3.0</v>
      </c>
      <c r="BD53" s="10">
        <v>0.0</v>
      </c>
      <c r="BE53" s="10"/>
      <c r="BF53" s="9" t="s">
        <v>84</v>
      </c>
      <c r="BG53" s="9" t="s">
        <v>84</v>
      </c>
      <c r="BH53" s="9" t="s">
        <v>84</v>
      </c>
      <c r="BI53" s="9">
        <v>0.0</v>
      </c>
      <c r="BJ53" s="9" t="s">
        <v>84</v>
      </c>
      <c r="BK53" s="9" t="s">
        <v>84</v>
      </c>
      <c r="BL53" s="9" t="s">
        <v>84</v>
      </c>
      <c r="BM53" s="9" t="s">
        <v>84</v>
      </c>
      <c r="BN53" s="9" t="s">
        <v>84</v>
      </c>
      <c r="BO53" s="9">
        <v>0.0</v>
      </c>
      <c r="BP53" s="9" t="s">
        <v>84</v>
      </c>
      <c r="BQ53" s="9" t="s">
        <v>84</v>
      </c>
      <c r="BR53" s="9" t="s">
        <v>84</v>
      </c>
      <c r="BS53" s="9" t="s">
        <v>84</v>
      </c>
      <c r="BT53" s="9" t="s">
        <v>84</v>
      </c>
      <c r="BU53" s="9" t="s">
        <v>84</v>
      </c>
      <c r="BV53" s="9">
        <v>0.0</v>
      </c>
      <c r="BW53" s="10">
        <v>0.0</v>
      </c>
      <c r="BX53" s="14">
        <v>0.0</v>
      </c>
      <c r="BY53" s="9" t="s">
        <v>84</v>
      </c>
      <c r="BZ53" s="9" t="s">
        <v>84</v>
      </c>
      <c r="CA53" s="9">
        <v>0.0</v>
      </c>
      <c r="CB53" s="9">
        <v>0.0</v>
      </c>
      <c r="CC53" s="15" t="s">
        <v>113</v>
      </c>
      <c r="CD53" s="17"/>
    </row>
    <row r="54" ht="15.75" customHeight="1">
      <c r="A54" s="9">
        <v>53.0</v>
      </c>
      <c r="B54" s="10">
        <v>75.0</v>
      </c>
      <c r="C54" s="9" t="s">
        <v>86</v>
      </c>
      <c r="D54" s="11" t="s">
        <v>88</v>
      </c>
      <c r="E54" s="9" t="s">
        <v>103</v>
      </c>
      <c r="F54" s="12">
        <v>167.64000000000001</v>
      </c>
      <c r="G54" s="12">
        <v>123.5</v>
      </c>
      <c r="H54" s="12">
        <f t="shared" si="2"/>
        <v>43.94522104</v>
      </c>
      <c r="I54" s="9">
        <v>0.0</v>
      </c>
      <c r="J54" s="9">
        <v>2.0</v>
      </c>
      <c r="K54" s="9">
        <v>1.0</v>
      </c>
      <c r="L54" s="9">
        <v>0.0</v>
      </c>
      <c r="M54" s="9">
        <v>89.0</v>
      </c>
      <c r="N54" s="9">
        <v>0.0</v>
      </c>
      <c r="O54" s="9">
        <v>159.0</v>
      </c>
      <c r="P54" s="9">
        <v>0.0</v>
      </c>
      <c r="Q54" s="9">
        <v>19.0</v>
      </c>
      <c r="R54" s="9">
        <v>0.0</v>
      </c>
      <c r="S54" s="12">
        <v>98.2</v>
      </c>
      <c r="T54" s="9">
        <v>0.0</v>
      </c>
      <c r="U54" s="9">
        <v>94.0</v>
      </c>
      <c r="V54" s="9">
        <v>1.0</v>
      </c>
      <c r="W54" s="9">
        <v>0.0</v>
      </c>
      <c r="X54" s="9">
        <v>0.0</v>
      </c>
      <c r="Y54" s="9">
        <v>0.0</v>
      </c>
      <c r="Z54" s="9">
        <v>0.0</v>
      </c>
      <c r="AA54" s="9">
        <v>0.0</v>
      </c>
      <c r="AB54" s="9">
        <v>0.0</v>
      </c>
      <c r="AC54" s="9">
        <v>0.0</v>
      </c>
      <c r="AD54" s="9">
        <v>0.0</v>
      </c>
      <c r="AE54" s="9">
        <v>0.0</v>
      </c>
      <c r="AF54" s="9">
        <v>0.0</v>
      </c>
      <c r="AG54" s="9">
        <v>0.0</v>
      </c>
      <c r="AH54" s="9">
        <v>0.0</v>
      </c>
      <c r="AI54" s="9">
        <v>0.0</v>
      </c>
      <c r="AJ54" s="9">
        <v>0.0</v>
      </c>
      <c r="AK54" s="9">
        <v>0.0</v>
      </c>
      <c r="AL54" s="9">
        <v>0.0</v>
      </c>
      <c r="AM54" s="9">
        <v>0.0</v>
      </c>
      <c r="AN54" s="9">
        <v>0.0</v>
      </c>
      <c r="AO54" s="9" t="s">
        <v>84</v>
      </c>
      <c r="AP54" s="9" t="s">
        <v>84</v>
      </c>
      <c r="AQ54" s="9" t="s">
        <v>84</v>
      </c>
      <c r="AR54" s="9">
        <v>0.0</v>
      </c>
      <c r="AS54" s="9">
        <v>0.0</v>
      </c>
      <c r="AT54" s="9">
        <v>0.0</v>
      </c>
      <c r="AU54" s="9">
        <v>0.0</v>
      </c>
      <c r="AV54" s="9">
        <v>0.0</v>
      </c>
      <c r="AW54" s="9">
        <v>37.0</v>
      </c>
      <c r="AX54" s="13">
        <f>4.25/3.55</f>
        <v>1.197183099</v>
      </c>
      <c r="AY54" s="10">
        <v>0.0</v>
      </c>
      <c r="AZ54" s="10">
        <v>0.0</v>
      </c>
      <c r="BA54" s="10">
        <v>1.0</v>
      </c>
      <c r="BB54" s="13">
        <f>3/3.13</f>
        <v>0.9584664537</v>
      </c>
      <c r="BC54" s="10">
        <v>4.0</v>
      </c>
      <c r="BD54" s="10">
        <v>0.0</v>
      </c>
      <c r="BE54" s="10"/>
      <c r="BF54" s="9">
        <v>0.0</v>
      </c>
      <c r="BG54" s="9" t="s">
        <v>84</v>
      </c>
      <c r="BH54" s="9">
        <v>0.0</v>
      </c>
      <c r="BI54" s="9">
        <v>0.0</v>
      </c>
      <c r="BJ54" s="9">
        <v>0.0</v>
      </c>
      <c r="BK54" s="9">
        <v>0.0</v>
      </c>
      <c r="BL54" s="9">
        <v>0.0</v>
      </c>
      <c r="BM54" s="9">
        <v>0.0</v>
      </c>
      <c r="BN54" s="9">
        <v>0.0</v>
      </c>
      <c r="BO54" s="9">
        <v>0.0</v>
      </c>
      <c r="BP54" s="9" t="s">
        <v>84</v>
      </c>
      <c r="BQ54" s="9" t="s">
        <v>84</v>
      </c>
      <c r="BR54" s="9">
        <v>0.0</v>
      </c>
      <c r="BS54" s="9" t="s">
        <v>84</v>
      </c>
      <c r="BT54" s="9">
        <v>0.0</v>
      </c>
      <c r="BU54" s="9">
        <v>0.0</v>
      </c>
      <c r="BV54" s="9">
        <v>0.0</v>
      </c>
      <c r="BW54" s="10">
        <v>0.0</v>
      </c>
      <c r="BX54" s="14">
        <v>0.0</v>
      </c>
      <c r="BY54" s="9">
        <v>0.0</v>
      </c>
      <c r="BZ54" s="9">
        <v>0.0</v>
      </c>
      <c r="CA54" s="9">
        <v>0.0</v>
      </c>
      <c r="CB54" s="9">
        <v>0.0</v>
      </c>
      <c r="CC54" s="15" t="s">
        <v>101</v>
      </c>
      <c r="CD54" s="17"/>
    </row>
    <row r="55" ht="15.75" customHeight="1">
      <c r="A55" s="9">
        <v>54.0</v>
      </c>
      <c r="B55" s="10">
        <v>56.0</v>
      </c>
      <c r="C55" s="9" t="s">
        <v>81</v>
      </c>
      <c r="D55" s="11" t="s">
        <v>88</v>
      </c>
      <c r="E55" s="9" t="s">
        <v>83</v>
      </c>
      <c r="F55" s="12">
        <v>180.34</v>
      </c>
      <c r="G55" s="12">
        <v>95.7</v>
      </c>
      <c r="H55" s="12">
        <f t="shared" si="2"/>
        <v>29.42576804</v>
      </c>
      <c r="I55" s="9">
        <v>0.0</v>
      </c>
      <c r="J55" s="9">
        <v>2.0</v>
      </c>
      <c r="K55" s="9">
        <v>4.0</v>
      </c>
      <c r="L55" s="9">
        <v>0.0</v>
      </c>
      <c r="M55" s="9">
        <v>90.0</v>
      </c>
      <c r="N55" s="9">
        <v>0.0</v>
      </c>
      <c r="O55" s="9">
        <v>106.0</v>
      </c>
      <c r="P55" s="9">
        <v>0.0</v>
      </c>
      <c r="Q55" s="9">
        <v>20.0</v>
      </c>
      <c r="R55" s="9" t="s">
        <v>84</v>
      </c>
      <c r="S55" s="12" t="s">
        <v>84</v>
      </c>
      <c r="T55" s="9">
        <v>0.0</v>
      </c>
      <c r="U55" s="9">
        <v>94.0</v>
      </c>
      <c r="V55" s="9">
        <v>0.0</v>
      </c>
      <c r="W55" s="9">
        <v>0.0</v>
      </c>
      <c r="X55" s="9">
        <v>0.0</v>
      </c>
      <c r="Y55" s="9">
        <v>0.0</v>
      </c>
      <c r="Z55" s="9">
        <v>0.0</v>
      </c>
      <c r="AA55" s="9">
        <v>0.0</v>
      </c>
      <c r="AB55" s="9">
        <v>0.0</v>
      </c>
      <c r="AC55" s="9">
        <v>0.0</v>
      </c>
      <c r="AD55" s="9">
        <v>0.0</v>
      </c>
      <c r="AE55" s="9">
        <v>0.0</v>
      </c>
      <c r="AF55" s="9">
        <v>0.0</v>
      </c>
      <c r="AG55" s="9">
        <v>0.0</v>
      </c>
      <c r="AH55" s="9">
        <v>0.0</v>
      </c>
      <c r="AI55" s="9">
        <v>0.0</v>
      </c>
      <c r="AJ55" s="9">
        <v>0.0</v>
      </c>
      <c r="AK55" s="9">
        <v>0.0</v>
      </c>
      <c r="AL55" s="9">
        <v>0.0</v>
      </c>
      <c r="AM55" s="9">
        <v>0.0</v>
      </c>
      <c r="AN55" s="9">
        <v>0.0</v>
      </c>
      <c r="AO55" s="9">
        <v>1.0</v>
      </c>
      <c r="AP55" s="9">
        <v>1.0</v>
      </c>
      <c r="AQ55" s="9" t="s">
        <v>84</v>
      </c>
      <c r="AR55" s="9" t="s">
        <v>84</v>
      </c>
      <c r="AS55" s="9" t="s">
        <v>84</v>
      </c>
      <c r="AT55" s="9" t="s">
        <v>84</v>
      </c>
      <c r="AU55" s="9" t="s">
        <v>84</v>
      </c>
      <c r="AV55" s="9" t="s">
        <v>84</v>
      </c>
      <c r="AW55" s="9" t="s">
        <v>84</v>
      </c>
      <c r="AX55" s="13">
        <f>3.66/4.6</f>
        <v>0.7956521739</v>
      </c>
      <c r="AY55" s="10">
        <v>0.0</v>
      </c>
      <c r="AZ55" s="10">
        <v>0.0</v>
      </c>
      <c r="BA55" s="10">
        <v>0.0</v>
      </c>
      <c r="BB55" s="13">
        <f>2.78/2.75</f>
        <v>1.010909091</v>
      </c>
      <c r="BC55" s="10">
        <v>5.0</v>
      </c>
      <c r="BD55" s="10">
        <v>0.0</v>
      </c>
      <c r="BE55" s="10"/>
      <c r="BF55" s="9">
        <v>0.0</v>
      </c>
      <c r="BG55" s="9" t="s">
        <v>84</v>
      </c>
      <c r="BH55" s="9">
        <v>0.0</v>
      </c>
      <c r="BI55" s="9">
        <v>0.0</v>
      </c>
      <c r="BJ55" s="9">
        <v>0.0</v>
      </c>
      <c r="BK55" s="9">
        <v>0.0</v>
      </c>
      <c r="BL55" s="9">
        <v>0.0</v>
      </c>
      <c r="BM55" s="9">
        <v>0.0</v>
      </c>
      <c r="BN55" s="9">
        <v>0.0</v>
      </c>
      <c r="BO55" s="9">
        <v>0.0</v>
      </c>
      <c r="BP55" s="9" t="s">
        <v>84</v>
      </c>
      <c r="BQ55" s="9" t="s">
        <v>84</v>
      </c>
      <c r="BR55" s="9">
        <v>0.0</v>
      </c>
      <c r="BS55" s="9" t="s">
        <v>84</v>
      </c>
      <c r="BT55" s="9">
        <v>0.0</v>
      </c>
      <c r="BU55" s="9">
        <v>0.0</v>
      </c>
      <c r="BV55" s="9">
        <v>0.0</v>
      </c>
      <c r="BW55" s="10">
        <v>0.0</v>
      </c>
      <c r="BX55" s="14">
        <v>0.0</v>
      </c>
      <c r="BY55" s="9">
        <v>0.0</v>
      </c>
      <c r="BZ55" s="9">
        <v>0.0</v>
      </c>
      <c r="CA55" s="9">
        <v>0.0</v>
      </c>
      <c r="CB55" s="9">
        <v>0.0</v>
      </c>
      <c r="CC55" s="15" t="s">
        <v>95</v>
      </c>
      <c r="CD55" s="17"/>
    </row>
    <row r="56" ht="15.75" customHeight="1">
      <c r="A56" s="9">
        <v>55.0</v>
      </c>
      <c r="B56" s="10">
        <v>68.0</v>
      </c>
      <c r="C56" s="9" t="s">
        <v>81</v>
      </c>
      <c r="D56" s="11" t="s">
        <v>82</v>
      </c>
      <c r="E56" s="9" t="s">
        <v>93</v>
      </c>
      <c r="F56" s="12">
        <v>177.8</v>
      </c>
      <c r="G56" s="12">
        <v>112.8</v>
      </c>
      <c r="H56" s="12">
        <f t="shared" si="2"/>
        <v>35.68170402</v>
      </c>
      <c r="I56" s="9">
        <v>0.0</v>
      </c>
      <c r="J56" s="9">
        <v>2.0</v>
      </c>
      <c r="K56" s="9">
        <v>2.0</v>
      </c>
      <c r="L56" s="9">
        <v>0.0</v>
      </c>
      <c r="M56" s="9">
        <v>104.0</v>
      </c>
      <c r="N56" s="9">
        <v>0.0</v>
      </c>
      <c r="O56" s="9">
        <v>128.0</v>
      </c>
      <c r="P56" s="9">
        <v>0.0</v>
      </c>
      <c r="Q56" s="9">
        <v>15.0</v>
      </c>
      <c r="R56" s="9">
        <v>0.0</v>
      </c>
      <c r="S56" s="12">
        <v>98.1</v>
      </c>
      <c r="T56" s="9">
        <v>0.0</v>
      </c>
      <c r="U56" s="9">
        <v>98.0</v>
      </c>
      <c r="V56" s="9">
        <v>0.0</v>
      </c>
      <c r="W56" s="9">
        <v>0.0</v>
      </c>
      <c r="X56" s="9">
        <v>0.0</v>
      </c>
      <c r="Y56" s="9">
        <v>0.0</v>
      </c>
      <c r="Z56" s="9">
        <v>0.0</v>
      </c>
      <c r="AA56" s="9">
        <v>0.0</v>
      </c>
      <c r="AB56" s="9">
        <v>0.0</v>
      </c>
      <c r="AC56" s="9">
        <v>0.0</v>
      </c>
      <c r="AD56" s="9">
        <v>0.0</v>
      </c>
      <c r="AE56" s="9">
        <v>0.0</v>
      </c>
      <c r="AF56" s="9">
        <v>1.0</v>
      </c>
      <c r="AG56" s="9">
        <v>0.0</v>
      </c>
      <c r="AH56" s="9">
        <v>0.0</v>
      </c>
      <c r="AI56" s="9">
        <v>0.0</v>
      </c>
      <c r="AJ56" s="9">
        <v>0.0</v>
      </c>
      <c r="AK56" s="9">
        <v>1.0</v>
      </c>
      <c r="AL56" s="9">
        <v>0.0</v>
      </c>
      <c r="AM56" s="9">
        <v>0.0</v>
      </c>
      <c r="AN56" s="9">
        <v>0.0</v>
      </c>
      <c r="AO56" s="9">
        <v>1.0</v>
      </c>
      <c r="AP56" s="9">
        <v>1.0</v>
      </c>
      <c r="AQ56" s="9">
        <v>1.0</v>
      </c>
      <c r="AR56" s="9">
        <v>0.0</v>
      </c>
      <c r="AS56" s="9">
        <v>1.0</v>
      </c>
      <c r="AT56" s="9">
        <v>1.0</v>
      </c>
      <c r="AU56" s="9">
        <v>1.0</v>
      </c>
      <c r="AV56" s="9">
        <v>0.0</v>
      </c>
      <c r="AW56" s="9" t="s">
        <v>97</v>
      </c>
      <c r="AX56" s="13">
        <f>5.72/4.08</f>
        <v>1.401960784</v>
      </c>
      <c r="AY56" s="10">
        <v>0.0</v>
      </c>
      <c r="AZ56" s="10">
        <v>0.0</v>
      </c>
      <c r="BA56" s="10">
        <v>1.0</v>
      </c>
      <c r="BB56" s="13">
        <f>3.84/3.74</f>
        <v>1.026737968</v>
      </c>
      <c r="BC56" s="10">
        <v>4.0</v>
      </c>
      <c r="BD56" s="10">
        <v>1.0</v>
      </c>
      <c r="BE56" s="10"/>
      <c r="BF56" s="9">
        <v>0.0</v>
      </c>
      <c r="BG56" s="9" t="s">
        <v>84</v>
      </c>
      <c r="BH56" s="9">
        <v>1.0</v>
      </c>
      <c r="BI56" s="9">
        <v>0.0</v>
      </c>
      <c r="BJ56" s="9">
        <v>0.0</v>
      </c>
      <c r="BK56" s="9">
        <v>0.0</v>
      </c>
      <c r="BL56" s="9">
        <v>0.0</v>
      </c>
      <c r="BM56" s="9">
        <v>0.0</v>
      </c>
      <c r="BN56" s="9">
        <v>0.0</v>
      </c>
      <c r="BO56" s="9">
        <v>1.0</v>
      </c>
      <c r="BP56" s="9">
        <v>1.0</v>
      </c>
      <c r="BQ56" s="9">
        <v>1.0</v>
      </c>
      <c r="BR56" s="9">
        <v>0.0</v>
      </c>
      <c r="BS56" s="9" t="s">
        <v>84</v>
      </c>
      <c r="BT56" s="9">
        <v>0.0</v>
      </c>
      <c r="BU56" s="9">
        <v>0.0</v>
      </c>
      <c r="BV56" s="9">
        <v>0.0</v>
      </c>
      <c r="BW56" s="10">
        <v>0.0</v>
      </c>
      <c r="BX56" s="14">
        <v>0.0</v>
      </c>
      <c r="BY56" s="9">
        <v>1.0</v>
      </c>
      <c r="BZ56" s="9">
        <v>0.0</v>
      </c>
      <c r="CA56" s="9">
        <v>0.0</v>
      </c>
      <c r="CB56" s="9">
        <v>0.0</v>
      </c>
      <c r="CC56" s="15" t="s">
        <v>95</v>
      </c>
      <c r="CD56" s="17"/>
    </row>
    <row r="57" ht="15.75" customHeight="1">
      <c r="A57" s="9">
        <v>56.0</v>
      </c>
      <c r="B57" s="10">
        <v>69.0</v>
      </c>
      <c r="C57" s="9" t="s">
        <v>81</v>
      </c>
      <c r="D57" s="11" t="s">
        <v>82</v>
      </c>
      <c r="E57" s="9" t="s">
        <v>99</v>
      </c>
      <c r="F57" s="12">
        <v>177.8</v>
      </c>
      <c r="G57" s="12">
        <v>96.2</v>
      </c>
      <c r="H57" s="12">
        <f t="shared" si="2"/>
        <v>30.43067311</v>
      </c>
      <c r="I57" s="9">
        <v>0.0</v>
      </c>
      <c r="J57" s="9">
        <v>2.0</v>
      </c>
      <c r="K57" s="9">
        <v>1.0</v>
      </c>
      <c r="L57" s="9">
        <v>0.0</v>
      </c>
      <c r="M57" s="9">
        <v>96.0</v>
      </c>
      <c r="N57" s="9">
        <v>0.0</v>
      </c>
      <c r="O57" s="9">
        <v>137.0</v>
      </c>
      <c r="P57" s="9">
        <v>0.0</v>
      </c>
      <c r="Q57" s="9">
        <v>17.0</v>
      </c>
      <c r="R57" s="9">
        <v>0.0</v>
      </c>
      <c r="S57" s="12">
        <v>98.2</v>
      </c>
      <c r="T57" s="9">
        <v>0.0</v>
      </c>
      <c r="U57" s="9">
        <v>94.0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0.0</v>
      </c>
      <c r="AB57" s="9">
        <v>0.0</v>
      </c>
      <c r="AC57" s="9">
        <v>0.0</v>
      </c>
      <c r="AD57" s="9">
        <v>0.0</v>
      </c>
      <c r="AE57" s="9">
        <v>0.0</v>
      </c>
      <c r="AF57" s="9">
        <v>0.0</v>
      </c>
      <c r="AG57" s="9">
        <v>0.0</v>
      </c>
      <c r="AH57" s="9">
        <v>0.0</v>
      </c>
      <c r="AI57" s="9">
        <v>0.0</v>
      </c>
      <c r="AJ57" s="9">
        <v>0.0</v>
      </c>
      <c r="AK57" s="9">
        <v>0.0</v>
      </c>
      <c r="AL57" s="9">
        <v>1.0</v>
      </c>
      <c r="AM57" s="9">
        <v>0.0</v>
      </c>
      <c r="AN57" s="9">
        <v>0.0</v>
      </c>
      <c r="AO57" s="9">
        <v>1.0</v>
      </c>
      <c r="AP57" s="9">
        <v>1.0</v>
      </c>
      <c r="AQ57" s="9">
        <v>0.0</v>
      </c>
      <c r="AR57" s="9">
        <v>0.0</v>
      </c>
      <c r="AS57" s="9">
        <v>0.0</v>
      </c>
      <c r="AT57" s="9">
        <v>0.0</v>
      </c>
      <c r="AU57" s="9">
        <v>0.0</v>
      </c>
      <c r="AV57" s="9">
        <v>0.0</v>
      </c>
      <c r="AW57" s="9">
        <v>34.0</v>
      </c>
      <c r="AX57" s="13">
        <f>3.87/4.06</f>
        <v>0.9532019704</v>
      </c>
      <c r="AY57" s="10">
        <v>0.0</v>
      </c>
      <c r="AZ57" s="10">
        <v>0.0</v>
      </c>
      <c r="BA57" s="10">
        <v>1.0</v>
      </c>
      <c r="BB57" s="13">
        <f>2.59/3.66</f>
        <v>0.7076502732</v>
      </c>
      <c r="BC57" s="10">
        <v>1.0</v>
      </c>
      <c r="BD57" s="10">
        <v>0.0</v>
      </c>
      <c r="BE57" s="10"/>
      <c r="BF57" s="9">
        <v>0.0</v>
      </c>
      <c r="BG57" s="9" t="s">
        <v>84</v>
      </c>
      <c r="BH57" s="9">
        <v>1.0</v>
      </c>
      <c r="BI57" s="9">
        <v>0.0</v>
      </c>
      <c r="BJ57" s="9">
        <v>0.0</v>
      </c>
      <c r="BK57" s="9">
        <v>0.0</v>
      </c>
      <c r="BL57" s="9">
        <v>0.0</v>
      </c>
      <c r="BM57" s="9">
        <v>0.0</v>
      </c>
      <c r="BN57" s="9">
        <v>0.0</v>
      </c>
      <c r="BO57" s="9">
        <v>1.0</v>
      </c>
      <c r="BP57" s="9">
        <v>0.0</v>
      </c>
      <c r="BQ57" s="9">
        <v>1.0</v>
      </c>
      <c r="BR57" s="9">
        <v>0.0</v>
      </c>
      <c r="BS57" s="9" t="s">
        <v>84</v>
      </c>
      <c r="BT57" s="9">
        <v>0.0</v>
      </c>
      <c r="BU57" s="9">
        <v>0.0</v>
      </c>
      <c r="BV57" s="9">
        <v>0.0</v>
      </c>
      <c r="BW57" s="10">
        <v>0.0</v>
      </c>
      <c r="BX57" s="14">
        <v>0.0</v>
      </c>
      <c r="BY57" s="9">
        <v>0.0</v>
      </c>
      <c r="BZ57" s="9">
        <v>1.0</v>
      </c>
      <c r="CA57" s="9">
        <v>0.0</v>
      </c>
      <c r="CB57" s="9">
        <v>0.0</v>
      </c>
      <c r="CC57" s="15" t="s">
        <v>101</v>
      </c>
      <c r="CD57" s="17"/>
    </row>
    <row r="58" ht="15.75" customHeight="1">
      <c r="A58" s="9">
        <v>57.0</v>
      </c>
      <c r="B58" s="10">
        <v>64.0</v>
      </c>
      <c r="C58" s="9" t="s">
        <v>81</v>
      </c>
      <c r="D58" s="11" t="s">
        <v>82</v>
      </c>
      <c r="E58" s="9" t="s">
        <v>93</v>
      </c>
      <c r="F58" s="12">
        <v>187.96</v>
      </c>
      <c r="G58" s="12">
        <v>95.0</v>
      </c>
      <c r="H58" s="12">
        <f t="shared" si="2"/>
        <v>26.89011952</v>
      </c>
      <c r="I58" s="9">
        <v>0.0</v>
      </c>
      <c r="J58" s="9">
        <v>2.0</v>
      </c>
      <c r="K58" s="9">
        <v>2.0</v>
      </c>
      <c r="L58" s="9">
        <v>0.0</v>
      </c>
      <c r="M58" s="9">
        <v>71.0</v>
      </c>
      <c r="N58" s="9">
        <v>0.0</v>
      </c>
      <c r="O58" s="9">
        <v>132.0</v>
      </c>
      <c r="P58" s="9">
        <v>0.0</v>
      </c>
      <c r="Q58" s="9">
        <v>23.0</v>
      </c>
      <c r="R58" s="9">
        <v>0.0</v>
      </c>
      <c r="S58" s="12">
        <v>97.7</v>
      </c>
      <c r="T58" s="9">
        <v>0.0</v>
      </c>
      <c r="U58" s="9">
        <v>97.0</v>
      </c>
      <c r="V58" s="9">
        <v>0.0</v>
      </c>
      <c r="W58" s="9">
        <v>0.0</v>
      </c>
      <c r="X58" s="9">
        <v>0.0</v>
      </c>
      <c r="Y58" s="9">
        <v>0.0</v>
      </c>
      <c r="Z58" s="9">
        <v>0.0</v>
      </c>
      <c r="AA58" s="9">
        <v>0.0</v>
      </c>
      <c r="AB58" s="9">
        <v>0.0</v>
      </c>
      <c r="AC58" s="9">
        <v>0.0</v>
      </c>
      <c r="AD58" s="9">
        <v>0.0</v>
      </c>
      <c r="AE58" s="9">
        <v>0.0</v>
      </c>
      <c r="AF58" s="9">
        <v>0.0</v>
      </c>
      <c r="AG58" s="9">
        <v>0.0</v>
      </c>
      <c r="AH58" s="9">
        <v>0.0</v>
      </c>
      <c r="AI58" s="9">
        <v>0.0</v>
      </c>
      <c r="AJ58" s="9">
        <v>0.0</v>
      </c>
      <c r="AK58" s="9">
        <v>0.0</v>
      </c>
      <c r="AL58" s="9">
        <v>0.0</v>
      </c>
      <c r="AM58" s="9">
        <v>0.0</v>
      </c>
      <c r="AN58" s="9">
        <v>0.0</v>
      </c>
      <c r="AO58" s="9">
        <v>1.0</v>
      </c>
      <c r="AP58" s="9">
        <v>1.0</v>
      </c>
      <c r="AQ58" s="9">
        <v>0.0</v>
      </c>
      <c r="AR58" s="9">
        <v>0.0</v>
      </c>
      <c r="AS58" s="9">
        <v>0.0</v>
      </c>
      <c r="AT58" s="9">
        <v>1.0</v>
      </c>
      <c r="AU58" s="9">
        <v>0.0</v>
      </c>
      <c r="AV58" s="9">
        <v>0.0</v>
      </c>
      <c r="AW58" s="9">
        <v>26.5</v>
      </c>
      <c r="AX58" s="13">
        <f>3.56/4.49</f>
        <v>0.7928730512</v>
      </c>
      <c r="AY58" s="10">
        <v>0.0</v>
      </c>
      <c r="AZ58" s="10">
        <v>0.0</v>
      </c>
      <c r="BA58" s="10">
        <v>0.0</v>
      </c>
      <c r="BB58" s="13">
        <f>2.45/3.85</f>
        <v>0.6363636364</v>
      </c>
      <c r="BC58" s="10">
        <v>1.0</v>
      </c>
      <c r="BD58" s="10">
        <v>0.0</v>
      </c>
      <c r="BE58" s="10"/>
      <c r="BF58" s="9">
        <v>0.0</v>
      </c>
      <c r="BG58" s="9" t="s">
        <v>84</v>
      </c>
      <c r="BH58" s="9">
        <v>0.0</v>
      </c>
      <c r="BI58" s="9">
        <v>0.0</v>
      </c>
      <c r="BJ58" s="9">
        <v>0.0</v>
      </c>
      <c r="BK58" s="9">
        <v>0.0</v>
      </c>
      <c r="BL58" s="9">
        <v>0.0</v>
      </c>
      <c r="BM58" s="9">
        <v>0.0</v>
      </c>
      <c r="BN58" s="9">
        <v>0.0</v>
      </c>
      <c r="BO58" s="9">
        <v>0.0</v>
      </c>
      <c r="BP58" s="9" t="s">
        <v>84</v>
      </c>
      <c r="BQ58" s="9" t="s">
        <v>84</v>
      </c>
      <c r="BR58" s="9">
        <v>0.0</v>
      </c>
      <c r="BS58" s="9" t="s">
        <v>84</v>
      </c>
      <c r="BT58" s="9">
        <v>0.0</v>
      </c>
      <c r="BU58" s="9">
        <v>0.0</v>
      </c>
      <c r="BV58" s="9">
        <v>0.0</v>
      </c>
      <c r="BW58" s="10">
        <v>0.0</v>
      </c>
      <c r="BX58" s="14">
        <v>0.0</v>
      </c>
      <c r="BY58" s="9">
        <v>0.0</v>
      </c>
      <c r="BZ58" s="9">
        <v>0.0</v>
      </c>
      <c r="CA58" s="9">
        <v>0.0</v>
      </c>
      <c r="CB58" s="9">
        <v>0.0</v>
      </c>
      <c r="CC58" s="15" t="s">
        <v>101</v>
      </c>
      <c r="CD58" s="17"/>
    </row>
    <row r="59" ht="15.75" customHeight="1">
      <c r="A59" s="9">
        <v>58.0</v>
      </c>
      <c r="B59" s="10">
        <v>55.0</v>
      </c>
      <c r="C59" s="9" t="s">
        <v>81</v>
      </c>
      <c r="D59" s="11" t="s">
        <v>82</v>
      </c>
      <c r="E59" s="9" t="s">
        <v>83</v>
      </c>
      <c r="F59" s="12">
        <v>185.42000000000002</v>
      </c>
      <c r="G59" s="12">
        <v>86.2</v>
      </c>
      <c r="H59" s="12">
        <f t="shared" si="2"/>
        <v>25.07229634</v>
      </c>
      <c r="I59" s="9">
        <v>1.0</v>
      </c>
      <c r="J59" s="9">
        <v>3.0</v>
      </c>
      <c r="K59" s="9">
        <v>2.0</v>
      </c>
      <c r="L59" s="9">
        <v>1.0</v>
      </c>
      <c r="M59" s="9">
        <v>120.0</v>
      </c>
      <c r="N59" s="9">
        <v>0.0</v>
      </c>
      <c r="O59" s="9">
        <v>119.0</v>
      </c>
      <c r="P59" s="9">
        <v>0.0</v>
      </c>
      <c r="Q59" s="9">
        <v>18.0</v>
      </c>
      <c r="R59" s="9">
        <v>0.0</v>
      </c>
      <c r="S59" s="12">
        <v>97.7</v>
      </c>
      <c r="T59" s="9">
        <v>0.0</v>
      </c>
      <c r="U59" s="9">
        <v>96.0</v>
      </c>
      <c r="V59" s="9">
        <v>1.0</v>
      </c>
      <c r="W59" s="9">
        <v>0.0</v>
      </c>
      <c r="X59" s="9">
        <v>0.0</v>
      </c>
      <c r="Y59" s="9">
        <v>0.0</v>
      </c>
      <c r="Z59" s="9">
        <v>0.0</v>
      </c>
      <c r="AA59" s="9">
        <v>0.0</v>
      </c>
      <c r="AB59" s="9">
        <v>0.0</v>
      </c>
      <c r="AC59" s="9">
        <v>1.0</v>
      </c>
      <c r="AD59" s="9">
        <v>0.0</v>
      </c>
      <c r="AE59" s="9">
        <v>0.0</v>
      </c>
      <c r="AF59" s="9">
        <v>0.0</v>
      </c>
      <c r="AG59" s="9">
        <v>0.0</v>
      </c>
      <c r="AH59" s="9">
        <v>0.0</v>
      </c>
      <c r="AI59" s="9">
        <v>0.0</v>
      </c>
      <c r="AJ59" s="9">
        <v>0.0</v>
      </c>
      <c r="AK59" s="9">
        <v>0.0</v>
      </c>
      <c r="AL59" s="9">
        <v>0.0</v>
      </c>
      <c r="AM59" s="9">
        <v>0.0</v>
      </c>
      <c r="AN59" s="9">
        <v>0.0</v>
      </c>
      <c r="AO59" s="9">
        <v>1.0</v>
      </c>
      <c r="AP59" s="9">
        <v>1.0</v>
      </c>
      <c r="AQ59" s="9">
        <v>1.0</v>
      </c>
      <c r="AR59" s="9">
        <v>0.0</v>
      </c>
      <c r="AS59" s="9">
        <v>1.0</v>
      </c>
      <c r="AT59" s="9">
        <v>1.0</v>
      </c>
      <c r="AU59" s="9">
        <v>1.0</v>
      </c>
      <c r="AV59" s="9">
        <v>0.0</v>
      </c>
      <c r="AW59" s="9">
        <v>63.0</v>
      </c>
      <c r="AX59" s="13">
        <f>5.74/3.61</f>
        <v>1.590027701</v>
      </c>
      <c r="AY59" s="10">
        <v>0.0</v>
      </c>
      <c r="AZ59" s="10">
        <v>0.0</v>
      </c>
      <c r="BA59" s="10">
        <v>1.0</v>
      </c>
      <c r="BB59" s="13">
        <f>3.44/3.28</f>
        <v>1.048780488</v>
      </c>
      <c r="BC59" s="10">
        <v>3.0</v>
      </c>
      <c r="BD59" s="10">
        <v>1.0</v>
      </c>
      <c r="BE59" s="10"/>
      <c r="BF59" s="9">
        <v>0.0</v>
      </c>
      <c r="BG59" s="9" t="s">
        <v>84</v>
      </c>
      <c r="BH59" s="9">
        <v>1.0</v>
      </c>
      <c r="BI59" s="9">
        <v>0.0</v>
      </c>
      <c r="BJ59" s="9">
        <v>0.0</v>
      </c>
      <c r="BK59" s="9">
        <v>0.0</v>
      </c>
      <c r="BL59" s="9">
        <v>0.0</v>
      </c>
      <c r="BM59" s="9">
        <v>0.0</v>
      </c>
      <c r="BN59" s="9">
        <v>1.0</v>
      </c>
      <c r="BO59" s="9">
        <v>0.0</v>
      </c>
      <c r="BP59" s="9">
        <v>1.0</v>
      </c>
      <c r="BQ59" s="9">
        <v>1.0</v>
      </c>
      <c r="BR59" s="9">
        <v>1.0</v>
      </c>
      <c r="BS59" s="15" t="s">
        <v>120</v>
      </c>
      <c r="BT59" s="9">
        <v>0.0</v>
      </c>
      <c r="BU59" s="9">
        <v>0.0</v>
      </c>
      <c r="BV59" s="9">
        <v>0.0</v>
      </c>
      <c r="BW59" s="10">
        <v>0.0</v>
      </c>
      <c r="BX59" s="14">
        <v>0.0</v>
      </c>
      <c r="BY59" s="9">
        <v>0.0</v>
      </c>
      <c r="BZ59" s="9">
        <v>0.0</v>
      </c>
      <c r="CA59" s="9">
        <v>0.0</v>
      </c>
      <c r="CB59" s="9">
        <v>0.0</v>
      </c>
      <c r="CC59" s="15" t="s">
        <v>95</v>
      </c>
      <c r="CD59" s="17"/>
    </row>
    <row r="60" ht="15.75" customHeight="1">
      <c r="A60" s="9">
        <v>59.0</v>
      </c>
      <c r="B60" s="10">
        <v>51.0</v>
      </c>
      <c r="C60" s="9" t="s">
        <v>81</v>
      </c>
      <c r="D60" s="11" t="s">
        <v>88</v>
      </c>
      <c r="E60" s="9" t="s">
        <v>83</v>
      </c>
      <c r="F60" s="12">
        <v>172.72</v>
      </c>
      <c r="G60" s="12">
        <v>127.1</v>
      </c>
      <c r="H60" s="12">
        <f t="shared" si="2"/>
        <v>42.60497275</v>
      </c>
      <c r="I60" s="9">
        <v>1.0</v>
      </c>
      <c r="J60" s="9">
        <v>2.0</v>
      </c>
      <c r="K60" s="9">
        <v>2.0</v>
      </c>
      <c r="L60" s="9">
        <v>1.0</v>
      </c>
      <c r="M60" s="9">
        <v>110.0</v>
      </c>
      <c r="N60" s="9">
        <v>0.0</v>
      </c>
      <c r="O60" s="9">
        <v>148.0</v>
      </c>
      <c r="P60" s="9">
        <v>0.0</v>
      </c>
      <c r="Q60" s="9">
        <v>18.0</v>
      </c>
      <c r="R60" s="9">
        <v>0.0</v>
      </c>
      <c r="S60" s="12">
        <v>98.4</v>
      </c>
      <c r="T60" s="9">
        <v>0.0</v>
      </c>
      <c r="U60" s="9">
        <v>100.0</v>
      </c>
      <c r="V60" s="9">
        <v>0.0</v>
      </c>
      <c r="W60" s="9">
        <v>0.0</v>
      </c>
      <c r="X60" s="9">
        <v>0.0</v>
      </c>
      <c r="Y60" s="9">
        <v>0.0</v>
      </c>
      <c r="Z60" s="9">
        <v>0.0</v>
      </c>
      <c r="AA60" s="9">
        <v>0.0</v>
      </c>
      <c r="AB60" s="9">
        <v>0.0</v>
      </c>
      <c r="AC60" s="9">
        <v>0.0</v>
      </c>
      <c r="AD60" s="9">
        <v>0.0</v>
      </c>
      <c r="AE60" s="9">
        <v>0.0</v>
      </c>
      <c r="AF60" s="9">
        <v>0.0</v>
      </c>
      <c r="AG60" s="9">
        <v>0.0</v>
      </c>
      <c r="AH60" s="9">
        <v>0.0</v>
      </c>
      <c r="AI60" s="9">
        <v>0.0</v>
      </c>
      <c r="AJ60" s="9">
        <v>0.0</v>
      </c>
      <c r="AK60" s="9">
        <v>1.0</v>
      </c>
      <c r="AL60" s="9">
        <v>1.0</v>
      </c>
      <c r="AM60" s="9">
        <v>0.0</v>
      </c>
      <c r="AN60" s="9">
        <v>0.0</v>
      </c>
      <c r="AO60" s="9">
        <v>1.0</v>
      </c>
      <c r="AP60" s="9">
        <v>0.0</v>
      </c>
      <c r="AQ60" s="9">
        <v>1.0</v>
      </c>
      <c r="AR60" s="9">
        <v>1.0</v>
      </c>
      <c r="AS60" s="9">
        <v>1.0</v>
      </c>
      <c r="AT60" s="9">
        <v>1.0</v>
      </c>
      <c r="AU60" s="9">
        <v>1.0</v>
      </c>
      <c r="AV60" s="9">
        <v>0.0</v>
      </c>
      <c r="AW60" s="9">
        <v>44.2</v>
      </c>
      <c r="AX60" s="13">
        <f>5.3/4.72</f>
        <v>1.122881356</v>
      </c>
      <c r="AY60" s="10">
        <v>0.0</v>
      </c>
      <c r="AZ60" s="10">
        <v>0.0</v>
      </c>
      <c r="BA60" s="10">
        <v>1.0</v>
      </c>
      <c r="BB60" s="13">
        <f>4.89/4.06</f>
        <v>1.204433498</v>
      </c>
      <c r="BC60" s="10">
        <v>4.0</v>
      </c>
      <c r="BD60" s="10">
        <v>1.0</v>
      </c>
      <c r="BE60" s="10"/>
      <c r="BF60" s="9">
        <v>0.0</v>
      </c>
      <c r="BG60" s="9" t="s">
        <v>84</v>
      </c>
      <c r="BH60" s="9">
        <v>1.0</v>
      </c>
      <c r="BI60" s="9">
        <v>0.0</v>
      </c>
      <c r="BJ60" s="9">
        <v>0.0</v>
      </c>
      <c r="BK60" s="9">
        <v>0.0</v>
      </c>
      <c r="BL60" s="9">
        <v>0.0</v>
      </c>
      <c r="BM60" s="9">
        <v>0.0</v>
      </c>
      <c r="BN60" s="9">
        <v>0.0</v>
      </c>
      <c r="BO60" s="9">
        <v>1.0</v>
      </c>
      <c r="BP60" s="9">
        <v>0.0</v>
      </c>
      <c r="BQ60" s="9">
        <v>1.0</v>
      </c>
      <c r="BR60" s="9">
        <v>0.0</v>
      </c>
      <c r="BS60" s="9" t="s">
        <v>84</v>
      </c>
      <c r="BT60" s="9">
        <v>0.0</v>
      </c>
      <c r="BU60" s="9">
        <v>0.0</v>
      </c>
      <c r="BV60" s="9">
        <v>0.0</v>
      </c>
      <c r="BW60" s="10">
        <v>0.0</v>
      </c>
      <c r="BX60" s="14">
        <v>0.0</v>
      </c>
      <c r="BY60" s="9">
        <v>0.0</v>
      </c>
      <c r="BZ60" s="9">
        <v>0.0</v>
      </c>
      <c r="CA60" s="9">
        <v>0.0</v>
      </c>
      <c r="CB60" s="9">
        <v>0.0</v>
      </c>
      <c r="CC60" s="15" t="s">
        <v>92</v>
      </c>
      <c r="CD60" s="17"/>
    </row>
    <row r="61" ht="15.75" customHeight="1">
      <c r="A61" s="9">
        <v>60.0</v>
      </c>
      <c r="B61" s="10">
        <v>68.0</v>
      </c>
      <c r="C61" s="9" t="s">
        <v>86</v>
      </c>
      <c r="D61" s="11" t="s">
        <v>82</v>
      </c>
      <c r="E61" s="9" t="s">
        <v>90</v>
      </c>
      <c r="F61" s="12">
        <v>162.56</v>
      </c>
      <c r="G61" s="12">
        <v>61.7</v>
      </c>
      <c r="H61" s="12">
        <f t="shared" si="2"/>
        <v>23.34843537</v>
      </c>
      <c r="I61" s="9">
        <v>1.0</v>
      </c>
      <c r="J61" s="9">
        <v>4.0</v>
      </c>
      <c r="K61" s="9">
        <v>1.0</v>
      </c>
      <c r="L61" s="9">
        <v>1.0</v>
      </c>
      <c r="M61" s="9">
        <v>120.0</v>
      </c>
      <c r="N61" s="9">
        <v>0.0</v>
      </c>
      <c r="O61" s="9">
        <v>163.0</v>
      </c>
      <c r="P61" s="9">
        <v>0.0</v>
      </c>
      <c r="Q61" s="9">
        <v>22.0</v>
      </c>
      <c r="R61" s="9">
        <v>0.0</v>
      </c>
      <c r="S61" s="12">
        <v>99.2</v>
      </c>
      <c r="T61" s="9">
        <v>0.0</v>
      </c>
      <c r="U61" s="9">
        <v>95.0</v>
      </c>
      <c r="V61" s="9">
        <v>0.0</v>
      </c>
      <c r="W61" s="9">
        <v>0.0</v>
      </c>
      <c r="X61" s="9">
        <v>0.0</v>
      </c>
      <c r="Y61" s="9">
        <v>0.0</v>
      </c>
      <c r="Z61" s="9">
        <v>0.0</v>
      </c>
      <c r="AA61" s="9">
        <v>0.0</v>
      </c>
      <c r="AB61" s="9">
        <v>1.0</v>
      </c>
      <c r="AC61" s="9">
        <v>0.0</v>
      </c>
      <c r="AD61" s="9">
        <v>0.0</v>
      </c>
      <c r="AE61" s="9">
        <v>0.0</v>
      </c>
      <c r="AF61" s="9">
        <v>0.0</v>
      </c>
      <c r="AG61" s="9">
        <v>1.0</v>
      </c>
      <c r="AH61" s="9">
        <v>0.0</v>
      </c>
      <c r="AI61" s="9">
        <v>0.0</v>
      </c>
      <c r="AJ61" s="9">
        <v>0.0</v>
      </c>
      <c r="AK61" s="9">
        <v>1.0</v>
      </c>
      <c r="AL61" s="9">
        <v>1.0</v>
      </c>
      <c r="AM61" s="9">
        <v>0.0</v>
      </c>
      <c r="AN61" s="9">
        <v>0.0</v>
      </c>
      <c r="AO61" s="9">
        <v>1.0</v>
      </c>
      <c r="AP61" s="9">
        <v>1.0</v>
      </c>
      <c r="AQ61" s="9">
        <v>0.0</v>
      </c>
      <c r="AR61" s="9">
        <v>0.0</v>
      </c>
      <c r="AS61" s="9">
        <v>0.0</v>
      </c>
      <c r="AT61" s="9">
        <v>0.0</v>
      </c>
      <c r="AU61" s="9">
        <v>0.0</v>
      </c>
      <c r="AV61" s="9">
        <v>0.0</v>
      </c>
      <c r="AW61" s="9">
        <v>47.9</v>
      </c>
      <c r="AX61" s="13">
        <f>2.83/3.03</f>
        <v>0.9339933993</v>
      </c>
      <c r="AY61" s="10">
        <v>0.0</v>
      </c>
      <c r="AZ61" s="10">
        <v>1.0</v>
      </c>
      <c r="BA61" s="10">
        <v>0.0</v>
      </c>
      <c r="BB61" s="13">
        <f>3.13/2.94</f>
        <v>1.06462585</v>
      </c>
      <c r="BC61" s="10">
        <v>3.0</v>
      </c>
      <c r="BD61" s="10">
        <v>1.0</v>
      </c>
      <c r="BE61" s="10"/>
      <c r="BF61" s="9">
        <v>0.0</v>
      </c>
      <c r="BG61" s="9" t="s">
        <v>84</v>
      </c>
      <c r="BH61" s="9">
        <v>0.0</v>
      </c>
      <c r="BI61" s="9">
        <v>0.0</v>
      </c>
      <c r="BJ61" s="9">
        <v>0.0</v>
      </c>
      <c r="BK61" s="9">
        <v>0.0</v>
      </c>
      <c r="BL61" s="9">
        <v>0.0</v>
      </c>
      <c r="BM61" s="9">
        <v>0.0</v>
      </c>
      <c r="BN61" s="9">
        <v>0.0</v>
      </c>
      <c r="BO61" s="9">
        <v>0.0</v>
      </c>
      <c r="BP61" s="9" t="s">
        <v>84</v>
      </c>
      <c r="BQ61" s="9" t="s">
        <v>84</v>
      </c>
      <c r="BR61" s="9">
        <v>0.0</v>
      </c>
      <c r="BS61" s="9" t="s">
        <v>84</v>
      </c>
      <c r="BT61" s="9">
        <v>0.0</v>
      </c>
      <c r="BU61" s="9">
        <v>0.0</v>
      </c>
      <c r="BV61" s="9">
        <v>0.0</v>
      </c>
      <c r="BW61" s="10" t="s">
        <v>94</v>
      </c>
      <c r="BX61" s="14" t="s">
        <v>94</v>
      </c>
      <c r="BY61" s="9">
        <v>0.0</v>
      </c>
      <c r="BZ61" s="9">
        <v>0.0</v>
      </c>
      <c r="CA61" s="9">
        <v>0.0</v>
      </c>
      <c r="CB61" s="9">
        <v>0.0</v>
      </c>
      <c r="CC61" s="15" t="s">
        <v>113</v>
      </c>
      <c r="CD61" s="17"/>
    </row>
    <row r="62" ht="15.75" customHeight="1">
      <c r="A62" s="9">
        <v>61.0</v>
      </c>
      <c r="B62" s="10">
        <v>58.0</v>
      </c>
      <c r="C62" s="9" t="s">
        <v>81</v>
      </c>
      <c r="D62" s="11" t="s">
        <v>82</v>
      </c>
      <c r="E62" s="9" t="s">
        <v>83</v>
      </c>
      <c r="F62" s="12">
        <v>180.34</v>
      </c>
      <c r="G62" s="12">
        <v>92.3</v>
      </c>
      <c r="H62" s="12">
        <v>26.86</v>
      </c>
      <c r="I62" s="9">
        <v>1.0</v>
      </c>
      <c r="J62" s="9">
        <v>4.0</v>
      </c>
      <c r="K62" s="9">
        <v>2.0</v>
      </c>
      <c r="L62" s="9">
        <v>1.0</v>
      </c>
      <c r="M62" s="9">
        <v>124.0</v>
      </c>
      <c r="N62" s="9">
        <v>0.0</v>
      </c>
      <c r="O62" s="9">
        <v>101.0</v>
      </c>
      <c r="P62" s="9">
        <v>0.0</v>
      </c>
      <c r="Q62" s="9">
        <v>26.0</v>
      </c>
      <c r="R62" s="9">
        <v>0.0</v>
      </c>
      <c r="S62" s="12">
        <v>98.5</v>
      </c>
      <c r="T62" s="9">
        <v>1.0</v>
      </c>
      <c r="U62" s="9">
        <v>88.0</v>
      </c>
      <c r="V62" s="9">
        <v>1.0</v>
      </c>
      <c r="W62" s="9">
        <v>0.0</v>
      </c>
      <c r="X62" s="9">
        <v>0.0</v>
      </c>
      <c r="Y62" s="9">
        <v>0.0</v>
      </c>
      <c r="Z62" s="9">
        <v>0.0</v>
      </c>
      <c r="AA62" s="9">
        <v>0.0</v>
      </c>
      <c r="AB62" s="9">
        <v>0.0</v>
      </c>
      <c r="AC62" s="9">
        <v>1.0</v>
      </c>
      <c r="AD62" s="9">
        <v>0.0</v>
      </c>
      <c r="AE62" s="9">
        <v>0.0</v>
      </c>
      <c r="AF62" s="9">
        <v>0.0</v>
      </c>
      <c r="AG62" s="9">
        <v>1.0</v>
      </c>
      <c r="AH62" s="9">
        <v>1.0</v>
      </c>
      <c r="AI62" s="9">
        <v>0.0</v>
      </c>
      <c r="AJ62" s="9">
        <v>0.0</v>
      </c>
      <c r="AK62" s="9">
        <v>0.0</v>
      </c>
      <c r="AL62" s="9">
        <v>0.0</v>
      </c>
      <c r="AM62" s="9">
        <v>0.0</v>
      </c>
      <c r="AN62" s="9">
        <v>0.0</v>
      </c>
      <c r="AO62" s="9">
        <v>1.0</v>
      </c>
      <c r="AP62" s="9">
        <v>1.0</v>
      </c>
      <c r="AQ62" s="9">
        <v>1.0</v>
      </c>
      <c r="AR62" s="9">
        <v>1.0</v>
      </c>
      <c r="AS62" s="9">
        <v>1.0</v>
      </c>
      <c r="AT62" s="9">
        <v>1.0</v>
      </c>
      <c r="AU62" s="9">
        <v>1.0</v>
      </c>
      <c r="AV62" s="9">
        <v>0.0</v>
      </c>
      <c r="AW62" s="9">
        <v>37.3</v>
      </c>
      <c r="AX62" s="13">
        <f>5.78/4.73</f>
        <v>1.221987315</v>
      </c>
      <c r="AY62" s="10">
        <v>0.0</v>
      </c>
      <c r="AZ62" s="10">
        <v>0.0</v>
      </c>
      <c r="BA62" s="10">
        <v>1.0</v>
      </c>
      <c r="BB62" s="13">
        <f>3.7/4.01</f>
        <v>0.9226932668</v>
      </c>
      <c r="BC62" s="10">
        <v>5.0</v>
      </c>
      <c r="BD62" s="10">
        <v>1.0</v>
      </c>
      <c r="BE62" s="10"/>
      <c r="BF62" s="9">
        <v>0.0</v>
      </c>
      <c r="BG62" s="9" t="s">
        <v>84</v>
      </c>
      <c r="BH62" s="9">
        <v>0.0</v>
      </c>
      <c r="BI62" s="9">
        <v>0.0</v>
      </c>
      <c r="BJ62" s="9">
        <v>0.0</v>
      </c>
      <c r="BK62" s="9">
        <v>0.0</v>
      </c>
      <c r="BL62" s="9">
        <v>0.0</v>
      </c>
      <c r="BM62" s="9">
        <v>0.0</v>
      </c>
      <c r="BN62" s="9">
        <v>0.0</v>
      </c>
      <c r="BO62" s="9">
        <v>0.0</v>
      </c>
      <c r="BP62" s="9" t="s">
        <v>84</v>
      </c>
      <c r="BQ62" s="9" t="s">
        <v>84</v>
      </c>
      <c r="BR62" s="9">
        <v>0.0</v>
      </c>
      <c r="BS62" s="9" t="s">
        <v>84</v>
      </c>
      <c r="BT62" s="9">
        <v>0.0</v>
      </c>
      <c r="BU62" s="9">
        <v>1.0</v>
      </c>
      <c r="BV62" s="9">
        <v>0.0</v>
      </c>
      <c r="BW62" s="10">
        <v>0.0</v>
      </c>
      <c r="BX62" s="14">
        <v>0.0</v>
      </c>
      <c r="BY62" s="9">
        <v>0.0</v>
      </c>
      <c r="BZ62" s="9">
        <v>0.0</v>
      </c>
      <c r="CA62" s="9">
        <v>0.0</v>
      </c>
      <c r="CB62" s="9">
        <v>0.0</v>
      </c>
      <c r="CC62" s="15" t="s">
        <v>85</v>
      </c>
      <c r="CD62" s="17"/>
    </row>
    <row r="63" ht="15.75" customHeight="1">
      <c r="A63" s="9">
        <v>62.0</v>
      </c>
      <c r="B63" s="10">
        <v>95.0</v>
      </c>
      <c r="C63" s="9" t="s">
        <v>86</v>
      </c>
      <c r="D63" s="11" t="s">
        <v>88</v>
      </c>
      <c r="E63" s="9" t="s">
        <v>121</v>
      </c>
      <c r="F63" s="12">
        <v>165.1</v>
      </c>
      <c r="G63" s="12">
        <v>89.8</v>
      </c>
      <c r="H63" s="12">
        <f t="shared" ref="H63:H125" si="3">G63/((F63/100)^2)</f>
        <v>32.94444459</v>
      </c>
      <c r="I63" s="9">
        <v>1.0</v>
      </c>
      <c r="J63" s="9">
        <v>5.0</v>
      </c>
      <c r="K63" s="9">
        <v>1.0</v>
      </c>
      <c r="L63" s="9">
        <v>0.0</v>
      </c>
      <c r="M63" s="9">
        <v>94.0</v>
      </c>
      <c r="N63" s="9">
        <v>0.0</v>
      </c>
      <c r="O63" s="9">
        <v>134.0</v>
      </c>
      <c r="P63" s="9">
        <v>0.0</v>
      </c>
      <c r="Q63" s="9">
        <v>20.0</v>
      </c>
      <c r="R63" s="9">
        <v>0.0</v>
      </c>
      <c r="S63" s="12">
        <v>99.3</v>
      </c>
      <c r="T63" s="9">
        <v>1.0</v>
      </c>
      <c r="U63" s="9">
        <v>76.0</v>
      </c>
      <c r="V63" s="9">
        <v>1.0</v>
      </c>
      <c r="W63" s="9">
        <v>0.0</v>
      </c>
      <c r="X63" s="9">
        <v>0.0</v>
      </c>
      <c r="Y63" s="9">
        <v>0.0</v>
      </c>
      <c r="Z63" s="9">
        <v>0.0</v>
      </c>
      <c r="AA63" s="9">
        <v>0.0</v>
      </c>
      <c r="AB63" s="9">
        <v>1.0</v>
      </c>
      <c r="AC63" s="9">
        <v>0.0</v>
      </c>
      <c r="AD63" s="9">
        <v>0.0</v>
      </c>
      <c r="AE63" s="9">
        <v>0.0</v>
      </c>
      <c r="AF63" s="9">
        <v>0.0</v>
      </c>
      <c r="AG63" s="9">
        <v>1.0</v>
      </c>
      <c r="AH63" s="9">
        <v>0.0</v>
      </c>
      <c r="AI63" s="9">
        <v>0.0</v>
      </c>
      <c r="AJ63" s="9">
        <v>1.0</v>
      </c>
      <c r="AK63" s="9">
        <v>0.0</v>
      </c>
      <c r="AL63" s="9">
        <v>0.0</v>
      </c>
      <c r="AM63" s="9">
        <v>1.0</v>
      </c>
      <c r="AN63" s="9">
        <v>0.0</v>
      </c>
      <c r="AO63" s="9">
        <v>0.0</v>
      </c>
      <c r="AP63" s="9" t="s">
        <v>84</v>
      </c>
      <c r="AQ63" s="9" t="s">
        <v>84</v>
      </c>
      <c r="AR63" s="9">
        <v>0.0</v>
      </c>
      <c r="AS63" s="9">
        <v>0.0</v>
      </c>
      <c r="AT63" s="9">
        <v>0.0</v>
      </c>
      <c r="AU63" s="9">
        <v>0.0</v>
      </c>
      <c r="AV63" s="9">
        <v>0.0</v>
      </c>
      <c r="AW63" s="9" t="s">
        <v>97</v>
      </c>
      <c r="AX63" s="13">
        <f>3.86/4.25</f>
        <v>0.9082352941</v>
      </c>
      <c r="AY63" s="10">
        <v>0.0</v>
      </c>
      <c r="AZ63" s="10">
        <v>1.0</v>
      </c>
      <c r="BA63" s="10">
        <v>0.0</v>
      </c>
      <c r="BB63" s="13">
        <f>4.05/3.56</f>
        <v>1.137640449</v>
      </c>
      <c r="BC63" s="10">
        <v>3.0</v>
      </c>
      <c r="BD63" s="10">
        <v>0.0</v>
      </c>
      <c r="BE63" s="10"/>
      <c r="BF63" s="9">
        <v>0.0</v>
      </c>
      <c r="BG63" s="9" t="s">
        <v>84</v>
      </c>
      <c r="BH63" s="9">
        <v>1.0</v>
      </c>
      <c r="BI63" s="9">
        <v>0.0</v>
      </c>
      <c r="BJ63" s="9">
        <v>0.0</v>
      </c>
      <c r="BK63" s="9">
        <v>0.0</v>
      </c>
      <c r="BL63" s="9">
        <v>0.0</v>
      </c>
      <c r="BM63" s="9">
        <v>0.0</v>
      </c>
      <c r="BN63" s="9">
        <v>0.0</v>
      </c>
      <c r="BO63" s="9">
        <v>0.0</v>
      </c>
      <c r="BP63" s="9" t="s">
        <v>84</v>
      </c>
      <c r="BQ63" s="9" t="s">
        <v>84</v>
      </c>
      <c r="BR63" s="9">
        <v>0.0</v>
      </c>
      <c r="BS63" s="9" t="s">
        <v>84</v>
      </c>
      <c r="BT63" s="9">
        <v>0.0</v>
      </c>
      <c r="BU63" s="9">
        <v>0.0</v>
      </c>
      <c r="BV63" s="9">
        <v>0.0</v>
      </c>
      <c r="BW63" s="10">
        <v>0.0</v>
      </c>
      <c r="BX63" s="14">
        <v>0.0</v>
      </c>
      <c r="BY63" s="9">
        <v>1.0</v>
      </c>
      <c r="BZ63" s="9">
        <v>0.0</v>
      </c>
      <c r="CA63" s="9">
        <v>0.0</v>
      </c>
      <c r="CB63" s="9">
        <v>0.0</v>
      </c>
      <c r="CC63" s="15" t="s">
        <v>113</v>
      </c>
      <c r="CD63" s="17"/>
    </row>
    <row r="64" ht="15.75" customHeight="1">
      <c r="A64" s="9">
        <v>63.0</v>
      </c>
      <c r="B64" s="10">
        <v>56.0</v>
      </c>
      <c r="C64" s="9" t="s">
        <v>81</v>
      </c>
      <c r="D64" s="11" t="s">
        <v>82</v>
      </c>
      <c r="E64" s="9" t="s">
        <v>93</v>
      </c>
      <c r="F64" s="12">
        <v>180.34</v>
      </c>
      <c r="G64" s="12">
        <v>130.0</v>
      </c>
      <c r="H64" s="12">
        <f t="shared" si="3"/>
        <v>39.97230768</v>
      </c>
      <c r="I64" s="9">
        <v>1.0</v>
      </c>
      <c r="J64" s="9">
        <v>3.0</v>
      </c>
      <c r="K64" s="9">
        <v>3.0</v>
      </c>
      <c r="L64" s="9">
        <v>0.0</v>
      </c>
      <c r="M64" s="9">
        <v>106.0</v>
      </c>
      <c r="N64" s="9">
        <v>0.0</v>
      </c>
      <c r="O64" s="9">
        <v>141.0</v>
      </c>
      <c r="P64" s="9">
        <v>0.0</v>
      </c>
      <c r="Q64" s="9">
        <v>25.0</v>
      </c>
      <c r="R64" s="9">
        <v>0.0</v>
      </c>
      <c r="S64" s="12">
        <v>97.2</v>
      </c>
      <c r="T64" s="9">
        <v>0.0</v>
      </c>
      <c r="U64" s="9">
        <v>90.0</v>
      </c>
      <c r="V64" s="9">
        <v>1.0</v>
      </c>
      <c r="W64" s="9">
        <v>0.0</v>
      </c>
      <c r="X64" s="9">
        <v>0.0</v>
      </c>
      <c r="Y64" s="9">
        <v>0.0</v>
      </c>
      <c r="Z64" s="9">
        <v>0.0</v>
      </c>
      <c r="AA64" s="9">
        <v>0.0</v>
      </c>
      <c r="AB64" s="9">
        <v>0.0</v>
      </c>
      <c r="AC64" s="9">
        <v>0.0</v>
      </c>
      <c r="AD64" s="9">
        <v>0.0</v>
      </c>
      <c r="AE64" s="9">
        <v>1.0</v>
      </c>
      <c r="AF64" s="9">
        <v>0.0</v>
      </c>
      <c r="AG64" s="9">
        <v>0.0</v>
      </c>
      <c r="AH64" s="9">
        <v>1.0</v>
      </c>
      <c r="AI64" s="9">
        <v>0.0</v>
      </c>
      <c r="AJ64" s="9">
        <v>0.0</v>
      </c>
      <c r="AK64" s="9">
        <v>1.0</v>
      </c>
      <c r="AL64" s="9">
        <v>1.0</v>
      </c>
      <c r="AM64" s="9">
        <v>0.0</v>
      </c>
      <c r="AN64" s="9">
        <v>0.0</v>
      </c>
      <c r="AO64" s="9">
        <v>1.0</v>
      </c>
      <c r="AP64" s="9">
        <v>1.0</v>
      </c>
      <c r="AQ64" s="9">
        <v>1.0</v>
      </c>
      <c r="AR64" s="9">
        <v>0.0</v>
      </c>
      <c r="AS64" s="9">
        <v>1.0</v>
      </c>
      <c r="AT64" s="9">
        <v>1.0</v>
      </c>
      <c r="AU64" s="9">
        <v>1.0</v>
      </c>
      <c r="AV64" s="9">
        <v>0.0</v>
      </c>
      <c r="AW64" s="9">
        <v>57.0</v>
      </c>
      <c r="AX64" s="13">
        <f>5.69/4.83</f>
        <v>1.17805383</v>
      </c>
      <c r="AY64" s="10">
        <v>0.0</v>
      </c>
      <c r="AZ64" s="10">
        <v>0.0</v>
      </c>
      <c r="BA64" s="10">
        <v>1.0</v>
      </c>
      <c r="BB64" s="13">
        <f>3.66/3.41</f>
        <v>1.073313783</v>
      </c>
      <c r="BC64" s="10">
        <v>2.0</v>
      </c>
      <c r="BD64" s="10">
        <v>1.0</v>
      </c>
      <c r="BE64" s="10"/>
      <c r="BF64" s="9">
        <v>0.0</v>
      </c>
      <c r="BG64" s="9" t="s">
        <v>84</v>
      </c>
      <c r="BH64" s="9">
        <v>1.0</v>
      </c>
      <c r="BI64" s="9">
        <v>0.0</v>
      </c>
      <c r="BJ64" s="9">
        <v>1.0</v>
      </c>
      <c r="BK64" s="9">
        <v>0.0</v>
      </c>
      <c r="BL64" s="9">
        <v>0.0</v>
      </c>
      <c r="BM64" s="9">
        <v>0.0</v>
      </c>
      <c r="BN64" s="9">
        <v>0.0</v>
      </c>
      <c r="BO64" s="9">
        <v>0.0</v>
      </c>
      <c r="BP64" s="9" t="s">
        <v>84</v>
      </c>
      <c r="BQ64" s="9" t="s">
        <v>84</v>
      </c>
      <c r="BR64" s="9">
        <v>0.0</v>
      </c>
      <c r="BS64" s="9" t="s">
        <v>84</v>
      </c>
      <c r="BT64" s="9">
        <v>0.0</v>
      </c>
      <c r="BU64" s="9">
        <v>0.0</v>
      </c>
      <c r="BV64" s="9">
        <v>0.0</v>
      </c>
      <c r="BW64" s="10">
        <v>1.0</v>
      </c>
      <c r="BX64" s="14" t="s">
        <v>84</v>
      </c>
      <c r="BY64" s="9" t="s">
        <v>84</v>
      </c>
      <c r="BZ64" s="9" t="s">
        <v>84</v>
      </c>
      <c r="CA64" s="9" t="s">
        <v>84</v>
      </c>
      <c r="CB64" s="9" t="s">
        <v>84</v>
      </c>
      <c r="CC64" s="15" t="s">
        <v>101</v>
      </c>
      <c r="CD64" s="17"/>
    </row>
    <row r="65" ht="15.75" customHeight="1">
      <c r="A65" s="9">
        <v>64.0</v>
      </c>
      <c r="B65" s="10">
        <v>43.0</v>
      </c>
      <c r="C65" s="9" t="s">
        <v>81</v>
      </c>
      <c r="D65" s="11" t="s">
        <v>82</v>
      </c>
      <c r="E65" s="9" t="s">
        <v>116</v>
      </c>
      <c r="F65" s="12">
        <v>190.5</v>
      </c>
      <c r="G65" s="12">
        <v>137.4</v>
      </c>
      <c r="H65" s="12">
        <f t="shared" si="3"/>
        <v>37.86140906</v>
      </c>
      <c r="I65" s="9">
        <v>1.0</v>
      </c>
      <c r="J65" s="9">
        <v>2.0</v>
      </c>
      <c r="K65" s="9">
        <v>2.0</v>
      </c>
      <c r="L65" s="9">
        <v>1.0</v>
      </c>
      <c r="M65" s="9">
        <v>126.0</v>
      </c>
      <c r="N65" s="9">
        <v>0.0</v>
      </c>
      <c r="O65" s="9">
        <v>123.0</v>
      </c>
      <c r="P65" s="9">
        <v>0.0</v>
      </c>
      <c r="Q65" s="9">
        <v>20.0</v>
      </c>
      <c r="R65" s="9">
        <v>0.0</v>
      </c>
      <c r="S65" s="12">
        <v>97.8</v>
      </c>
      <c r="T65" s="9">
        <v>0.0</v>
      </c>
      <c r="U65" s="9">
        <v>94.0</v>
      </c>
      <c r="V65" s="9">
        <v>0.0</v>
      </c>
      <c r="W65" s="9">
        <v>0.0</v>
      </c>
      <c r="X65" s="9">
        <v>0.0</v>
      </c>
      <c r="Y65" s="9">
        <v>0.0</v>
      </c>
      <c r="Z65" s="9">
        <v>0.0</v>
      </c>
      <c r="AA65" s="9">
        <v>0.0</v>
      </c>
      <c r="AB65" s="9">
        <v>0.0</v>
      </c>
      <c r="AC65" s="9">
        <v>0.0</v>
      </c>
      <c r="AD65" s="9">
        <v>0.0</v>
      </c>
      <c r="AE65" s="9">
        <v>0.0</v>
      </c>
      <c r="AF65" s="9">
        <v>0.0</v>
      </c>
      <c r="AG65" s="9">
        <v>0.0</v>
      </c>
      <c r="AH65" s="9">
        <v>0.0</v>
      </c>
      <c r="AI65" s="9">
        <v>0.0</v>
      </c>
      <c r="AJ65" s="9">
        <v>0.0</v>
      </c>
      <c r="AK65" s="9">
        <v>1.0</v>
      </c>
      <c r="AL65" s="9">
        <v>1.0</v>
      </c>
      <c r="AM65" s="9">
        <v>0.0</v>
      </c>
      <c r="AN65" s="9">
        <v>0.0</v>
      </c>
      <c r="AO65" s="9">
        <v>1.0</v>
      </c>
      <c r="AP65" s="9">
        <v>1.0</v>
      </c>
      <c r="AQ65" s="9">
        <v>1.0</v>
      </c>
      <c r="AR65" s="9">
        <v>0.0</v>
      </c>
      <c r="AS65" s="9">
        <v>1.0</v>
      </c>
      <c r="AT65" s="9">
        <v>1.0</v>
      </c>
      <c r="AU65" s="9">
        <v>1.0</v>
      </c>
      <c r="AV65" s="9">
        <v>0.0</v>
      </c>
      <c r="AW65" s="9">
        <v>53.9</v>
      </c>
      <c r="AX65" s="13">
        <f>4.78/4.21</f>
        <v>1.135391924</v>
      </c>
      <c r="AY65" s="10">
        <v>0.0</v>
      </c>
      <c r="AZ65" s="10">
        <v>0.0</v>
      </c>
      <c r="BA65" s="10">
        <v>1.0</v>
      </c>
      <c r="BB65" s="13">
        <f>3.49/3.3</f>
        <v>1.057575758</v>
      </c>
      <c r="BC65" s="10">
        <v>2.0</v>
      </c>
      <c r="BD65" s="10">
        <v>1.0</v>
      </c>
      <c r="BE65" s="10"/>
      <c r="BF65" s="9">
        <v>0.0</v>
      </c>
      <c r="BG65" s="9" t="s">
        <v>84</v>
      </c>
      <c r="BH65" s="9">
        <v>1.0</v>
      </c>
      <c r="BI65" s="9">
        <v>0.0</v>
      </c>
      <c r="BJ65" s="9">
        <v>0.0</v>
      </c>
      <c r="BK65" s="9">
        <v>0.0</v>
      </c>
      <c r="BL65" s="9">
        <v>0.0</v>
      </c>
      <c r="BM65" s="9">
        <v>0.0</v>
      </c>
      <c r="BN65" s="9">
        <v>0.0</v>
      </c>
      <c r="BO65" s="9">
        <v>1.0</v>
      </c>
      <c r="BP65" s="9">
        <v>0.0</v>
      </c>
      <c r="BQ65" s="9">
        <v>1.0</v>
      </c>
      <c r="BR65" s="9">
        <v>0.0</v>
      </c>
      <c r="BS65" s="9" t="s">
        <v>84</v>
      </c>
      <c r="BT65" s="9">
        <v>0.0</v>
      </c>
      <c r="BU65" s="9">
        <v>1.0</v>
      </c>
      <c r="BV65" s="9">
        <v>0.0</v>
      </c>
      <c r="BW65" s="10">
        <v>0.0</v>
      </c>
      <c r="BX65" s="14">
        <v>0.0</v>
      </c>
      <c r="BY65" s="9">
        <v>0.0</v>
      </c>
      <c r="BZ65" s="9">
        <v>0.0</v>
      </c>
      <c r="CA65" s="9">
        <v>0.0</v>
      </c>
      <c r="CB65" s="9">
        <v>0.0</v>
      </c>
      <c r="CC65" s="15" t="s">
        <v>92</v>
      </c>
      <c r="CD65" s="17"/>
    </row>
    <row r="66" ht="15.75" customHeight="1">
      <c r="A66" s="9">
        <v>65.0</v>
      </c>
      <c r="B66" s="10">
        <v>66.0</v>
      </c>
      <c r="C66" s="9" t="s">
        <v>81</v>
      </c>
      <c r="D66" s="11" t="s">
        <v>82</v>
      </c>
      <c r="E66" s="9" t="s">
        <v>83</v>
      </c>
      <c r="F66" s="12">
        <v>172.72</v>
      </c>
      <c r="G66" s="12">
        <v>99.8</v>
      </c>
      <c r="H66" s="12">
        <f t="shared" si="3"/>
        <v>33.45378663</v>
      </c>
      <c r="I66" s="9">
        <v>1.0</v>
      </c>
      <c r="J66" s="9">
        <v>3.0</v>
      </c>
      <c r="K66" s="9">
        <v>2.0</v>
      </c>
      <c r="L66" s="9">
        <v>0.0</v>
      </c>
      <c r="M66" s="9">
        <v>76.0</v>
      </c>
      <c r="N66" s="9">
        <v>0.0</v>
      </c>
      <c r="O66" s="9">
        <v>107.0</v>
      </c>
      <c r="P66" s="9">
        <v>0.0</v>
      </c>
      <c r="Q66" s="9">
        <v>14.0</v>
      </c>
      <c r="R66" s="9">
        <v>0.0</v>
      </c>
      <c r="S66" s="12">
        <v>98.6</v>
      </c>
      <c r="T66" s="9">
        <v>1.0</v>
      </c>
      <c r="U66" s="9" t="s">
        <v>84</v>
      </c>
      <c r="V66" s="9">
        <v>1.0</v>
      </c>
      <c r="W66" s="9">
        <v>0.0</v>
      </c>
      <c r="X66" s="9">
        <v>0.0</v>
      </c>
      <c r="Y66" s="9">
        <v>0.0</v>
      </c>
      <c r="Z66" s="9">
        <v>0.0</v>
      </c>
      <c r="AA66" s="9">
        <v>0.0</v>
      </c>
      <c r="AB66" s="9">
        <v>0.0</v>
      </c>
      <c r="AC66" s="9">
        <v>0.0</v>
      </c>
      <c r="AD66" s="9">
        <v>0.0</v>
      </c>
      <c r="AE66" s="9">
        <v>0.0</v>
      </c>
      <c r="AF66" s="9">
        <v>0.0</v>
      </c>
      <c r="AG66" s="9">
        <v>1.0</v>
      </c>
      <c r="AH66" s="9">
        <v>0.0</v>
      </c>
      <c r="AI66" s="9">
        <v>1.0</v>
      </c>
      <c r="AJ66" s="9">
        <v>1.0</v>
      </c>
      <c r="AK66" s="9">
        <v>1.0</v>
      </c>
      <c r="AL66" s="9">
        <v>0.0</v>
      </c>
      <c r="AM66" s="9">
        <v>0.0</v>
      </c>
      <c r="AN66" s="9">
        <v>0.0</v>
      </c>
      <c r="AO66" s="9">
        <v>1.0</v>
      </c>
      <c r="AP66" s="9">
        <v>1.0</v>
      </c>
      <c r="AQ66" s="9">
        <v>0.0</v>
      </c>
      <c r="AR66" s="9">
        <v>0.0</v>
      </c>
      <c r="AS66" s="9">
        <v>1.0</v>
      </c>
      <c r="AT66" s="9">
        <v>0.0</v>
      </c>
      <c r="AU66" s="9">
        <v>0.0</v>
      </c>
      <c r="AV66" s="9">
        <v>0.0</v>
      </c>
      <c r="AW66" s="9">
        <v>46.2</v>
      </c>
      <c r="AX66" s="13">
        <f>4.22/4.66</f>
        <v>0.9055793991</v>
      </c>
      <c r="AY66" s="10">
        <v>0.0</v>
      </c>
      <c r="AZ66" s="10">
        <v>1.0</v>
      </c>
      <c r="BA66" s="10">
        <v>0.0</v>
      </c>
      <c r="BB66" s="13">
        <f>3.2/3.11</f>
        <v>1.028938907</v>
      </c>
      <c r="BC66" s="10">
        <v>2.0</v>
      </c>
      <c r="BD66" s="10">
        <v>0.0</v>
      </c>
      <c r="BE66" s="10"/>
      <c r="BF66" s="9">
        <v>0.0</v>
      </c>
      <c r="BG66" s="9" t="s">
        <v>84</v>
      </c>
      <c r="BH66" s="9">
        <v>1.0</v>
      </c>
      <c r="BI66" s="9">
        <v>0.0</v>
      </c>
      <c r="BJ66" s="9">
        <v>0.0</v>
      </c>
      <c r="BK66" s="9">
        <v>0.0</v>
      </c>
      <c r="BL66" s="9">
        <v>0.0</v>
      </c>
      <c r="BM66" s="9">
        <v>0.0</v>
      </c>
      <c r="BN66" s="9">
        <v>0.0</v>
      </c>
      <c r="BO66" s="9">
        <v>0.0</v>
      </c>
      <c r="BP66" s="9" t="s">
        <v>84</v>
      </c>
      <c r="BQ66" s="9" t="s">
        <v>84</v>
      </c>
      <c r="BR66" s="9">
        <v>0.0</v>
      </c>
      <c r="BS66" s="9" t="s">
        <v>84</v>
      </c>
      <c r="BT66" s="9">
        <v>0.0</v>
      </c>
      <c r="BU66" s="9">
        <v>1.0</v>
      </c>
      <c r="BV66" s="9">
        <v>0.0</v>
      </c>
      <c r="BW66" s="10">
        <v>0.0</v>
      </c>
      <c r="BX66" s="14">
        <v>0.0</v>
      </c>
      <c r="BY66" s="9">
        <v>0.0</v>
      </c>
      <c r="BZ66" s="9">
        <v>0.0</v>
      </c>
      <c r="CA66" s="9">
        <v>0.0</v>
      </c>
      <c r="CB66" s="9">
        <v>0.0</v>
      </c>
      <c r="CC66" s="15" t="s">
        <v>87</v>
      </c>
      <c r="CD66" s="17"/>
    </row>
    <row r="67" ht="15.75" customHeight="1">
      <c r="A67" s="9">
        <v>66.0</v>
      </c>
      <c r="B67" s="10">
        <v>47.0</v>
      </c>
      <c r="C67" s="9" t="s">
        <v>81</v>
      </c>
      <c r="D67" s="11" t="s">
        <v>82</v>
      </c>
      <c r="E67" s="9" t="s">
        <v>83</v>
      </c>
      <c r="F67" s="12">
        <v>175.26</v>
      </c>
      <c r="G67" s="12">
        <v>87.1</v>
      </c>
      <c r="H67" s="12">
        <f t="shared" si="3"/>
        <v>28.35649444</v>
      </c>
      <c r="I67" s="9">
        <v>1.0</v>
      </c>
      <c r="J67" s="9">
        <v>3.0</v>
      </c>
      <c r="K67" s="9">
        <v>2.0</v>
      </c>
      <c r="L67" s="9">
        <v>1.0</v>
      </c>
      <c r="M67" s="9">
        <v>124.0</v>
      </c>
      <c r="N67" s="9">
        <v>0.0</v>
      </c>
      <c r="O67" s="9">
        <v>168.0</v>
      </c>
      <c r="P67" s="9">
        <v>0.0</v>
      </c>
      <c r="Q67" s="9">
        <v>20.0</v>
      </c>
      <c r="R67" s="9">
        <v>0.0</v>
      </c>
      <c r="S67" s="12">
        <v>98.3</v>
      </c>
      <c r="T67" s="9">
        <v>0.0</v>
      </c>
      <c r="U67" s="9">
        <v>97.0</v>
      </c>
      <c r="V67" s="9">
        <v>1.0</v>
      </c>
      <c r="W67" s="9">
        <v>0.0</v>
      </c>
      <c r="X67" s="9">
        <v>1.0</v>
      </c>
      <c r="Y67" s="9">
        <v>0.0</v>
      </c>
      <c r="Z67" s="9">
        <v>0.0</v>
      </c>
      <c r="AA67" s="9">
        <v>0.0</v>
      </c>
      <c r="AB67" s="9">
        <v>0.0</v>
      </c>
      <c r="AC67" s="9">
        <v>0.0</v>
      </c>
      <c r="AD67" s="9">
        <v>0.0</v>
      </c>
      <c r="AE67" s="9">
        <v>0.0</v>
      </c>
      <c r="AF67" s="9">
        <v>0.0</v>
      </c>
      <c r="AG67" s="9">
        <v>0.0</v>
      </c>
      <c r="AH67" s="9">
        <v>0.0</v>
      </c>
      <c r="AI67" s="9">
        <v>0.0</v>
      </c>
      <c r="AJ67" s="9">
        <v>0.0</v>
      </c>
      <c r="AK67" s="9">
        <v>0.0</v>
      </c>
      <c r="AL67" s="9">
        <v>0.0</v>
      </c>
      <c r="AM67" s="9">
        <v>0.0</v>
      </c>
      <c r="AN67" s="9">
        <v>0.0</v>
      </c>
      <c r="AO67" s="9">
        <v>1.0</v>
      </c>
      <c r="AP67" s="9">
        <v>1.0</v>
      </c>
      <c r="AQ67" s="9">
        <v>0.0</v>
      </c>
      <c r="AR67" s="9">
        <v>1.0</v>
      </c>
      <c r="AS67" s="9">
        <v>0.0</v>
      </c>
      <c r="AT67" s="9">
        <v>0.0</v>
      </c>
      <c r="AU67" s="9">
        <v>0.0</v>
      </c>
      <c r="AV67" s="9">
        <v>0.0</v>
      </c>
      <c r="AW67" s="9">
        <v>27.1</v>
      </c>
      <c r="AX67" s="13">
        <f>5.14/4</f>
        <v>1.285</v>
      </c>
      <c r="AY67" s="10">
        <v>0.0</v>
      </c>
      <c r="AZ67" s="10">
        <v>0.0</v>
      </c>
      <c r="BA67" s="10">
        <v>1.0</v>
      </c>
      <c r="BB67" s="13">
        <f>3.44/3.47</f>
        <v>0.9913544669</v>
      </c>
      <c r="BC67" s="10">
        <v>2.0</v>
      </c>
      <c r="BD67" s="10">
        <v>1.0</v>
      </c>
      <c r="BE67" s="10"/>
      <c r="BF67" s="9">
        <v>0.0</v>
      </c>
      <c r="BG67" s="9" t="s">
        <v>84</v>
      </c>
      <c r="BH67" s="9">
        <v>1.0</v>
      </c>
      <c r="BI67" s="9">
        <v>0.0</v>
      </c>
      <c r="BJ67" s="9">
        <v>0.0</v>
      </c>
      <c r="BK67" s="9">
        <v>0.0</v>
      </c>
      <c r="BL67" s="9">
        <v>0.0</v>
      </c>
      <c r="BM67" s="9">
        <v>0.0</v>
      </c>
      <c r="BN67" s="9">
        <v>0.0</v>
      </c>
      <c r="BO67" s="9">
        <v>0.0</v>
      </c>
      <c r="BP67" s="9" t="s">
        <v>84</v>
      </c>
      <c r="BQ67" s="9" t="s">
        <v>84</v>
      </c>
      <c r="BR67" s="9">
        <v>0.0</v>
      </c>
      <c r="BS67" s="9" t="s">
        <v>84</v>
      </c>
      <c r="BT67" s="9">
        <v>0.0</v>
      </c>
      <c r="BU67" s="9">
        <v>0.0</v>
      </c>
      <c r="BV67" s="9">
        <v>0.0</v>
      </c>
      <c r="BW67" s="10">
        <v>0.0</v>
      </c>
      <c r="BX67" s="14">
        <v>0.0</v>
      </c>
      <c r="BY67" s="9">
        <v>0.0</v>
      </c>
      <c r="BZ67" s="9">
        <v>0.0</v>
      </c>
      <c r="CA67" s="9">
        <v>0.0</v>
      </c>
      <c r="CB67" s="9">
        <v>0.0</v>
      </c>
      <c r="CC67" s="15" t="s">
        <v>95</v>
      </c>
      <c r="CD67" s="17"/>
    </row>
    <row r="68" ht="15.75" customHeight="1">
      <c r="A68" s="9">
        <v>67.0</v>
      </c>
      <c r="B68" s="10">
        <v>64.0</v>
      </c>
      <c r="C68" s="9" t="s">
        <v>81</v>
      </c>
      <c r="D68" s="11" t="s">
        <v>82</v>
      </c>
      <c r="E68" s="9" t="s">
        <v>96</v>
      </c>
      <c r="F68" s="12">
        <v>187.96</v>
      </c>
      <c r="G68" s="12">
        <v>122.9</v>
      </c>
      <c r="H68" s="12">
        <f t="shared" si="3"/>
        <v>34.78732304</v>
      </c>
      <c r="I68" s="9">
        <v>0.0</v>
      </c>
      <c r="J68" s="9">
        <v>3.0</v>
      </c>
      <c r="K68" s="9">
        <v>2.0</v>
      </c>
      <c r="L68" s="9">
        <v>0.0</v>
      </c>
      <c r="M68" s="9">
        <v>104.0</v>
      </c>
      <c r="N68" s="9">
        <v>0.0</v>
      </c>
      <c r="O68" s="9">
        <v>141.0</v>
      </c>
      <c r="P68" s="9">
        <v>0.0</v>
      </c>
      <c r="Q68" s="9">
        <v>16.0</v>
      </c>
      <c r="R68" s="9">
        <v>0.0</v>
      </c>
      <c r="S68" s="12">
        <v>98.2</v>
      </c>
      <c r="T68" s="9">
        <v>0.0</v>
      </c>
      <c r="U68" s="9">
        <v>94.0</v>
      </c>
      <c r="V68" s="9">
        <v>1.0</v>
      </c>
      <c r="W68" s="9">
        <v>0.0</v>
      </c>
      <c r="X68" s="9">
        <v>0.0</v>
      </c>
      <c r="Y68" s="9">
        <v>1.0</v>
      </c>
      <c r="Z68" s="9">
        <v>0.0</v>
      </c>
      <c r="AA68" s="9">
        <v>0.0</v>
      </c>
      <c r="AB68" s="9">
        <v>0.0</v>
      </c>
      <c r="AC68" s="9">
        <v>0.0</v>
      </c>
      <c r="AD68" s="9">
        <v>0.0</v>
      </c>
      <c r="AE68" s="9">
        <v>1.0</v>
      </c>
      <c r="AF68" s="9">
        <v>0.0</v>
      </c>
      <c r="AG68" s="9">
        <v>0.0</v>
      </c>
      <c r="AH68" s="9">
        <v>0.0</v>
      </c>
      <c r="AI68" s="9">
        <v>0.0</v>
      </c>
      <c r="AJ68" s="9">
        <v>0.0</v>
      </c>
      <c r="AK68" s="9">
        <v>0.0</v>
      </c>
      <c r="AL68" s="9">
        <v>0.0</v>
      </c>
      <c r="AM68" s="9">
        <v>0.0</v>
      </c>
      <c r="AN68" s="9">
        <v>0.0</v>
      </c>
      <c r="AO68" s="9">
        <v>1.0</v>
      </c>
      <c r="AP68" s="9">
        <v>1.0</v>
      </c>
      <c r="AQ68" s="9">
        <v>1.0</v>
      </c>
      <c r="AR68" s="9">
        <v>1.0</v>
      </c>
      <c r="AS68" s="9">
        <v>1.0</v>
      </c>
      <c r="AT68" s="9">
        <v>1.0</v>
      </c>
      <c r="AU68" s="9">
        <v>1.0</v>
      </c>
      <c r="AV68" s="9">
        <v>0.0</v>
      </c>
      <c r="AW68" s="9">
        <v>52.3</v>
      </c>
      <c r="AX68" s="13">
        <f>5.69/4.98</f>
        <v>1.142570281</v>
      </c>
      <c r="AY68" s="10">
        <v>0.0</v>
      </c>
      <c r="AZ68" s="10">
        <v>0.0</v>
      </c>
      <c r="BA68" s="10">
        <v>1.0</v>
      </c>
      <c r="BB68" s="13">
        <f>4.06/4.28</f>
        <v>0.9485981308</v>
      </c>
      <c r="BC68" s="10">
        <v>4.0</v>
      </c>
      <c r="BD68" s="10">
        <v>1.0</v>
      </c>
      <c r="BE68" s="10"/>
      <c r="BF68" s="9">
        <v>0.0</v>
      </c>
      <c r="BG68" s="9" t="s">
        <v>84</v>
      </c>
      <c r="BH68" s="9">
        <v>1.0</v>
      </c>
      <c r="BI68" s="9">
        <v>0.0</v>
      </c>
      <c r="BJ68" s="9">
        <v>0.0</v>
      </c>
      <c r="BK68" s="9">
        <v>0.0</v>
      </c>
      <c r="BL68" s="9">
        <v>0.0</v>
      </c>
      <c r="BM68" s="9">
        <v>0.0</v>
      </c>
      <c r="BN68" s="9">
        <v>0.0</v>
      </c>
      <c r="BO68" s="9">
        <v>1.0</v>
      </c>
      <c r="BP68" s="9">
        <v>0.0</v>
      </c>
      <c r="BQ68" s="9">
        <v>1.0</v>
      </c>
      <c r="BR68" s="9">
        <v>0.0</v>
      </c>
      <c r="BS68" s="9" t="s">
        <v>84</v>
      </c>
      <c r="BT68" s="9">
        <v>0.0</v>
      </c>
      <c r="BU68" s="9">
        <v>0.0</v>
      </c>
      <c r="BV68" s="9">
        <v>0.0</v>
      </c>
      <c r="BW68" s="10">
        <v>0.0</v>
      </c>
      <c r="BX68" s="14">
        <v>0.0</v>
      </c>
      <c r="BY68" s="9">
        <v>0.0</v>
      </c>
      <c r="BZ68" s="9">
        <v>0.0</v>
      </c>
      <c r="CA68" s="9">
        <v>0.0</v>
      </c>
      <c r="CB68" s="9">
        <v>0.0</v>
      </c>
      <c r="CC68" s="15" t="s">
        <v>95</v>
      </c>
      <c r="CD68" s="17"/>
    </row>
    <row r="69" ht="15.75" customHeight="1">
      <c r="A69" s="9">
        <v>68.0</v>
      </c>
      <c r="B69" s="10">
        <v>76.0</v>
      </c>
      <c r="C69" s="9" t="s">
        <v>81</v>
      </c>
      <c r="D69" s="11" t="s">
        <v>88</v>
      </c>
      <c r="E69" s="9" t="s">
        <v>90</v>
      </c>
      <c r="F69" s="12">
        <v>177.8</v>
      </c>
      <c r="G69" s="12">
        <v>100.0</v>
      </c>
      <c r="H69" s="12">
        <f t="shared" si="3"/>
        <v>31.63271633</v>
      </c>
      <c r="I69" s="9">
        <v>1.0</v>
      </c>
      <c r="J69" s="9">
        <v>3.0</v>
      </c>
      <c r="K69" s="9">
        <v>2.0</v>
      </c>
      <c r="L69" s="9">
        <v>0.0</v>
      </c>
      <c r="M69" s="9">
        <v>96.0</v>
      </c>
      <c r="N69" s="9">
        <v>0.0</v>
      </c>
      <c r="O69" s="9">
        <v>135.0</v>
      </c>
      <c r="P69" s="9">
        <v>0.0</v>
      </c>
      <c r="Q69" s="9">
        <v>20.0</v>
      </c>
      <c r="R69" s="9">
        <v>0.0</v>
      </c>
      <c r="S69" s="12">
        <v>97.9</v>
      </c>
      <c r="T69" s="9">
        <v>0.0</v>
      </c>
      <c r="U69" s="9">
        <v>97.0</v>
      </c>
      <c r="V69" s="9">
        <v>0.0</v>
      </c>
      <c r="W69" s="9">
        <v>0.0</v>
      </c>
      <c r="X69" s="9">
        <v>0.0</v>
      </c>
      <c r="Y69" s="9">
        <v>0.0</v>
      </c>
      <c r="Z69" s="9">
        <v>0.0</v>
      </c>
      <c r="AA69" s="9">
        <v>0.0</v>
      </c>
      <c r="AB69" s="9">
        <v>1.0</v>
      </c>
      <c r="AC69" s="9">
        <v>0.0</v>
      </c>
      <c r="AD69" s="9">
        <v>0.0</v>
      </c>
      <c r="AE69" s="9">
        <v>0.0</v>
      </c>
      <c r="AF69" s="9">
        <v>0.0</v>
      </c>
      <c r="AG69" s="9">
        <v>0.0</v>
      </c>
      <c r="AH69" s="9">
        <v>0.0</v>
      </c>
      <c r="AI69" s="9">
        <v>0.0</v>
      </c>
      <c r="AJ69" s="9">
        <v>0.0</v>
      </c>
      <c r="AK69" s="9">
        <v>0.0</v>
      </c>
      <c r="AL69" s="9">
        <v>0.0</v>
      </c>
      <c r="AM69" s="9">
        <v>0.0</v>
      </c>
      <c r="AN69" s="9">
        <v>0.0</v>
      </c>
      <c r="AO69" s="9">
        <v>1.0</v>
      </c>
      <c r="AP69" s="9">
        <v>1.0</v>
      </c>
      <c r="AQ69" s="9">
        <v>1.0</v>
      </c>
      <c r="AR69" s="9">
        <v>1.0</v>
      </c>
      <c r="AS69" s="9">
        <v>1.0</v>
      </c>
      <c r="AT69" s="9">
        <v>1.0</v>
      </c>
      <c r="AU69" s="9">
        <v>1.0</v>
      </c>
      <c r="AV69" s="9">
        <v>0.0</v>
      </c>
      <c r="AW69" s="9">
        <v>40.0</v>
      </c>
      <c r="AX69" s="13">
        <f>6.07/4.87</f>
        <v>1.246406571</v>
      </c>
      <c r="AY69" s="10">
        <v>0.0</v>
      </c>
      <c r="AZ69" s="10">
        <v>0.0</v>
      </c>
      <c r="BA69" s="10">
        <v>1.0</v>
      </c>
      <c r="BB69" s="13">
        <f>3.72/4.34</f>
        <v>0.8571428571</v>
      </c>
      <c r="BC69" s="10">
        <v>2.0</v>
      </c>
      <c r="BD69" s="10">
        <v>0.0</v>
      </c>
      <c r="BE69" s="10"/>
      <c r="BF69" s="9">
        <v>0.0</v>
      </c>
      <c r="BG69" s="9" t="s">
        <v>84</v>
      </c>
      <c r="BH69" s="9">
        <v>1.0</v>
      </c>
      <c r="BI69" s="9">
        <v>0.0</v>
      </c>
      <c r="BJ69" s="9">
        <v>0.0</v>
      </c>
      <c r="BK69" s="9">
        <v>0.0</v>
      </c>
      <c r="BL69" s="9">
        <v>0.0</v>
      </c>
      <c r="BM69" s="9">
        <v>0.0</v>
      </c>
      <c r="BN69" s="9">
        <v>1.0</v>
      </c>
      <c r="BO69" s="9">
        <v>0.0</v>
      </c>
      <c r="BP69" s="9">
        <v>0.0</v>
      </c>
      <c r="BQ69" s="9">
        <v>0.0</v>
      </c>
      <c r="BR69" s="9">
        <v>0.0</v>
      </c>
      <c r="BS69" s="9" t="s">
        <v>84</v>
      </c>
      <c r="BT69" s="9">
        <v>0.0</v>
      </c>
      <c r="BU69" s="9">
        <v>1.0</v>
      </c>
      <c r="BV69" s="9">
        <v>0.0</v>
      </c>
      <c r="BW69" s="10">
        <v>0.0</v>
      </c>
      <c r="BX69" s="14">
        <v>0.0</v>
      </c>
      <c r="BY69" s="9">
        <v>0.0</v>
      </c>
      <c r="BZ69" s="9">
        <v>0.0</v>
      </c>
      <c r="CA69" s="9">
        <v>0.0</v>
      </c>
      <c r="CB69" s="9">
        <v>0.0</v>
      </c>
      <c r="CC69" s="15" t="s">
        <v>122</v>
      </c>
      <c r="CD69" s="17"/>
    </row>
    <row r="70" ht="15.75" customHeight="1">
      <c r="A70" s="9">
        <v>69.0</v>
      </c>
      <c r="B70" s="10">
        <v>55.0</v>
      </c>
      <c r="C70" s="9" t="s">
        <v>81</v>
      </c>
      <c r="D70" s="11" t="s">
        <v>88</v>
      </c>
      <c r="E70" s="9" t="s">
        <v>116</v>
      </c>
      <c r="F70" s="12">
        <v>180.34</v>
      </c>
      <c r="G70" s="12">
        <v>110.0</v>
      </c>
      <c r="H70" s="12">
        <f t="shared" si="3"/>
        <v>33.82272188</v>
      </c>
      <c r="I70" s="9">
        <v>1.0</v>
      </c>
      <c r="J70" s="9">
        <v>2.0</v>
      </c>
      <c r="K70" s="9">
        <v>2.0</v>
      </c>
      <c r="L70" s="9">
        <v>0.0</v>
      </c>
      <c r="M70" s="9">
        <v>80.0</v>
      </c>
      <c r="N70" s="9">
        <v>0.0</v>
      </c>
      <c r="O70" s="9">
        <v>108.0</v>
      </c>
      <c r="P70" s="9">
        <v>0.0</v>
      </c>
      <c r="Q70" s="9">
        <v>17.0</v>
      </c>
      <c r="R70" s="9">
        <v>0.0</v>
      </c>
      <c r="S70" s="12">
        <v>98.6</v>
      </c>
      <c r="T70" s="9">
        <v>0.0</v>
      </c>
      <c r="U70" s="9">
        <v>100.0</v>
      </c>
      <c r="V70" s="9">
        <v>0.0</v>
      </c>
      <c r="W70" s="9">
        <v>0.0</v>
      </c>
      <c r="X70" s="9">
        <v>0.0</v>
      </c>
      <c r="Y70" s="9">
        <v>0.0</v>
      </c>
      <c r="Z70" s="9">
        <v>0.0</v>
      </c>
      <c r="AA70" s="9">
        <v>0.0</v>
      </c>
      <c r="AB70" s="9">
        <v>1.0</v>
      </c>
      <c r="AC70" s="9">
        <v>0.0</v>
      </c>
      <c r="AD70" s="9">
        <v>1.0</v>
      </c>
      <c r="AE70" s="9">
        <v>1.0</v>
      </c>
      <c r="AF70" s="9">
        <v>0.0</v>
      </c>
      <c r="AG70" s="9">
        <v>0.0</v>
      </c>
      <c r="AH70" s="9">
        <v>0.0</v>
      </c>
      <c r="AI70" s="9">
        <v>0.0</v>
      </c>
      <c r="AJ70" s="9">
        <v>0.0</v>
      </c>
      <c r="AK70" s="9">
        <v>0.0</v>
      </c>
      <c r="AL70" s="9">
        <v>0.0</v>
      </c>
      <c r="AM70" s="9">
        <v>0.0</v>
      </c>
      <c r="AN70" s="9">
        <v>0.0</v>
      </c>
      <c r="AO70" s="9">
        <v>1.0</v>
      </c>
      <c r="AP70" s="9">
        <v>1.0</v>
      </c>
      <c r="AQ70" s="9">
        <v>1.0</v>
      </c>
      <c r="AR70" s="9">
        <v>1.0</v>
      </c>
      <c r="AS70" s="9">
        <v>1.0</v>
      </c>
      <c r="AT70" s="9">
        <v>1.0</v>
      </c>
      <c r="AU70" s="9">
        <v>1.0</v>
      </c>
      <c r="AV70" s="9">
        <v>0.0</v>
      </c>
      <c r="AW70" s="9">
        <v>30.0</v>
      </c>
      <c r="AX70" s="13">
        <f>4.44/5.14</f>
        <v>0.8638132296</v>
      </c>
      <c r="AY70" s="10">
        <v>1.0</v>
      </c>
      <c r="AZ70" s="10">
        <v>0.0</v>
      </c>
      <c r="BA70" s="10">
        <v>0.0</v>
      </c>
      <c r="BB70" s="13">
        <f>2.95/3.36</f>
        <v>0.8779761905</v>
      </c>
      <c r="BC70" s="10">
        <v>1.0</v>
      </c>
      <c r="BD70" s="10">
        <v>0.0</v>
      </c>
      <c r="BE70" s="10"/>
      <c r="BF70" s="9">
        <v>0.0</v>
      </c>
      <c r="BG70" s="9" t="s">
        <v>84</v>
      </c>
      <c r="BH70" s="9">
        <v>1.0</v>
      </c>
      <c r="BI70" s="9">
        <v>0.0</v>
      </c>
      <c r="BJ70" s="9">
        <v>0.0</v>
      </c>
      <c r="BK70" s="9">
        <v>0.0</v>
      </c>
      <c r="BL70" s="9">
        <v>0.0</v>
      </c>
      <c r="BM70" s="9">
        <v>0.0</v>
      </c>
      <c r="BN70" s="9">
        <v>0.0</v>
      </c>
      <c r="BO70" s="9">
        <v>1.0</v>
      </c>
      <c r="BP70" s="9">
        <v>0.0</v>
      </c>
      <c r="BQ70" s="9">
        <v>1.0</v>
      </c>
      <c r="BR70" s="9">
        <v>0.0</v>
      </c>
      <c r="BS70" s="9" t="s">
        <v>84</v>
      </c>
      <c r="BT70" s="9">
        <v>0.0</v>
      </c>
      <c r="BU70" s="9">
        <v>1.0</v>
      </c>
      <c r="BV70" s="9">
        <v>0.0</v>
      </c>
      <c r="BW70" s="10">
        <v>0.0</v>
      </c>
      <c r="BX70" s="14">
        <v>0.0</v>
      </c>
      <c r="BY70" s="9">
        <v>0.0</v>
      </c>
      <c r="BZ70" s="9">
        <v>0.0</v>
      </c>
      <c r="CA70" s="9">
        <v>0.0</v>
      </c>
      <c r="CB70" s="9">
        <v>0.0</v>
      </c>
      <c r="CC70" s="15" t="s">
        <v>101</v>
      </c>
      <c r="CD70" s="17"/>
    </row>
    <row r="71" ht="15.75" customHeight="1">
      <c r="A71" s="9">
        <v>70.0</v>
      </c>
      <c r="B71" s="10">
        <v>44.0</v>
      </c>
      <c r="C71" s="9" t="s">
        <v>81</v>
      </c>
      <c r="D71" s="11" t="s">
        <v>88</v>
      </c>
      <c r="E71" s="9" t="s">
        <v>96</v>
      </c>
      <c r="F71" s="12">
        <v>180.34</v>
      </c>
      <c r="G71" s="12">
        <v>88.4</v>
      </c>
      <c r="H71" s="12">
        <f t="shared" si="3"/>
        <v>27.18116922</v>
      </c>
      <c r="I71" s="9">
        <v>0.0</v>
      </c>
      <c r="J71" s="9">
        <v>2.0</v>
      </c>
      <c r="K71" s="9">
        <v>2.0</v>
      </c>
      <c r="L71" s="9">
        <v>0.0</v>
      </c>
      <c r="M71" s="9">
        <v>109.0</v>
      </c>
      <c r="N71" s="9">
        <v>0.0</v>
      </c>
      <c r="O71" s="9">
        <v>130.0</v>
      </c>
      <c r="P71" s="9">
        <v>0.0</v>
      </c>
      <c r="Q71" s="9">
        <v>20.0</v>
      </c>
      <c r="R71" s="9">
        <v>0.0</v>
      </c>
      <c r="S71" s="12">
        <v>99.2</v>
      </c>
      <c r="T71" s="9">
        <v>0.0</v>
      </c>
      <c r="U71" s="9">
        <v>97.0</v>
      </c>
      <c r="V71" s="9">
        <v>0.0</v>
      </c>
      <c r="W71" s="9">
        <v>0.0</v>
      </c>
      <c r="X71" s="9">
        <v>0.0</v>
      </c>
      <c r="Y71" s="9">
        <v>1.0</v>
      </c>
      <c r="Z71" s="9">
        <v>0.0</v>
      </c>
      <c r="AA71" s="9">
        <v>0.0</v>
      </c>
      <c r="AB71" s="9">
        <v>0.0</v>
      </c>
      <c r="AC71" s="9">
        <v>0.0</v>
      </c>
      <c r="AD71" s="9">
        <v>0.0</v>
      </c>
      <c r="AE71" s="9">
        <v>0.0</v>
      </c>
      <c r="AF71" s="9">
        <v>0.0</v>
      </c>
      <c r="AG71" s="9">
        <v>0.0</v>
      </c>
      <c r="AH71" s="9">
        <v>0.0</v>
      </c>
      <c r="AI71" s="9">
        <v>0.0</v>
      </c>
      <c r="AJ71" s="9">
        <v>0.0</v>
      </c>
      <c r="AK71" s="9">
        <v>1.0</v>
      </c>
      <c r="AL71" s="9">
        <v>0.0</v>
      </c>
      <c r="AM71" s="9">
        <v>0.0</v>
      </c>
      <c r="AN71" s="9">
        <v>0.0</v>
      </c>
      <c r="AO71" s="9">
        <v>3.0</v>
      </c>
      <c r="AP71" s="9" t="s">
        <v>84</v>
      </c>
      <c r="AQ71" s="9">
        <v>1.0</v>
      </c>
      <c r="AR71" s="9">
        <v>1.0</v>
      </c>
      <c r="AS71" s="9">
        <v>1.0</v>
      </c>
      <c r="AT71" s="9">
        <v>1.0</v>
      </c>
      <c r="AU71" s="9">
        <v>1.0</v>
      </c>
      <c r="AV71" s="9">
        <v>0.0</v>
      </c>
      <c r="AW71" s="9">
        <v>39.9</v>
      </c>
      <c r="AX71" s="13">
        <f>5.65/3.97</f>
        <v>1.423173804</v>
      </c>
      <c r="AY71" s="10">
        <v>0.0</v>
      </c>
      <c r="AZ71" s="10">
        <v>0.0</v>
      </c>
      <c r="BA71" s="10">
        <v>1.0</v>
      </c>
      <c r="BB71" s="13">
        <f>3.44/3.57</f>
        <v>0.9635854342</v>
      </c>
      <c r="BC71" s="10">
        <v>3.0</v>
      </c>
      <c r="BD71" s="10">
        <v>1.0</v>
      </c>
      <c r="BE71" s="10"/>
      <c r="BF71" s="9">
        <v>0.0</v>
      </c>
      <c r="BG71" s="9" t="s">
        <v>84</v>
      </c>
      <c r="BH71" s="9">
        <v>1.0</v>
      </c>
      <c r="BI71" s="9">
        <v>0.0</v>
      </c>
      <c r="BJ71" s="9">
        <v>0.0</v>
      </c>
      <c r="BK71" s="9">
        <v>0.0</v>
      </c>
      <c r="BL71" s="9">
        <v>0.0</v>
      </c>
      <c r="BM71" s="9">
        <v>0.0</v>
      </c>
      <c r="BN71" s="9">
        <v>0.0</v>
      </c>
      <c r="BO71" s="9">
        <v>1.0</v>
      </c>
      <c r="BP71" s="9">
        <v>1.0</v>
      </c>
      <c r="BQ71" s="9">
        <v>0.0</v>
      </c>
      <c r="BR71" s="9">
        <v>0.0</v>
      </c>
      <c r="BS71" s="9" t="s">
        <v>84</v>
      </c>
      <c r="BT71" s="9">
        <v>0.0</v>
      </c>
      <c r="BU71" s="9" t="s">
        <v>91</v>
      </c>
      <c r="BV71" s="9">
        <v>0.0</v>
      </c>
      <c r="BW71" s="10">
        <v>0.0</v>
      </c>
      <c r="BX71" s="14">
        <v>0.0</v>
      </c>
      <c r="BY71" s="9">
        <v>0.0</v>
      </c>
      <c r="BZ71" s="9">
        <v>0.0</v>
      </c>
      <c r="CA71" s="9">
        <v>0.0</v>
      </c>
      <c r="CB71" s="9">
        <v>0.0</v>
      </c>
      <c r="CC71" s="15" t="s">
        <v>101</v>
      </c>
      <c r="CD71" s="17"/>
    </row>
    <row r="72" ht="15.75" customHeight="1">
      <c r="A72" s="9">
        <v>71.0</v>
      </c>
      <c r="B72" s="10">
        <v>73.0</v>
      </c>
      <c r="C72" s="9" t="s">
        <v>81</v>
      </c>
      <c r="D72" s="11" t="s">
        <v>88</v>
      </c>
      <c r="E72" s="9" t="s">
        <v>123</v>
      </c>
      <c r="F72" s="12">
        <v>185.42000000000002</v>
      </c>
      <c r="G72" s="12">
        <v>84.3</v>
      </c>
      <c r="H72" s="12">
        <f t="shared" si="3"/>
        <v>24.51965872</v>
      </c>
      <c r="I72" s="9">
        <v>1.0</v>
      </c>
      <c r="J72" s="9">
        <v>3.0</v>
      </c>
      <c r="K72" s="9">
        <v>2.0</v>
      </c>
      <c r="L72" s="9">
        <v>0.0</v>
      </c>
      <c r="M72" s="9">
        <v>80.0</v>
      </c>
      <c r="N72" s="9">
        <v>0.0</v>
      </c>
      <c r="O72" s="9">
        <v>127.0</v>
      </c>
      <c r="P72" s="9">
        <v>0.0</v>
      </c>
      <c r="Q72" s="9">
        <v>14.0</v>
      </c>
      <c r="R72" s="9">
        <v>0.0</v>
      </c>
      <c r="S72" s="12">
        <v>97.7</v>
      </c>
      <c r="T72" s="9">
        <v>0.0</v>
      </c>
      <c r="U72" s="9">
        <v>96.0</v>
      </c>
      <c r="V72" s="9">
        <v>0.0</v>
      </c>
      <c r="W72" s="9">
        <v>0.0</v>
      </c>
      <c r="X72" s="9">
        <v>0.0</v>
      </c>
      <c r="Y72" s="9">
        <v>0.0</v>
      </c>
      <c r="Z72" s="9">
        <v>0.0</v>
      </c>
      <c r="AA72" s="9">
        <v>1.0</v>
      </c>
      <c r="AB72" s="9">
        <v>0.0</v>
      </c>
      <c r="AC72" s="9">
        <v>0.0</v>
      </c>
      <c r="AD72" s="9">
        <v>1.0</v>
      </c>
      <c r="AE72" s="9">
        <v>0.0</v>
      </c>
      <c r="AF72" s="9">
        <v>1.0</v>
      </c>
      <c r="AG72" s="9">
        <v>0.0</v>
      </c>
      <c r="AH72" s="9">
        <v>0.0</v>
      </c>
      <c r="AI72" s="9">
        <v>0.0</v>
      </c>
      <c r="AJ72" s="9">
        <v>0.0</v>
      </c>
      <c r="AK72" s="9">
        <v>1.0</v>
      </c>
      <c r="AL72" s="9">
        <v>0.0</v>
      </c>
      <c r="AM72" s="9">
        <v>0.0</v>
      </c>
      <c r="AN72" s="9">
        <v>0.0</v>
      </c>
      <c r="AO72" s="9">
        <v>1.0</v>
      </c>
      <c r="AP72" s="9">
        <v>1.0</v>
      </c>
      <c r="AQ72" s="9" t="s">
        <v>84</v>
      </c>
      <c r="AR72" s="9">
        <v>0.0</v>
      </c>
      <c r="AS72" s="9">
        <v>0.0</v>
      </c>
      <c r="AT72" s="9">
        <v>1.0</v>
      </c>
      <c r="AU72" s="9">
        <v>0.0</v>
      </c>
      <c r="AV72" s="9">
        <v>0.0</v>
      </c>
      <c r="AW72" s="9" t="s">
        <v>97</v>
      </c>
      <c r="AX72" s="13">
        <f>5.61/4.22</f>
        <v>1.329383886</v>
      </c>
      <c r="AY72" s="10">
        <v>0.0</v>
      </c>
      <c r="AZ72" s="10">
        <v>0.0</v>
      </c>
      <c r="BA72" s="10">
        <v>1.0</v>
      </c>
      <c r="BB72" s="13">
        <f>2.93/3.43</f>
        <v>0.8542274052</v>
      </c>
      <c r="BC72" s="10">
        <v>1.0</v>
      </c>
      <c r="BD72" s="10">
        <v>0.0</v>
      </c>
      <c r="BE72" s="10"/>
      <c r="BF72" s="9">
        <v>0.0</v>
      </c>
      <c r="BG72" s="9" t="s">
        <v>84</v>
      </c>
      <c r="BH72" s="9">
        <v>1.0</v>
      </c>
      <c r="BI72" s="9">
        <v>0.0</v>
      </c>
      <c r="BJ72" s="9">
        <v>0.0</v>
      </c>
      <c r="BK72" s="9">
        <v>0.0</v>
      </c>
      <c r="BL72" s="9">
        <v>0.0</v>
      </c>
      <c r="BM72" s="9">
        <v>0.0</v>
      </c>
      <c r="BN72" s="9">
        <v>0.0</v>
      </c>
      <c r="BO72" s="9">
        <v>0.0</v>
      </c>
      <c r="BP72" s="9" t="s">
        <v>84</v>
      </c>
      <c r="BQ72" s="9" t="s">
        <v>84</v>
      </c>
      <c r="BR72" s="9">
        <v>1.0</v>
      </c>
      <c r="BS72" s="9" t="s">
        <v>107</v>
      </c>
      <c r="BT72" s="9">
        <v>0.0</v>
      </c>
      <c r="BU72" s="9">
        <v>1.0</v>
      </c>
      <c r="BV72" s="9">
        <v>0.0</v>
      </c>
      <c r="BW72" s="10">
        <v>0.0</v>
      </c>
      <c r="BX72" s="14">
        <v>0.0</v>
      </c>
      <c r="BY72" s="9">
        <v>0.0</v>
      </c>
      <c r="BZ72" s="9">
        <v>0.0</v>
      </c>
      <c r="CA72" s="9">
        <v>0.0</v>
      </c>
      <c r="CB72" s="9">
        <v>0.0</v>
      </c>
      <c r="CC72" s="15" t="s">
        <v>95</v>
      </c>
      <c r="CD72" s="17"/>
    </row>
    <row r="73" ht="15.75" customHeight="1">
      <c r="A73" s="9">
        <v>72.0</v>
      </c>
      <c r="B73" s="10">
        <v>56.0</v>
      </c>
      <c r="C73" s="9" t="s">
        <v>86</v>
      </c>
      <c r="D73" s="11" t="s">
        <v>82</v>
      </c>
      <c r="E73" s="9" t="s">
        <v>121</v>
      </c>
      <c r="F73" s="12">
        <v>172.72</v>
      </c>
      <c r="G73" s="12">
        <v>77.1</v>
      </c>
      <c r="H73" s="12">
        <f t="shared" si="3"/>
        <v>25.84455861</v>
      </c>
      <c r="I73" s="9">
        <v>1.0</v>
      </c>
      <c r="J73" s="9">
        <v>3.0</v>
      </c>
      <c r="K73" s="9">
        <v>1.0</v>
      </c>
      <c r="L73" s="9">
        <v>1.0</v>
      </c>
      <c r="M73" s="9">
        <v>138.0</v>
      </c>
      <c r="N73" s="9">
        <v>0.0</v>
      </c>
      <c r="O73" s="9">
        <v>126.0</v>
      </c>
      <c r="P73" s="9">
        <v>0.0</v>
      </c>
      <c r="Q73" s="9">
        <v>14.0</v>
      </c>
      <c r="R73" s="9">
        <v>0.0</v>
      </c>
      <c r="S73" s="12">
        <v>98.0</v>
      </c>
      <c r="T73" s="9">
        <v>1.0</v>
      </c>
      <c r="U73" s="9">
        <v>89.0</v>
      </c>
      <c r="V73" s="9">
        <v>1.0</v>
      </c>
      <c r="W73" s="9">
        <v>0.0</v>
      </c>
      <c r="X73" s="9">
        <v>0.0</v>
      </c>
      <c r="Y73" s="9">
        <v>1.0</v>
      </c>
      <c r="Z73" s="9">
        <v>0.0</v>
      </c>
      <c r="AA73" s="9">
        <v>0.0</v>
      </c>
      <c r="AB73" s="9">
        <v>0.0</v>
      </c>
      <c r="AC73" s="9">
        <v>0.0</v>
      </c>
      <c r="AD73" s="9">
        <v>0.0</v>
      </c>
      <c r="AE73" s="9">
        <v>0.0</v>
      </c>
      <c r="AF73" s="9">
        <v>1.0</v>
      </c>
      <c r="AG73" s="9">
        <v>1.0</v>
      </c>
      <c r="AH73" s="9">
        <v>0.0</v>
      </c>
      <c r="AI73" s="9">
        <v>1.0</v>
      </c>
      <c r="AJ73" s="9">
        <v>1.0</v>
      </c>
      <c r="AK73" s="9">
        <v>0.0</v>
      </c>
      <c r="AL73" s="9">
        <v>0.0</v>
      </c>
      <c r="AM73" s="9">
        <v>0.0</v>
      </c>
      <c r="AN73" s="9">
        <v>0.0</v>
      </c>
      <c r="AO73" s="9">
        <v>0.0</v>
      </c>
      <c r="AP73" s="9" t="s">
        <v>84</v>
      </c>
      <c r="AQ73" s="9">
        <v>0.0</v>
      </c>
      <c r="AR73" s="9">
        <v>0.0</v>
      </c>
      <c r="AS73" s="9">
        <v>0.0</v>
      </c>
      <c r="AT73" s="9">
        <v>0.0</v>
      </c>
      <c r="AU73" s="9">
        <v>0.0</v>
      </c>
      <c r="AV73" s="9">
        <v>0.0</v>
      </c>
      <c r="AW73" s="9" t="s">
        <v>97</v>
      </c>
      <c r="AX73" s="13">
        <f>3.2/4.47</f>
        <v>0.7158836689</v>
      </c>
      <c r="AY73" s="10">
        <v>0.0</v>
      </c>
      <c r="AZ73" s="10">
        <v>0.0</v>
      </c>
      <c r="BA73" s="10">
        <v>0.0</v>
      </c>
      <c r="BB73" s="13">
        <f>2.33/3.08</f>
        <v>0.7564935065</v>
      </c>
      <c r="BC73" s="10">
        <v>1.0</v>
      </c>
      <c r="BD73" s="10">
        <v>0.0</v>
      </c>
      <c r="BE73" s="10"/>
      <c r="BF73" s="9">
        <v>0.0</v>
      </c>
      <c r="BG73" s="9" t="s">
        <v>84</v>
      </c>
      <c r="BH73" s="9">
        <v>0.0</v>
      </c>
      <c r="BI73" s="9">
        <v>0.0</v>
      </c>
      <c r="BJ73" s="9">
        <v>0.0</v>
      </c>
      <c r="BK73" s="9">
        <v>0.0</v>
      </c>
      <c r="BL73" s="9">
        <v>0.0</v>
      </c>
      <c r="BM73" s="9">
        <v>0.0</v>
      </c>
      <c r="BN73" s="9">
        <v>0.0</v>
      </c>
      <c r="BO73" s="9">
        <v>0.0</v>
      </c>
      <c r="BP73" s="9" t="s">
        <v>84</v>
      </c>
      <c r="BQ73" s="9" t="s">
        <v>84</v>
      </c>
      <c r="BR73" s="9">
        <v>0.0</v>
      </c>
      <c r="BS73" s="9" t="s">
        <v>84</v>
      </c>
      <c r="BT73" s="9">
        <v>0.0</v>
      </c>
      <c r="BU73" s="9">
        <v>0.0</v>
      </c>
      <c r="BV73" s="9">
        <v>0.0</v>
      </c>
      <c r="BW73" s="10">
        <v>0.0</v>
      </c>
      <c r="BX73" s="14">
        <v>0.0</v>
      </c>
      <c r="BY73" s="9">
        <v>0.0</v>
      </c>
      <c r="BZ73" s="9">
        <v>0.0</v>
      </c>
      <c r="CA73" s="9">
        <v>0.0</v>
      </c>
      <c r="CB73" s="9">
        <v>0.0</v>
      </c>
      <c r="CC73" s="15" t="s">
        <v>113</v>
      </c>
      <c r="CD73" s="17"/>
    </row>
    <row r="74" ht="15.75" customHeight="1">
      <c r="A74" s="9">
        <v>73.0</v>
      </c>
      <c r="B74" s="10">
        <v>56.0</v>
      </c>
      <c r="C74" s="9" t="s">
        <v>86</v>
      </c>
      <c r="D74" s="11" t="s">
        <v>88</v>
      </c>
      <c r="E74" s="9" t="s">
        <v>96</v>
      </c>
      <c r="F74" s="12">
        <v>165.1</v>
      </c>
      <c r="G74" s="12">
        <v>136.0</v>
      </c>
      <c r="H74" s="12">
        <f t="shared" si="3"/>
        <v>49.89359091</v>
      </c>
      <c r="I74" s="9">
        <v>1.0</v>
      </c>
      <c r="J74" s="9">
        <v>2.0</v>
      </c>
      <c r="K74" s="9">
        <v>3.0</v>
      </c>
      <c r="L74" s="9">
        <v>0.0</v>
      </c>
      <c r="M74" s="9">
        <v>105.0</v>
      </c>
      <c r="N74" s="9">
        <v>0.0</v>
      </c>
      <c r="O74" s="9">
        <v>121.0</v>
      </c>
      <c r="P74" s="9">
        <v>0.0</v>
      </c>
      <c r="Q74" s="9">
        <v>18.0</v>
      </c>
      <c r="R74" s="9">
        <v>0.0</v>
      </c>
      <c r="S74" s="12">
        <v>98.8</v>
      </c>
      <c r="T74" s="9">
        <v>0.0</v>
      </c>
      <c r="U74" s="9">
        <v>91.0</v>
      </c>
      <c r="V74" s="9">
        <v>1.0</v>
      </c>
      <c r="W74" s="9">
        <v>0.0</v>
      </c>
      <c r="X74" s="9">
        <v>1.0</v>
      </c>
      <c r="Y74" s="9">
        <v>0.0</v>
      </c>
      <c r="Z74" s="9">
        <v>0.0</v>
      </c>
      <c r="AA74" s="9">
        <v>0.0</v>
      </c>
      <c r="AB74" s="9">
        <v>0.0</v>
      </c>
      <c r="AC74" s="9">
        <v>0.0</v>
      </c>
      <c r="AD74" s="9">
        <v>0.0</v>
      </c>
      <c r="AE74" s="9">
        <v>1.0</v>
      </c>
      <c r="AF74" s="9">
        <v>0.0</v>
      </c>
      <c r="AG74" s="9">
        <v>0.0</v>
      </c>
      <c r="AH74" s="9">
        <v>0.0</v>
      </c>
      <c r="AI74" s="9">
        <v>1.0</v>
      </c>
      <c r="AJ74" s="9">
        <v>1.0</v>
      </c>
      <c r="AK74" s="9">
        <v>1.0</v>
      </c>
      <c r="AL74" s="9">
        <v>0.0</v>
      </c>
      <c r="AM74" s="9">
        <v>0.0</v>
      </c>
      <c r="AN74" s="9">
        <v>0.0</v>
      </c>
      <c r="AO74" s="9">
        <v>1.0</v>
      </c>
      <c r="AP74" s="9">
        <v>1.0</v>
      </c>
      <c r="AQ74" s="9">
        <v>0.0</v>
      </c>
      <c r="AR74" s="9">
        <v>1.0</v>
      </c>
      <c r="AS74" s="9">
        <v>0.0</v>
      </c>
      <c r="AT74" s="9">
        <v>0.0</v>
      </c>
      <c r="AU74" s="9">
        <v>0.0</v>
      </c>
      <c r="AV74" s="9">
        <v>0.0</v>
      </c>
      <c r="AW74" s="9">
        <v>50.0</v>
      </c>
      <c r="AX74" s="13">
        <f>5/4.2</f>
        <v>1.19047619</v>
      </c>
      <c r="AY74" s="10">
        <v>0.0</v>
      </c>
      <c r="AZ74" s="10">
        <v>0.0</v>
      </c>
      <c r="BA74" s="10">
        <v>1.0</v>
      </c>
      <c r="BB74" s="13">
        <f>2.7/3.27</f>
        <v>0.8256880734</v>
      </c>
      <c r="BC74" s="10">
        <v>2.0</v>
      </c>
      <c r="BD74" s="10">
        <v>1.0</v>
      </c>
      <c r="BE74" s="10"/>
      <c r="BF74" s="9">
        <v>0.0</v>
      </c>
      <c r="BG74" s="9" t="s">
        <v>84</v>
      </c>
      <c r="BH74" s="9">
        <v>1.0</v>
      </c>
      <c r="BI74" s="9">
        <v>0.0</v>
      </c>
      <c r="BJ74" s="9">
        <v>0.0</v>
      </c>
      <c r="BK74" s="9">
        <v>0.0</v>
      </c>
      <c r="BL74" s="9">
        <v>0.0</v>
      </c>
      <c r="BM74" s="9">
        <v>1.0</v>
      </c>
      <c r="BN74" s="9">
        <v>0.0</v>
      </c>
      <c r="BO74" s="9">
        <v>0.0</v>
      </c>
      <c r="BP74" s="9" t="s">
        <v>84</v>
      </c>
      <c r="BQ74" s="9" t="s">
        <v>84</v>
      </c>
      <c r="BR74" s="9">
        <v>0.0</v>
      </c>
      <c r="BS74" s="9" t="s">
        <v>84</v>
      </c>
      <c r="BT74" s="9">
        <v>0.0</v>
      </c>
      <c r="BU74" s="9">
        <v>1.0</v>
      </c>
      <c r="BV74" s="9">
        <v>0.0</v>
      </c>
      <c r="BW74" s="10">
        <v>0.0</v>
      </c>
      <c r="BX74" s="14">
        <v>0.0</v>
      </c>
      <c r="BY74" s="9">
        <v>0.0</v>
      </c>
      <c r="BZ74" s="9">
        <v>0.0</v>
      </c>
      <c r="CA74" s="9">
        <v>0.0</v>
      </c>
      <c r="CB74" s="9">
        <v>0.0</v>
      </c>
      <c r="CC74" s="15" t="s">
        <v>87</v>
      </c>
      <c r="CD74" s="17"/>
    </row>
    <row r="75" ht="15.75" customHeight="1">
      <c r="A75" s="9">
        <v>74.0</v>
      </c>
      <c r="B75" s="10">
        <v>84.0</v>
      </c>
      <c r="C75" s="9" t="s">
        <v>86</v>
      </c>
      <c r="D75" s="11" t="s">
        <v>82</v>
      </c>
      <c r="E75" s="9">
        <v>5.0</v>
      </c>
      <c r="F75" s="12">
        <v>152.4</v>
      </c>
      <c r="G75" s="12">
        <v>85.5</v>
      </c>
      <c r="H75" s="12">
        <f t="shared" si="3"/>
        <v>36.81257363</v>
      </c>
      <c r="I75" s="9">
        <v>1.0</v>
      </c>
      <c r="J75" s="9">
        <v>3.0</v>
      </c>
      <c r="K75" s="9">
        <v>2.0</v>
      </c>
      <c r="L75" s="9">
        <v>1.0</v>
      </c>
      <c r="M75" s="9">
        <v>110.0</v>
      </c>
      <c r="N75" s="9">
        <v>0.0</v>
      </c>
      <c r="O75" s="9">
        <v>171.0</v>
      </c>
      <c r="P75" s="9">
        <v>0.0</v>
      </c>
      <c r="Q75" s="9">
        <v>21.0</v>
      </c>
      <c r="R75" s="9">
        <v>0.0</v>
      </c>
      <c r="S75" s="12">
        <v>97.6</v>
      </c>
      <c r="T75" s="9">
        <v>0.0</v>
      </c>
      <c r="U75" s="9">
        <v>95.0</v>
      </c>
      <c r="V75" s="9">
        <v>0.0</v>
      </c>
      <c r="W75" s="9">
        <v>0.0</v>
      </c>
      <c r="X75" s="9">
        <v>1.0</v>
      </c>
      <c r="Y75" s="9">
        <v>0.0</v>
      </c>
      <c r="Z75" s="9">
        <v>0.0</v>
      </c>
      <c r="AA75" s="9">
        <v>0.0</v>
      </c>
      <c r="AB75" s="9">
        <v>0.0</v>
      </c>
      <c r="AC75" s="9">
        <v>0.0</v>
      </c>
      <c r="AD75" s="9">
        <v>0.0</v>
      </c>
      <c r="AE75" s="9">
        <v>0.0</v>
      </c>
      <c r="AF75" s="9">
        <v>0.0</v>
      </c>
      <c r="AG75" s="9">
        <v>0.0</v>
      </c>
      <c r="AH75" s="9">
        <v>0.0</v>
      </c>
      <c r="AI75" s="9">
        <v>0.0</v>
      </c>
      <c r="AJ75" s="9">
        <v>0.0</v>
      </c>
      <c r="AK75" s="9">
        <v>1.0</v>
      </c>
      <c r="AL75" s="9">
        <v>0.0</v>
      </c>
      <c r="AM75" s="9">
        <v>0.0</v>
      </c>
      <c r="AN75" s="9">
        <v>0.0</v>
      </c>
      <c r="AO75" s="9">
        <v>1.0</v>
      </c>
      <c r="AP75" s="9">
        <v>1.0</v>
      </c>
      <c r="AQ75" s="9">
        <v>1.0</v>
      </c>
      <c r="AR75" s="9">
        <v>1.0</v>
      </c>
      <c r="AS75" s="9">
        <v>0.0</v>
      </c>
      <c r="AT75" s="9">
        <v>0.0</v>
      </c>
      <c r="AU75" s="9">
        <v>0.0</v>
      </c>
      <c r="AV75" s="9">
        <v>0.0</v>
      </c>
      <c r="AW75" s="9">
        <v>33.8</v>
      </c>
      <c r="AX75" s="13">
        <f>4.16/4.53</f>
        <v>0.9183222958</v>
      </c>
      <c r="AY75" s="10">
        <v>0.0</v>
      </c>
      <c r="AZ75" s="10">
        <v>1.0</v>
      </c>
      <c r="BA75" s="10">
        <v>0.0</v>
      </c>
      <c r="BB75" s="13">
        <f>2.97/3.32</f>
        <v>0.8945783133</v>
      </c>
      <c r="BC75" s="10">
        <v>2.0</v>
      </c>
      <c r="BD75" s="10">
        <v>0.0</v>
      </c>
      <c r="BE75" s="10"/>
      <c r="BF75" s="9">
        <v>1.0</v>
      </c>
      <c r="BG75" s="15" t="s">
        <v>124</v>
      </c>
      <c r="BH75" s="9">
        <v>1.0</v>
      </c>
      <c r="BI75" s="9">
        <v>0.0</v>
      </c>
      <c r="BJ75" s="9">
        <v>0.0</v>
      </c>
      <c r="BK75" s="9">
        <v>0.0</v>
      </c>
      <c r="BL75" s="9">
        <v>0.0</v>
      </c>
      <c r="BM75" s="9">
        <v>0.0</v>
      </c>
      <c r="BN75" s="9">
        <v>0.0</v>
      </c>
      <c r="BO75" s="9">
        <v>0.0</v>
      </c>
      <c r="BP75" s="9" t="s">
        <v>84</v>
      </c>
      <c r="BQ75" s="9" t="s">
        <v>84</v>
      </c>
      <c r="BR75" s="9">
        <v>0.0</v>
      </c>
      <c r="BS75" s="9" t="s">
        <v>84</v>
      </c>
      <c r="BT75" s="9">
        <v>0.0</v>
      </c>
      <c r="BU75" s="9">
        <v>1.0</v>
      </c>
      <c r="BV75" s="9">
        <v>0.0</v>
      </c>
      <c r="BW75" s="10">
        <v>0.0</v>
      </c>
      <c r="BX75" s="14">
        <v>0.0</v>
      </c>
      <c r="BY75" s="9">
        <v>0.0</v>
      </c>
      <c r="BZ75" s="9">
        <v>0.0</v>
      </c>
      <c r="CA75" s="9">
        <v>0.0</v>
      </c>
      <c r="CB75" s="9">
        <v>0.0</v>
      </c>
      <c r="CC75" s="16" t="s">
        <v>101</v>
      </c>
      <c r="CD75" s="17"/>
    </row>
    <row r="76" ht="15.75" customHeight="1">
      <c r="A76" s="9">
        <v>75.0</v>
      </c>
      <c r="B76" s="10">
        <v>43.0</v>
      </c>
      <c r="C76" s="9" t="s">
        <v>81</v>
      </c>
      <c r="D76" s="11" t="s">
        <v>82</v>
      </c>
      <c r="E76" s="9" t="s">
        <v>99</v>
      </c>
      <c r="F76" s="12">
        <v>177.8</v>
      </c>
      <c r="G76" s="12">
        <v>108.9</v>
      </c>
      <c r="H76" s="12">
        <f t="shared" si="3"/>
        <v>34.44802808</v>
      </c>
      <c r="I76" s="9">
        <v>1.0</v>
      </c>
      <c r="J76" s="9">
        <v>4.0</v>
      </c>
      <c r="K76" s="19">
        <v>3.0</v>
      </c>
      <c r="L76" s="9">
        <v>1.0</v>
      </c>
      <c r="M76" s="9">
        <v>139.0</v>
      </c>
      <c r="N76" s="9">
        <v>1.0</v>
      </c>
      <c r="O76" s="9">
        <v>89.0</v>
      </c>
      <c r="P76" s="9">
        <v>0.0</v>
      </c>
      <c r="Q76" s="9">
        <v>24.0</v>
      </c>
      <c r="R76" s="9">
        <v>1.0</v>
      </c>
      <c r="S76" s="12">
        <v>96.4</v>
      </c>
      <c r="T76" s="9">
        <v>0.0</v>
      </c>
      <c r="U76" s="9" t="s">
        <v>84</v>
      </c>
      <c r="V76" s="9">
        <v>1.0</v>
      </c>
      <c r="W76" s="9">
        <v>0.0</v>
      </c>
      <c r="X76" s="9">
        <v>0.0</v>
      </c>
      <c r="Y76" s="9">
        <v>1.0</v>
      </c>
      <c r="Z76" s="9">
        <v>0.0</v>
      </c>
      <c r="AA76" s="9">
        <v>0.0</v>
      </c>
      <c r="AB76" s="9">
        <v>0.0</v>
      </c>
      <c r="AC76" s="9">
        <v>0.0</v>
      </c>
      <c r="AD76" s="9">
        <v>0.0</v>
      </c>
      <c r="AE76" s="9">
        <v>0.0</v>
      </c>
      <c r="AF76" s="9">
        <v>0.0</v>
      </c>
      <c r="AG76" s="9">
        <v>0.0</v>
      </c>
      <c r="AH76" s="9">
        <v>0.0</v>
      </c>
      <c r="AI76" s="9">
        <v>0.0</v>
      </c>
      <c r="AJ76" s="9">
        <v>0.0</v>
      </c>
      <c r="AK76" s="9">
        <v>0.0</v>
      </c>
      <c r="AL76" s="9">
        <v>0.0</v>
      </c>
      <c r="AM76" s="9">
        <v>0.0</v>
      </c>
      <c r="AN76" s="9">
        <v>0.0</v>
      </c>
      <c r="AO76" s="9">
        <v>1.0</v>
      </c>
      <c r="AP76" s="9">
        <v>1.0</v>
      </c>
      <c r="AQ76" s="9" t="s">
        <v>84</v>
      </c>
      <c r="AR76" s="9">
        <v>1.0</v>
      </c>
      <c r="AS76" s="9">
        <v>0.0</v>
      </c>
      <c r="AT76" s="9">
        <v>0.0</v>
      </c>
      <c r="AU76" s="9">
        <v>0.0</v>
      </c>
      <c r="AV76" s="9">
        <v>0.0</v>
      </c>
      <c r="AW76" s="9">
        <v>41.0</v>
      </c>
      <c r="AX76" s="13">
        <f>5.92/3.83</f>
        <v>1.545691906</v>
      </c>
      <c r="AY76" s="10">
        <v>0.0</v>
      </c>
      <c r="AZ76" s="10">
        <v>0.0</v>
      </c>
      <c r="BA76" s="10">
        <v>1.0</v>
      </c>
      <c r="BB76" s="13">
        <f>3.21/3.84</f>
        <v>0.8359375</v>
      </c>
      <c r="BC76" s="10">
        <v>5.0</v>
      </c>
      <c r="BD76" s="10">
        <v>1.0</v>
      </c>
      <c r="BE76" s="10"/>
      <c r="BF76" s="9">
        <v>1.0</v>
      </c>
      <c r="BG76" s="15" t="s">
        <v>125</v>
      </c>
      <c r="BH76" s="9">
        <v>1.0</v>
      </c>
      <c r="BI76" s="9">
        <v>1.0</v>
      </c>
      <c r="BJ76" s="9">
        <v>1.0</v>
      </c>
      <c r="BK76" s="9">
        <v>1.0</v>
      </c>
      <c r="BL76" s="9">
        <v>0.0</v>
      </c>
      <c r="BM76" s="9">
        <v>1.0</v>
      </c>
      <c r="BN76" s="9">
        <v>1.0</v>
      </c>
      <c r="BO76" s="9">
        <v>0.0</v>
      </c>
      <c r="BP76" s="9">
        <v>1.0</v>
      </c>
      <c r="BQ76" s="9">
        <v>1.0</v>
      </c>
      <c r="BR76" s="9">
        <v>0.0</v>
      </c>
      <c r="BS76" s="9" t="s">
        <v>84</v>
      </c>
      <c r="BT76" s="9">
        <v>0.0</v>
      </c>
      <c r="BU76" s="9">
        <v>0.0</v>
      </c>
      <c r="BV76" s="9">
        <v>1.0</v>
      </c>
      <c r="BW76" s="10" t="s">
        <v>84</v>
      </c>
      <c r="BX76" s="14" t="s">
        <v>84</v>
      </c>
      <c r="BY76" s="9" t="s">
        <v>84</v>
      </c>
      <c r="BZ76" s="9" t="s">
        <v>84</v>
      </c>
      <c r="CA76" s="9">
        <v>0.0</v>
      </c>
      <c r="CB76" s="9">
        <v>0.0</v>
      </c>
      <c r="CC76" s="15" t="s">
        <v>101</v>
      </c>
      <c r="CD76" s="16"/>
    </row>
    <row r="77" ht="15.75" customHeight="1">
      <c r="A77" s="9">
        <v>76.0</v>
      </c>
      <c r="B77" s="10">
        <v>32.0</v>
      </c>
      <c r="C77" s="9" t="s">
        <v>86</v>
      </c>
      <c r="D77" s="11" t="s">
        <v>88</v>
      </c>
      <c r="E77" s="9">
        <v>6.0</v>
      </c>
      <c r="F77" s="12">
        <v>170.18</v>
      </c>
      <c r="G77" s="12">
        <v>108.9</v>
      </c>
      <c r="H77" s="12">
        <f t="shared" si="3"/>
        <v>37.601991</v>
      </c>
      <c r="I77" s="9">
        <v>1.0</v>
      </c>
      <c r="J77" s="9">
        <v>3.0</v>
      </c>
      <c r="K77" s="9">
        <v>2.0</v>
      </c>
      <c r="L77" s="9">
        <v>1.0</v>
      </c>
      <c r="M77" s="9">
        <v>132.0</v>
      </c>
      <c r="N77" s="9">
        <v>0.0</v>
      </c>
      <c r="O77" s="9">
        <v>136.0</v>
      </c>
      <c r="P77" s="9">
        <v>0.0</v>
      </c>
      <c r="Q77" s="9">
        <v>20.0</v>
      </c>
      <c r="R77" s="9">
        <v>0.0</v>
      </c>
      <c r="S77" s="12">
        <v>97.9</v>
      </c>
      <c r="T77" s="9">
        <v>1.0</v>
      </c>
      <c r="U77" s="9">
        <v>88.0</v>
      </c>
      <c r="V77" s="9">
        <v>1.0</v>
      </c>
      <c r="W77" s="9">
        <v>0.0</v>
      </c>
      <c r="X77" s="9">
        <v>0.0</v>
      </c>
      <c r="Y77" s="9">
        <v>0.0</v>
      </c>
      <c r="Z77" s="9">
        <v>0.0</v>
      </c>
      <c r="AA77" s="9">
        <v>0.0</v>
      </c>
      <c r="AB77" s="9">
        <v>0.0</v>
      </c>
      <c r="AC77" s="9">
        <v>0.0</v>
      </c>
      <c r="AD77" s="9">
        <v>0.0</v>
      </c>
      <c r="AE77" s="9">
        <v>0.0</v>
      </c>
      <c r="AF77" s="9">
        <v>0.0</v>
      </c>
      <c r="AG77" s="9">
        <v>1.0</v>
      </c>
      <c r="AH77" s="9">
        <v>1.0</v>
      </c>
      <c r="AI77" s="9">
        <v>1.0</v>
      </c>
      <c r="AJ77" s="9">
        <v>0.0</v>
      </c>
      <c r="AK77" s="9">
        <v>0.0</v>
      </c>
      <c r="AL77" s="9">
        <v>0.0</v>
      </c>
      <c r="AM77" s="9">
        <v>0.0</v>
      </c>
      <c r="AN77" s="9">
        <v>0.0</v>
      </c>
      <c r="AO77" s="9">
        <v>1.0</v>
      </c>
      <c r="AP77" s="9">
        <v>1.0</v>
      </c>
      <c r="AQ77" s="9">
        <v>1.0</v>
      </c>
      <c r="AR77" s="9">
        <v>1.0</v>
      </c>
      <c r="AS77" s="9">
        <v>1.0</v>
      </c>
      <c r="AT77" s="9">
        <v>1.0</v>
      </c>
      <c r="AU77" s="9">
        <v>1.0</v>
      </c>
      <c r="AV77" s="9">
        <v>0.0</v>
      </c>
      <c r="AW77" s="9">
        <v>30.4</v>
      </c>
      <c r="AX77" s="13">
        <f>5.91/3.46</f>
        <v>1.708092486</v>
      </c>
      <c r="AY77" s="10">
        <v>0.0</v>
      </c>
      <c r="AZ77" s="10">
        <v>0.0</v>
      </c>
      <c r="BA77" s="10">
        <v>1.0</v>
      </c>
      <c r="BB77" s="13">
        <f>3.19/3.13</f>
        <v>1.019169329</v>
      </c>
      <c r="BC77" s="10">
        <v>4.0</v>
      </c>
      <c r="BD77" s="10">
        <v>1.0</v>
      </c>
      <c r="BE77" s="10"/>
      <c r="BF77" s="9">
        <v>0.0</v>
      </c>
      <c r="BG77" s="9" t="s">
        <v>84</v>
      </c>
      <c r="BH77" s="9">
        <v>1.0</v>
      </c>
      <c r="BI77" s="9">
        <v>0.0</v>
      </c>
      <c r="BJ77" s="9">
        <v>0.0</v>
      </c>
      <c r="BK77" s="9">
        <v>0.0</v>
      </c>
      <c r="BL77" s="9">
        <v>0.0</v>
      </c>
      <c r="BM77" s="9">
        <v>0.0</v>
      </c>
      <c r="BN77" s="9">
        <v>0.0</v>
      </c>
      <c r="BO77" s="9">
        <v>1.0</v>
      </c>
      <c r="BP77" s="9">
        <v>0.0</v>
      </c>
      <c r="BQ77" s="9">
        <v>1.0</v>
      </c>
      <c r="BR77" s="9">
        <v>0.0</v>
      </c>
      <c r="BS77" s="9" t="s">
        <v>84</v>
      </c>
      <c r="BT77" s="9">
        <v>0.0</v>
      </c>
      <c r="BU77" s="9">
        <v>1.0</v>
      </c>
      <c r="BV77" s="9">
        <v>0.0</v>
      </c>
      <c r="BW77" s="10">
        <v>0.0</v>
      </c>
      <c r="BX77" s="14">
        <v>0.0</v>
      </c>
      <c r="BY77" s="9">
        <v>0.0</v>
      </c>
      <c r="BZ77" s="9">
        <v>1.0</v>
      </c>
      <c r="CA77" s="9">
        <v>0.0</v>
      </c>
      <c r="CB77" s="9">
        <v>0.0</v>
      </c>
      <c r="CC77" s="15" t="s">
        <v>126</v>
      </c>
      <c r="CD77" s="16"/>
    </row>
    <row r="78" ht="15.75" customHeight="1">
      <c r="A78" s="9">
        <v>77.0</v>
      </c>
      <c r="B78" s="10">
        <v>71.0</v>
      </c>
      <c r="C78" s="9" t="s">
        <v>81</v>
      </c>
      <c r="D78" s="11" t="s">
        <v>82</v>
      </c>
      <c r="E78" s="9" t="s">
        <v>119</v>
      </c>
      <c r="F78" s="12">
        <v>182.88</v>
      </c>
      <c r="G78" s="12">
        <v>113.4</v>
      </c>
      <c r="H78" s="12">
        <f t="shared" si="3"/>
        <v>33.90631781</v>
      </c>
      <c r="I78" s="9">
        <v>1.0</v>
      </c>
      <c r="J78" s="9">
        <v>5.0</v>
      </c>
      <c r="K78" s="9">
        <v>1.0</v>
      </c>
      <c r="L78" s="9">
        <v>1.0</v>
      </c>
      <c r="M78" s="9">
        <v>112.0</v>
      </c>
      <c r="N78" s="9">
        <v>0.0</v>
      </c>
      <c r="O78" s="9">
        <v>120.0</v>
      </c>
      <c r="P78" s="9">
        <v>0.0</v>
      </c>
      <c r="Q78" s="9">
        <v>22.0</v>
      </c>
      <c r="R78" s="9">
        <v>0.0</v>
      </c>
      <c r="S78" s="12">
        <v>98.1</v>
      </c>
      <c r="T78" s="9">
        <v>1.0</v>
      </c>
      <c r="U78" s="9" t="s">
        <v>84</v>
      </c>
      <c r="V78" s="9">
        <v>1.0</v>
      </c>
      <c r="W78" s="9">
        <v>0.0</v>
      </c>
      <c r="X78" s="9">
        <v>0.0</v>
      </c>
      <c r="Y78" s="9">
        <v>0.0</v>
      </c>
      <c r="Z78" s="9">
        <v>0.0</v>
      </c>
      <c r="AA78" s="9">
        <v>0.0</v>
      </c>
      <c r="AB78" s="9">
        <v>0.0</v>
      </c>
      <c r="AC78" s="9">
        <v>1.0</v>
      </c>
      <c r="AD78" s="9">
        <v>0.0</v>
      </c>
      <c r="AE78" s="9">
        <v>0.0</v>
      </c>
      <c r="AF78" s="9">
        <v>0.0</v>
      </c>
      <c r="AG78" s="9">
        <v>1.0</v>
      </c>
      <c r="AH78" s="9">
        <v>0.0</v>
      </c>
      <c r="AI78" s="9">
        <v>1.0</v>
      </c>
      <c r="AJ78" s="9">
        <v>1.0</v>
      </c>
      <c r="AK78" s="9">
        <v>0.0</v>
      </c>
      <c r="AL78" s="9">
        <v>0.0</v>
      </c>
      <c r="AM78" s="9">
        <v>0.0</v>
      </c>
      <c r="AN78" s="9">
        <v>0.0</v>
      </c>
      <c r="AO78" s="9">
        <v>1.0</v>
      </c>
      <c r="AP78" s="9">
        <v>1.0</v>
      </c>
      <c r="AQ78" s="9" t="s">
        <v>84</v>
      </c>
      <c r="AR78" s="9" t="s">
        <v>84</v>
      </c>
      <c r="AS78" s="9">
        <v>0.0</v>
      </c>
      <c r="AT78" s="9">
        <v>0.0</v>
      </c>
      <c r="AU78" s="9">
        <v>0.0</v>
      </c>
      <c r="AV78" s="9">
        <v>1.0</v>
      </c>
      <c r="AW78" s="9">
        <v>30.0</v>
      </c>
      <c r="AX78" s="13">
        <f>5.27/4.39</f>
        <v>1.200455581</v>
      </c>
      <c r="AY78" s="10">
        <v>0.0</v>
      </c>
      <c r="AZ78" s="10">
        <v>0.0</v>
      </c>
      <c r="BA78" s="10">
        <v>1.0</v>
      </c>
      <c r="BB78" s="13">
        <f>3.52/3.51</f>
        <v>1.002849003</v>
      </c>
      <c r="BC78" s="10">
        <v>4.0</v>
      </c>
      <c r="BD78" s="10">
        <v>1.0</v>
      </c>
      <c r="BE78" s="10"/>
      <c r="BF78" s="9">
        <v>0.0</v>
      </c>
      <c r="BG78" s="9" t="s">
        <v>84</v>
      </c>
      <c r="BH78" s="9">
        <v>1.0</v>
      </c>
      <c r="BI78" s="9">
        <v>0.0</v>
      </c>
      <c r="BJ78" s="9">
        <v>0.0</v>
      </c>
      <c r="BK78" s="9">
        <v>0.0</v>
      </c>
      <c r="BL78" s="9">
        <v>0.0</v>
      </c>
      <c r="BM78" s="9">
        <v>0.0</v>
      </c>
      <c r="BN78" s="9">
        <v>1.0</v>
      </c>
      <c r="BO78" s="9">
        <v>0.0</v>
      </c>
      <c r="BP78" s="9">
        <v>1.0</v>
      </c>
      <c r="BQ78" s="9">
        <v>1.0</v>
      </c>
      <c r="BR78" s="9">
        <v>0.0</v>
      </c>
      <c r="BS78" s="9" t="s">
        <v>84</v>
      </c>
      <c r="BT78" s="9">
        <v>0.0</v>
      </c>
      <c r="BU78" s="9">
        <v>1.0</v>
      </c>
      <c r="BV78" s="9">
        <v>0.0</v>
      </c>
      <c r="BW78" s="10">
        <v>0.0</v>
      </c>
      <c r="BX78" s="14">
        <v>0.0</v>
      </c>
      <c r="BY78" s="9">
        <v>1.0</v>
      </c>
      <c r="BZ78" s="9">
        <v>1.0</v>
      </c>
      <c r="CA78" s="9">
        <v>0.0</v>
      </c>
      <c r="CB78" s="9">
        <v>0.0</v>
      </c>
      <c r="CC78" s="15" t="s">
        <v>113</v>
      </c>
      <c r="CD78" s="17"/>
    </row>
    <row r="79" ht="15.75" customHeight="1">
      <c r="A79" s="9">
        <v>78.0</v>
      </c>
      <c r="B79" s="10">
        <v>70.0</v>
      </c>
      <c r="C79" s="9" t="s">
        <v>86</v>
      </c>
      <c r="D79" s="11" t="s">
        <v>82</v>
      </c>
      <c r="E79" s="9" t="s">
        <v>96</v>
      </c>
      <c r="F79" s="12">
        <v>162.56</v>
      </c>
      <c r="G79" s="12">
        <v>113.5</v>
      </c>
      <c r="H79" s="12">
        <f t="shared" si="3"/>
        <v>42.95052535</v>
      </c>
      <c r="I79" s="9">
        <v>1.0</v>
      </c>
      <c r="J79" s="9">
        <v>4.0</v>
      </c>
      <c r="K79" s="9">
        <v>2.0</v>
      </c>
      <c r="L79" s="9">
        <v>0.0</v>
      </c>
      <c r="M79" s="9">
        <v>74.0</v>
      </c>
      <c r="N79" s="9">
        <v>0.0</v>
      </c>
      <c r="O79" s="9">
        <v>155.0</v>
      </c>
      <c r="P79" s="9">
        <v>1.0</v>
      </c>
      <c r="Q79" s="9">
        <v>32.0</v>
      </c>
      <c r="R79" s="9">
        <v>0.0</v>
      </c>
      <c r="S79" s="12">
        <v>97.8</v>
      </c>
      <c r="T79" s="9">
        <v>0.0</v>
      </c>
      <c r="U79" s="9">
        <v>93.0</v>
      </c>
      <c r="V79" s="9">
        <v>1.0</v>
      </c>
      <c r="W79" s="9">
        <v>0.0</v>
      </c>
      <c r="X79" s="9">
        <v>0.0</v>
      </c>
      <c r="Y79" s="9">
        <v>0.0</v>
      </c>
      <c r="Z79" s="9">
        <v>0.0</v>
      </c>
      <c r="AA79" s="9">
        <v>0.0</v>
      </c>
      <c r="AB79" s="9">
        <v>0.0</v>
      </c>
      <c r="AC79" s="9">
        <v>1.0</v>
      </c>
      <c r="AD79" s="9">
        <v>0.0</v>
      </c>
      <c r="AE79" s="9">
        <v>1.0</v>
      </c>
      <c r="AF79" s="9">
        <v>0.0</v>
      </c>
      <c r="AG79" s="9">
        <v>0.0</v>
      </c>
      <c r="AH79" s="9">
        <v>0.0</v>
      </c>
      <c r="AI79" s="9">
        <v>0.0</v>
      </c>
      <c r="AJ79" s="9">
        <v>0.0</v>
      </c>
      <c r="AK79" s="9">
        <v>0.0</v>
      </c>
      <c r="AL79" s="9">
        <v>1.0</v>
      </c>
      <c r="AM79" s="9">
        <v>0.0</v>
      </c>
      <c r="AN79" s="9">
        <v>0.0</v>
      </c>
      <c r="AO79" s="9">
        <v>0.0</v>
      </c>
      <c r="AP79" s="9" t="s">
        <v>84</v>
      </c>
      <c r="AQ79" s="9" t="s">
        <v>84</v>
      </c>
      <c r="AR79" s="9">
        <v>0.0</v>
      </c>
      <c r="AS79" s="9">
        <v>0.0</v>
      </c>
      <c r="AT79" s="9">
        <v>1.0</v>
      </c>
      <c r="AU79" s="9">
        <v>0.0</v>
      </c>
      <c r="AV79" s="9">
        <v>0.0</v>
      </c>
      <c r="AW79" s="9" t="s">
        <v>97</v>
      </c>
      <c r="AX79" s="13">
        <f>4.93/4.33</f>
        <v>1.138568129</v>
      </c>
      <c r="AY79" s="10">
        <v>0.0</v>
      </c>
      <c r="AZ79" s="10">
        <v>0.0</v>
      </c>
      <c r="BA79" s="10">
        <v>1.0</v>
      </c>
      <c r="BB79" s="13">
        <f>3.95/3.25</f>
        <v>1.215384615</v>
      </c>
      <c r="BC79" s="10">
        <v>4.0</v>
      </c>
      <c r="BD79" s="10">
        <v>0.0</v>
      </c>
      <c r="BE79" s="10"/>
      <c r="BF79" s="9">
        <v>0.0</v>
      </c>
      <c r="BG79" s="9" t="s">
        <v>84</v>
      </c>
      <c r="BH79" s="9">
        <v>0.0</v>
      </c>
      <c r="BI79" s="9">
        <v>0.0</v>
      </c>
      <c r="BJ79" s="9">
        <v>0.0</v>
      </c>
      <c r="BK79" s="9">
        <v>0.0</v>
      </c>
      <c r="BL79" s="9">
        <v>0.0</v>
      </c>
      <c r="BM79" s="9">
        <v>0.0</v>
      </c>
      <c r="BN79" s="9">
        <v>0.0</v>
      </c>
      <c r="BO79" s="9">
        <v>0.0</v>
      </c>
      <c r="BP79" s="9" t="s">
        <v>84</v>
      </c>
      <c r="BQ79" s="9" t="s">
        <v>84</v>
      </c>
      <c r="BR79" s="9">
        <v>0.0</v>
      </c>
      <c r="BS79" s="9" t="s">
        <v>84</v>
      </c>
      <c r="BT79" s="9">
        <v>0.0</v>
      </c>
      <c r="BU79" s="9">
        <v>0.0</v>
      </c>
      <c r="BV79" s="9">
        <v>0.0</v>
      </c>
      <c r="BW79" s="10">
        <v>0.0</v>
      </c>
      <c r="BX79" s="14">
        <v>0.0</v>
      </c>
      <c r="BY79" s="9">
        <v>1.0</v>
      </c>
      <c r="BZ79" s="9">
        <v>0.0</v>
      </c>
      <c r="CA79" s="9">
        <v>0.0</v>
      </c>
      <c r="CB79" s="9">
        <v>0.0</v>
      </c>
      <c r="CC79" s="15" t="s">
        <v>101</v>
      </c>
      <c r="CD79" s="17"/>
    </row>
    <row r="80" ht="15.75" customHeight="1">
      <c r="A80" s="9">
        <v>79.0</v>
      </c>
      <c r="B80" s="10">
        <v>41.0</v>
      </c>
      <c r="C80" s="9" t="s">
        <v>86</v>
      </c>
      <c r="D80" s="11" t="s">
        <v>88</v>
      </c>
      <c r="E80" s="9" t="s">
        <v>93</v>
      </c>
      <c r="F80" s="12">
        <v>180.34</v>
      </c>
      <c r="G80" s="12">
        <v>106.6</v>
      </c>
      <c r="H80" s="12">
        <f t="shared" si="3"/>
        <v>32.7772923</v>
      </c>
      <c r="I80" s="9">
        <v>1.0</v>
      </c>
      <c r="J80" s="9">
        <v>1.0</v>
      </c>
      <c r="K80" s="9">
        <v>2.0</v>
      </c>
      <c r="L80" s="9">
        <v>1.0</v>
      </c>
      <c r="M80" s="9">
        <v>130.0</v>
      </c>
      <c r="N80" s="9">
        <v>0.0</v>
      </c>
      <c r="O80" s="9">
        <v>132.0</v>
      </c>
      <c r="P80" s="9">
        <v>0.0</v>
      </c>
      <c r="Q80" s="9">
        <v>20.0</v>
      </c>
      <c r="R80" s="9">
        <v>0.0</v>
      </c>
      <c r="S80" s="12">
        <v>100.0</v>
      </c>
      <c r="T80" s="9">
        <v>0.0</v>
      </c>
      <c r="U80" s="9">
        <v>96.0</v>
      </c>
      <c r="V80" s="9">
        <v>0.0</v>
      </c>
      <c r="W80" s="9">
        <v>0.0</v>
      </c>
      <c r="X80" s="9">
        <v>0.0</v>
      </c>
      <c r="Y80" s="9">
        <v>0.0</v>
      </c>
      <c r="Z80" s="9">
        <v>0.0</v>
      </c>
      <c r="AA80" s="9">
        <v>0.0</v>
      </c>
      <c r="AB80" s="9">
        <v>0.0</v>
      </c>
      <c r="AC80" s="9">
        <v>0.0</v>
      </c>
      <c r="AD80" s="9">
        <v>0.0</v>
      </c>
      <c r="AE80" s="9">
        <v>0.0</v>
      </c>
      <c r="AF80" s="9">
        <v>0.0</v>
      </c>
      <c r="AG80" s="9">
        <v>0.0</v>
      </c>
      <c r="AH80" s="9">
        <v>0.0</v>
      </c>
      <c r="AI80" s="9">
        <v>0.0</v>
      </c>
      <c r="AJ80" s="9">
        <v>0.0</v>
      </c>
      <c r="AK80" s="9">
        <v>0.0</v>
      </c>
      <c r="AL80" s="9">
        <v>0.0</v>
      </c>
      <c r="AM80" s="9">
        <v>0.0</v>
      </c>
      <c r="AN80" s="9">
        <v>0.0</v>
      </c>
      <c r="AO80" s="9">
        <v>1.0</v>
      </c>
      <c r="AP80" s="9">
        <v>1.0</v>
      </c>
      <c r="AQ80" s="9">
        <v>1.0</v>
      </c>
      <c r="AR80" s="9">
        <v>1.0</v>
      </c>
      <c r="AS80" s="9">
        <v>0.0</v>
      </c>
      <c r="AT80" s="9">
        <v>1.0</v>
      </c>
      <c r="AU80" s="9">
        <v>0.0</v>
      </c>
      <c r="AV80" s="9">
        <v>0.0</v>
      </c>
      <c r="AW80" s="9">
        <v>40.0</v>
      </c>
      <c r="AX80" s="13">
        <f>5.58/3.98</f>
        <v>1.40201005</v>
      </c>
      <c r="AY80" s="10">
        <v>0.0</v>
      </c>
      <c r="AZ80" s="10">
        <v>0.0</v>
      </c>
      <c r="BA80" s="10">
        <v>1.0</v>
      </c>
      <c r="BB80" s="13">
        <f>3.03/3.07</f>
        <v>0.986970684</v>
      </c>
      <c r="BC80" s="10">
        <v>4.0</v>
      </c>
      <c r="BD80" s="10">
        <v>1.0</v>
      </c>
      <c r="BE80" s="10"/>
      <c r="BF80" s="9">
        <v>0.0</v>
      </c>
      <c r="BG80" s="9" t="s">
        <v>84</v>
      </c>
      <c r="BH80" s="9">
        <v>0.0</v>
      </c>
      <c r="BI80" s="9">
        <v>0.0</v>
      </c>
      <c r="BJ80" s="9">
        <v>0.0</v>
      </c>
      <c r="BK80" s="9">
        <v>0.0</v>
      </c>
      <c r="BL80" s="9">
        <v>0.0</v>
      </c>
      <c r="BM80" s="9">
        <v>0.0</v>
      </c>
      <c r="BN80" s="9">
        <v>0.0</v>
      </c>
      <c r="BO80" s="9">
        <v>0.0</v>
      </c>
      <c r="BP80" s="9" t="s">
        <v>84</v>
      </c>
      <c r="BQ80" s="9" t="s">
        <v>84</v>
      </c>
      <c r="BR80" s="9">
        <v>0.0</v>
      </c>
      <c r="BS80" s="9" t="s">
        <v>84</v>
      </c>
      <c r="BT80" s="9">
        <v>0.0</v>
      </c>
      <c r="BU80" s="9">
        <v>0.0</v>
      </c>
      <c r="BV80" s="9">
        <v>0.0</v>
      </c>
      <c r="BW80" s="10">
        <v>0.0</v>
      </c>
      <c r="BX80" s="14">
        <v>0.0</v>
      </c>
      <c r="BY80" s="9">
        <v>0.0</v>
      </c>
      <c r="BZ80" s="9">
        <v>0.0</v>
      </c>
      <c r="CA80" s="9">
        <v>0.0</v>
      </c>
      <c r="CB80" s="9">
        <v>0.0</v>
      </c>
      <c r="CC80" s="15" t="s">
        <v>102</v>
      </c>
      <c r="CD80" s="15"/>
    </row>
    <row r="81" ht="15.75" customHeight="1">
      <c r="A81" s="9">
        <v>80.0</v>
      </c>
      <c r="B81" s="10">
        <v>37.0</v>
      </c>
      <c r="C81" s="9" t="s">
        <v>81</v>
      </c>
      <c r="D81" s="11" t="s">
        <v>88</v>
      </c>
      <c r="E81" s="9" t="s">
        <v>96</v>
      </c>
      <c r="F81" s="12">
        <v>170.18</v>
      </c>
      <c r="G81" s="12">
        <v>124.7</v>
      </c>
      <c r="H81" s="12">
        <f t="shared" si="3"/>
        <v>43.05755994</v>
      </c>
      <c r="I81" s="9">
        <v>1.0</v>
      </c>
      <c r="J81" s="9">
        <v>3.0</v>
      </c>
      <c r="K81" s="9">
        <v>2.0</v>
      </c>
      <c r="L81" s="9">
        <v>1.0</v>
      </c>
      <c r="M81" s="9">
        <v>114.0</v>
      </c>
      <c r="N81" s="9">
        <v>0.0</v>
      </c>
      <c r="O81" s="9">
        <v>133.0</v>
      </c>
      <c r="P81" s="9">
        <v>0.0</v>
      </c>
      <c r="Q81" s="9">
        <v>16.0</v>
      </c>
      <c r="R81" s="9">
        <v>0.0</v>
      </c>
      <c r="S81" s="12">
        <v>98.5</v>
      </c>
      <c r="T81" s="9">
        <v>0.0</v>
      </c>
      <c r="U81" s="9">
        <v>96.0</v>
      </c>
      <c r="V81" s="9">
        <v>1.0</v>
      </c>
      <c r="W81" s="9">
        <v>0.0</v>
      </c>
      <c r="X81" s="9">
        <v>1.0</v>
      </c>
      <c r="Y81" s="9">
        <v>0.0</v>
      </c>
      <c r="Z81" s="9">
        <v>0.0</v>
      </c>
      <c r="AA81" s="9">
        <v>0.0</v>
      </c>
      <c r="AB81" s="9">
        <v>1.0</v>
      </c>
      <c r="AC81" s="9">
        <v>0.0</v>
      </c>
      <c r="AD81" s="9">
        <v>0.0</v>
      </c>
      <c r="AE81" s="9">
        <v>1.0</v>
      </c>
      <c r="AF81" s="9">
        <v>0.0</v>
      </c>
      <c r="AG81" s="9">
        <v>0.0</v>
      </c>
      <c r="AH81" s="9">
        <v>0.0</v>
      </c>
      <c r="AI81" s="9">
        <v>0.0</v>
      </c>
      <c r="AJ81" s="9">
        <v>0.0</v>
      </c>
      <c r="AK81" s="9">
        <v>0.0</v>
      </c>
      <c r="AL81" s="9">
        <v>0.0</v>
      </c>
      <c r="AM81" s="9">
        <v>0.0</v>
      </c>
      <c r="AN81" s="9">
        <v>0.0</v>
      </c>
      <c r="AO81" s="9">
        <v>1.0</v>
      </c>
      <c r="AP81" s="9">
        <v>1.0</v>
      </c>
      <c r="AQ81" s="9">
        <v>1.0</v>
      </c>
      <c r="AR81" s="9">
        <v>1.0</v>
      </c>
      <c r="AS81" s="9">
        <v>0.0</v>
      </c>
      <c r="AT81" s="9">
        <v>0.0</v>
      </c>
      <c r="AU81" s="9">
        <v>0.0</v>
      </c>
      <c r="AV81" s="9">
        <v>0.0</v>
      </c>
      <c r="AW81" s="9" t="s">
        <v>97</v>
      </c>
      <c r="AX81" s="13">
        <f>5.29/3.98</f>
        <v>1.329145729</v>
      </c>
      <c r="AY81" s="10">
        <v>0.0</v>
      </c>
      <c r="AZ81" s="10">
        <v>0.0</v>
      </c>
      <c r="BA81" s="10">
        <v>1.0</v>
      </c>
      <c r="BB81" s="13">
        <f>2.63/3.05</f>
        <v>0.862295082</v>
      </c>
      <c r="BC81" s="10">
        <v>4.0</v>
      </c>
      <c r="BD81" s="10">
        <v>1.0</v>
      </c>
      <c r="BE81" s="10"/>
      <c r="BF81" s="9">
        <v>0.0</v>
      </c>
      <c r="BG81" s="9" t="s">
        <v>84</v>
      </c>
      <c r="BH81" s="9">
        <v>1.0</v>
      </c>
      <c r="BI81" s="9">
        <v>0.0</v>
      </c>
      <c r="BJ81" s="9">
        <v>0.0</v>
      </c>
      <c r="BK81" s="9">
        <v>0.0</v>
      </c>
      <c r="BL81" s="9">
        <v>0.0</v>
      </c>
      <c r="BM81" s="9">
        <v>0.0</v>
      </c>
      <c r="BN81" s="9">
        <v>0.0</v>
      </c>
      <c r="BO81" s="9">
        <v>1.0</v>
      </c>
      <c r="BP81" s="9">
        <v>1.0</v>
      </c>
      <c r="BQ81" s="9">
        <v>1.0</v>
      </c>
      <c r="BR81" s="9">
        <v>0.0</v>
      </c>
      <c r="BS81" s="9" t="s">
        <v>84</v>
      </c>
      <c r="BT81" s="9">
        <v>0.0</v>
      </c>
      <c r="BU81" s="9">
        <v>0.0</v>
      </c>
      <c r="BV81" s="9">
        <v>0.0</v>
      </c>
      <c r="BW81" s="10">
        <v>0.0</v>
      </c>
      <c r="BX81" s="14">
        <v>0.0</v>
      </c>
      <c r="BY81" s="9">
        <v>0.0</v>
      </c>
      <c r="BZ81" s="9">
        <v>1.0</v>
      </c>
      <c r="CA81" s="9">
        <v>0.0</v>
      </c>
      <c r="CB81" s="9">
        <v>0.0</v>
      </c>
      <c r="CC81" s="15" t="s">
        <v>101</v>
      </c>
      <c r="CD81" s="17"/>
    </row>
    <row r="82" ht="15.75" customHeight="1">
      <c r="A82" s="9">
        <v>81.0</v>
      </c>
      <c r="B82" s="10">
        <v>61.0</v>
      </c>
      <c r="C82" s="9" t="s">
        <v>86</v>
      </c>
      <c r="D82" s="11" t="s">
        <v>88</v>
      </c>
      <c r="E82" s="9" t="s">
        <v>116</v>
      </c>
      <c r="F82" s="12">
        <v>172.72</v>
      </c>
      <c r="G82" s="12">
        <v>113.4</v>
      </c>
      <c r="H82" s="12">
        <f t="shared" si="3"/>
        <v>38.01261928</v>
      </c>
      <c r="I82" s="9">
        <v>1.0</v>
      </c>
      <c r="J82" s="9">
        <v>3.0</v>
      </c>
      <c r="K82" s="9">
        <v>2.0</v>
      </c>
      <c r="L82" s="9">
        <v>0.0</v>
      </c>
      <c r="M82" s="9">
        <v>80.0</v>
      </c>
      <c r="N82" s="9">
        <v>0.0</v>
      </c>
      <c r="O82" s="9">
        <v>120.0</v>
      </c>
      <c r="P82" s="9">
        <v>0.0</v>
      </c>
      <c r="Q82" s="9">
        <v>18.0</v>
      </c>
      <c r="R82" s="9">
        <v>1.0</v>
      </c>
      <c r="S82" s="12">
        <v>96.4</v>
      </c>
      <c r="T82" s="9">
        <v>0.0</v>
      </c>
      <c r="U82" s="9">
        <v>100.0</v>
      </c>
      <c r="V82" s="9">
        <v>1.0</v>
      </c>
      <c r="W82" s="9">
        <v>0.0</v>
      </c>
      <c r="X82" s="9">
        <v>1.0</v>
      </c>
      <c r="Y82" s="9">
        <v>0.0</v>
      </c>
      <c r="Z82" s="9">
        <v>0.0</v>
      </c>
      <c r="AA82" s="9">
        <v>0.0</v>
      </c>
      <c r="AB82" s="9">
        <v>0.0</v>
      </c>
      <c r="AC82" s="9">
        <v>1.0</v>
      </c>
      <c r="AD82" s="9">
        <v>0.0</v>
      </c>
      <c r="AE82" s="9">
        <v>0.0</v>
      </c>
      <c r="AF82" s="9">
        <v>0.0</v>
      </c>
      <c r="AG82" s="9">
        <v>0.0</v>
      </c>
      <c r="AH82" s="9">
        <v>0.0</v>
      </c>
      <c r="AI82" s="9">
        <v>0.0</v>
      </c>
      <c r="AJ82" s="9">
        <v>0.0</v>
      </c>
      <c r="AK82" s="9">
        <v>0.0</v>
      </c>
      <c r="AL82" s="9">
        <v>0.0</v>
      </c>
      <c r="AM82" s="9">
        <v>0.0</v>
      </c>
      <c r="AN82" s="9">
        <v>0.0</v>
      </c>
      <c r="AO82" s="9">
        <v>0.0</v>
      </c>
      <c r="AP82" s="9" t="s">
        <v>84</v>
      </c>
      <c r="AQ82" s="9">
        <v>1.0</v>
      </c>
      <c r="AR82" s="9">
        <v>1.0</v>
      </c>
      <c r="AS82" s="9">
        <v>1.0</v>
      </c>
      <c r="AT82" s="9">
        <v>0.0</v>
      </c>
      <c r="AU82" s="9">
        <v>0.0</v>
      </c>
      <c r="AV82" s="9">
        <v>0.0</v>
      </c>
      <c r="AW82" s="9" t="s">
        <v>97</v>
      </c>
      <c r="AX82" s="13">
        <f>4.91/4.61</f>
        <v>1.065075922</v>
      </c>
      <c r="AY82" s="10">
        <v>0.0</v>
      </c>
      <c r="AZ82" s="10">
        <v>0.0</v>
      </c>
      <c r="BA82" s="10">
        <v>1.0</v>
      </c>
      <c r="BB82" s="13">
        <f>3.34/3.42</f>
        <v>0.9766081871</v>
      </c>
      <c r="BC82" s="10">
        <v>1.0</v>
      </c>
      <c r="BD82" s="10">
        <v>1.0</v>
      </c>
      <c r="BE82" s="10"/>
      <c r="BF82" s="9">
        <v>0.0</v>
      </c>
      <c r="BG82" s="9" t="s">
        <v>84</v>
      </c>
      <c r="BH82" s="9">
        <v>1.0</v>
      </c>
      <c r="BI82" s="9">
        <v>0.0</v>
      </c>
      <c r="BJ82" s="9">
        <v>0.0</v>
      </c>
      <c r="BK82" s="9">
        <v>0.0</v>
      </c>
      <c r="BL82" s="9">
        <v>0.0</v>
      </c>
      <c r="BM82" s="9">
        <v>0.0</v>
      </c>
      <c r="BN82" s="9">
        <v>0.0</v>
      </c>
      <c r="BO82" s="9">
        <v>1.0</v>
      </c>
      <c r="BP82" s="9">
        <v>0.0</v>
      </c>
      <c r="BQ82" s="9">
        <v>1.0</v>
      </c>
      <c r="BR82" s="9">
        <v>0.0</v>
      </c>
      <c r="BS82" s="9" t="s">
        <v>84</v>
      </c>
      <c r="BT82" s="9">
        <v>0.0</v>
      </c>
      <c r="BU82" s="9">
        <v>0.0</v>
      </c>
      <c r="BV82" s="9">
        <v>0.0</v>
      </c>
      <c r="BW82" s="10">
        <v>0.0</v>
      </c>
      <c r="BX82" s="14">
        <v>0.0</v>
      </c>
      <c r="BY82" s="9">
        <v>0.0</v>
      </c>
      <c r="BZ82" s="9">
        <v>1.0</v>
      </c>
      <c r="CA82" s="9">
        <v>0.0</v>
      </c>
      <c r="CB82" s="9">
        <v>0.0</v>
      </c>
      <c r="CC82" s="15" t="s">
        <v>101</v>
      </c>
      <c r="CD82" s="15"/>
    </row>
    <row r="83" ht="15.75" customHeight="1">
      <c r="A83" s="9">
        <v>82.0</v>
      </c>
      <c r="B83" s="10">
        <v>58.0</v>
      </c>
      <c r="C83" s="9" t="s">
        <v>81</v>
      </c>
      <c r="D83" s="11" t="s">
        <v>82</v>
      </c>
      <c r="E83" s="9" t="s">
        <v>93</v>
      </c>
      <c r="F83" s="12">
        <v>180.34</v>
      </c>
      <c r="G83" s="12">
        <v>90.4</v>
      </c>
      <c r="H83" s="12">
        <f t="shared" si="3"/>
        <v>27.7961278</v>
      </c>
      <c r="I83" s="9">
        <v>0.0</v>
      </c>
      <c r="J83" s="9">
        <v>2.0</v>
      </c>
      <c r="K83" s="9">
        <v>2.0</v>
      </c>
      <c r="L83" s="9">
        <v>0.0</v>
      </c>
      <c r="M83" s="9">
        <v>106.0</v>
      </c>
      <c r="N83" s="9">
        <v>0.0</v>
      </c>
      <c r="O83" s="9">
        <v>135.0</v>
      </c>
      <c r="P83" s="9">
        <v>0.0</v>
      </c>
      <c r="Q83" s="9">
        <v>18.0</v>
      </c>
      <c r="R83" s="9">
        <v>0.0</v>
      </c>
      <c r="S83" s="12">
        <v>98.0</v>
      </c>
      <c r="T83" s="9">
        <v>0.0</v>
      </c>
      <c r="U83" s="9">
        <v>95.0</v>
      </c>
      <c r="V83" s="9">
        <v>0.0</v>
      </c>
      <c r="W83" s="9">
        <v>0.0</v>
      </c>
      <c r="X83" s="9">
        <v>0.0</v>
      </c>
      <c r="Y83" s="9">
        <v>1.0</v>
      </c>
      <c r="Z83" s="9">
        <v>0.0</v>
      </c>
      <c r="AA83" s="9">
        <v>0.0</v>
      </c>
      <c r="AB83" s="9">
        <v>0.0</v>
      </c>
      <c r="AC83" s="9">
        <v>0.0</v>
      </c>
      <c r="AD83" s="9">
        <v>0.0</v>
      </c>
      <c r="AE83" s="9">
        <v>1.0</v>
      </c>
      <c r="AF83" s="9">
        <v>0.0</v>
      </c>
      <c r="AG83" s="9">
        <v>1.0</v>
      </c>
      <c r="AH83" s="9">
        <v>0.0</v>
      </c>
      <c r="AI83" s="9">
        <v>0.0</v>
      </c>
      <c r="AJ83" s="9">
        <v>0.0</v>
      </c>
      <c r="AK83" s="9">
        <v>0.0</v>
      </c>
      <c r="AL83" s="9">
        <v>0.0</v>
      </c>
      <c r="AM83" s="9">
        <v>0.0</v>
      </c>
      <c r="AN83" s="9">
        <v>0.0</v>
      </c>
      <c r="AO83" s="9">
        <v>1.0</v>
      </c>
      <c r="AP83" s="9">
        <v>1.0</v>
      </c>
      <c r="AQ83" s="9" t="s">
        <v>84</v>
      </c>
      <c r="AR83" s="9">
        <v>1.0</v>
      </c>
      <c r="AS83" s="9" t="s">
        <v>84</v>
      </c>
      <c r="AT83" s="9" t="s">
        <v>84</v>
      </c>
      <c r="AU83" s="9" t="s">
        <v>84</v>
      </c>
      <c r="AV83" s="9" t="s">
        <v>84</v>
      </c>
      <c r="AW83" s="9" t="s">
        <v>84</v>
      </c>
      <c r="AX83" s="13">
        <f>5.17/4.24</f>
        <v>1.219339623</v>
      </c>
      <c r="AY83" s="10">
        <v>0.0</v>
      </c>
      <c r="AZ83" s="10">
        <v>0.0</v>
      </c>
      <c r="BA83" s="10">
        <v>1.0</v>
      </c>
      <c r="BB83" s="13">
        <f>3.2/2.97</f>
        <v>1.077441077</v>
      </c>
      <c r="BC83" s="10">
        <v>2.0</v>
      </c>
      <c r="BD83" s="10">
        <v>1.0</v>
      </c>
      <c r="BE83" s="10"/>
      <c r="BF83" s="9">
        <v>0.0</v>
      </c>
      <c r="BG83" s="9" t="s">
        <v>84</v>
      </c>
      <c r="BH83" s="9">
        <v>0.0</v>
      </c>
      <c r="BI83" s="9">
        <v>0.0</v>
      </c>
      <c r="BJ83" s="9">
        <v>0.0</v>
      </c>
      <c r="BK83" s="9">
        <v>0.0</v>
      </c>
      <c r="BL83" s="9">
        <v>0.0</v>
      </c>
      <c r="BM83" s="9">
        <v>0.0</v>
      </c>
      <c r="BN83" s="9">
        <v>0.0</v>
      </c>
      <c r="BO83" s="9">
        <v>0.0</v>
      </c>
      <c r="BP83" s="9" t="s">
        <v>84</v>
      </c>
      <c r="BQ83" s="9" t="s">
        <v>84</v>
      </c>
      <c r="BR83" s="9">
        <v>0.0</v>
      </c>
      <c r="BS83" s="9" t="s">
        <v>84</v>
      </c>
      <c r="BT83" s="9">
        <v>0.0</v>
      </c>
      <c r="BU83" s="9">
        <v>0.0</v>
      </c>
      <c r="BV83" s="9">
        <v>0.0</v>
      </c>
      <c r="BW83" s="10">
        <v>0.0</v>
      </c>
      <c r="BX83" s="14">
        <v>0.0</v>
      </c>
      <c r="BY83" s="9">
        <v>0.0</v>
      </c>
      <c r="BZ83" s="9">
        <v>1.0</v>
      </c>
      <c r="CA83" s="9">
        <v>0.0</v>
      </c>
      <c r="CB83" s="9">
        <v>0.0</v>
      </c>
      <c r="CC83" s="15" t="s">
        <v>113</v>
      </c>
      <c r="CD83" s="17"/>
    </row>
    <row r="84" ht="15.75" customHeight="1">
      <c r="A84" s="9">
        <v>83.0</v>
      </c>
      <c r="B84" s="21">
        <v>58.0</v>
      </c>
      <c r="C84" s="9" t="s">
        <v>81</v>
      </c>
      <c r="D84" s="11" t="s">
        <v>127</v>
      </c>
      <c r="E84" s="9" t="s">
        <v>90</v>
      </c>
      <c r="F84" s="12">
        <v>177.8</v>
      </c>
      <c r="G84" s="12">
        <v>90.7</v>
      </c>
      <c r="H84" s="12">
        <f t="shared" si="3"/>
        <v>28.69087371</v>
      </c>
      <c r="I84" s="9">
        <v>1.0</v>
      </c>
      <c r="J84" s="9">
        <v>4.0</v>
      </c>
      <c r="K84" s="9">
        <v>1.0</v>
      </c>
      <c r="L84" s="9">
        <v>1.0</v>
      </c>
      <c r="M84" s="9">
        <v>132.0</v>
      </c>
      <c r="N84" s="9">
        <v>0.0</v>
      </c>
      <c r="O84" s="9">
        <v>148.0</v>
      </c>
      <c r="P84" s="9">
        <v>0.0</v>
      </c>
      <c r="Q84" s="9">
        <v>17.0</v>
      </c>
      <c r="R84" s="9">
        <v>0.0</v>
      </c>
      <c r="S84" s="12">
        <v>98.7</v>
      </c>
      <c r="T84" s="9">
        <v>1.0</v>
      </c>
      <c r="U84" s="9">
        <v>82.0</v>
      </c>
      <c r="V84" s="9">
        <v>1.0</v>
      </c>
      <c r="W84" s="9">
        <v>0.0</v>
      </c>
      <c r="X84" s="9">
        <v>0.0</v>
      </c>
      <c r="Y84" s="9">
        <v>0.0</v>
      </c>
      <c r="Z84" s="9">
        <v>0.0</v>
      </c>
      <c r="AA84" s="9">
        <v>0.0</v>
      </c>
      <c r="AB84" s="9">
        <v>0.0</v>
      </c>
      <c r="AC84" s="9">
        <v>0.0</v>
      </c>
      <c r="AD84" s="9">
        <v>0.0</v>
      </c>
      <c r="AE84" s="9">
        <v>1.0</v>
      </c>
      <c r="AF84" s="9">
        <v>0.0</v>
      </c>
      <c r="AG84" s="9">
        <v>1.0</v>
      </c>
      <c r="AH84" s="9">
        <v>1.0</v>
      </c>
      <c r="AI84" s="9">
        <v>1.0</v>
      </c>
      <c r="AJ84" s="9">
        <v>1.0</v>
      </c>
      <c r="AK84" s="9">
        <v>0.0</v>
      </c>
      <c r="AL84" s="9">
        <v>0.0</v>
      </c>
      <c r="AM84" s="9">
        <v>0.0</v>
      </c>
      <c r="AN84" s="9">
        <v>0.0</v>
      </c>
      <c r="AO84" s="9" t="s">
        <v>84</v>
      </c>
      <c r="AP84" s="9" t="s">
        <v>84</v>
      </c>
      <c r="AQ84" s="9" t="s">
        <v>84</v>
      </c>
      <c r="AR84" s="9">
        <v>0.0</v>
      </c>
      <c r="AS84" s="9" t="s">
        <v>84</v>
      </c>
      <c r="AT84" s="9" t="s">
        <v>84</v>
      </c>
      <c r="AU84" s="9" t="s">
        <v>84</v>
      </c>
      <c r="AV84" s="9" t="s">
        <v>84</v>
      </c>
      <c r="AW84" s="9" t="s">
        <v>84</v>
      </c>
      <c r="AX84" s="13">
        <f>5/4.52</f>
        <v>1.10619469</v>
      </c>
      <c r="AY84" s="10">
        <v>0.0</v>
      </c>
      <c r="AZ84" s="10">
        <v>0.0</v>
      </c>
      <c r="BA84" s="10">
        <v>1.0</v>
      </c>
      <c r="BB84" s="13">
        <f>3.43/3.06</f>
        <v>1.120915033</v>
      </c>
      <c r="BC84" s="10">
        <v>2.0</v>
      </c>
      <c r="BD84" s="10">
        <v>1.0</v>
      </c>
      <c r="BE84" s="10"/>
      <c r="BF84" s="9">
        <v>0.0</v>
      </c>
      <c r="BG84" s="9" t="s">
        <v>84</v>
      </c>
      <c r="BH84" s="9">
        <v>0.0</v>
      </c>
      <c r="BI84" s="9">
        <v>0.0</v>
      </c>
      <c r="BJ84" s="9">
        <v>0.0</v>
      </c>
      <c r="BK84" s="9">
        <v>0.0</v>
      </c>
      <c r="BL84" s="9">
        <v>0.0</v>
      </c>
      <c r="BM84" s="9">
        <v>0.0</v>
      </c>
      <c r="BN84" s="9">
        <v>0.0</v>
      </c>
      <c r="BO84" s="9">
        <v>0.0</v>
      </c>
      <c r="BP84" s="9" t="s">
        <v>84</v>
      </c>
      <c r="BQ84" s="9" t="s">
        <v>84</v>
      </c>
      <c r="BR84" s="9">
        <v>0.0</v>
      </c>
      <c r="BS84" s="9" t="s">
        <v>84</v>
      </c>
      <c r="BT84" s="9">
        <v>0.0</v>
      </c>
      <c r="BU84" s="9">
        <v>0.0</v>
      </c>
      <c r="BV84" s="9">
        <v>0.0</v>
      </c>
      <c r="BW84" s="10" t="s">
        <v>94</v>
      </c>
      <c r="BX84" s="14" t="s">
        <v>94</v>
      </c>
      <c r="BY84" s="9">
        <v>0.0</v>
      </c>
      <c r="BZ84" s="9">
        <v>1.0</v>
      </c>
      <c r="CA84" s="9">
        <v>0.0</v>
      </c>
      <c r="CB84" s="9">
        <v>0.0</v>
      </c>
      <c r="CC84" s="15" t="s">
        <v>113</v>
      </c>
      <c r="CD84" s="17"/>
    </row>
    <row r="85" ht="15.75" customHeight="1">
      <c r="A85" s="9">
        <v>84.0</v>
      </c>
      <c r="B85" s="10">
        <v>63.0</v>
      </c>
      <c r="C85" s="9" t="s">
        <v>86</v>
      </c>
      <c r="D85" s="11" t="s">
        <v>127</v>
      </c>
      <c r="E85" s="9">
        <v>3.0</v>
      </c>
      <c r="F85" s="12">
        <v>165.1</v>
      </c>
      <c r="G85" s="12">
        <v>114.0</v>
      </c>
      <c r="H85" s="12">
        <f t="shared" si="3"/>
        <v>41.82256885</v>
      </c>
      <c r="I85" s="9">
        <v>1.0</v>
      </c>
      <c r="J85" s="9">
        <v>3.0</v>
      </c>
      <c r="K85" s="9">
        <v>2.0</v>
      </c>
      <c r="L85" s="9">
        <v>0.0</v>
      </c>
      <c r="M85" s="9">
        <v>95.0</v>
      </c>
      <c r="N85" s="9">
        <v>0.0</v>
      </c>
      <c r="O85" s="9">
        <v>119.0</v>
      </c>
      <c r="P85" s="9">
        <v>0.0</v>
      </c>
      <c r="Q85" s="9">
        <v>18.0</v>
      </c>
      <c r="R85" s="9">
        <v>0.0</v>
      </c>
      <c r="S85" s="12">
        <v>97.3</v>
      </c>
      <c r="T85" s="9">
        <v>1.0</v>
      </c>
      <c r="U85" s="9">
        <v>87.0</v>
      </c>
      <c r="V85" s="9">
        <v>1.0</v>
      </c>
      <c r="W85" s="9">
        <v>0.0</v>
      </c>
      <c r="X85" s="9">
        <v>1.0</v>
      </c>
      <c r="Y85" s="9">
        <v>0.0</v>
      </c>
      <c r="Z85" s="9">
        <v>0.0</v>
      </c>
      <c r="AA85" s="9">
        <v>0.0</v>
      </c>
      <c r="AB85" s="9">
        <v>0.0</v>
      </c>
      <c r="AC85" s="9">
        <v>1.0</v>
      </c>
      <c r="AD85" s="9">
        <v>0.0</v>
      </c>
      <c r="AE85" s="9">
        <v>0.0</v>
      </c>
      <c r="AF85" s="9">
        <v>0.0</v>
      </c>
      <c r="AG85" s="9">
        <v>0.0</v>
      </c>
      <c r="AH85" s="9">
        <v>0.0</v>
      </c>
      <c r="AI85" s="9">
        <v>0.0</v>
      </c>
      <c r="AJ85" s="9">
        <v>0.0</v>
      </c>
      <c r="AK85" s="9">
        <v>1.0</v>
      </c>
      <c r="AL85" s="9">
        <v>0.0</v>
      </c>
      <c r="AM85" s="9">
        <v>0.0</v>
      </c>
      <c r="AN85" s="9">
        <v>0.0</v>
      </c>
      <c r="AO85" s="9">
        <v>1.0</v>
      </c>
      <c r="AP85" s="9">
        <v>1.0</v>
      </c>
      <c r="AQ85" s="9">
        <v>1.0</v>
      </c>
      <c r="AR85" s="9">
        <v>0.0</v>
      </c>
      <c r="AS85" s="9">
        <v>0.0</v>
      </c>
      <c r="AT85" s="9">
        <v>0.0</v>
      </c>
      <c r="AU85" s="9">
        <v>0.0</v>
      </c>
      <c r="AV85" s="9">
        <v>0.0</v>
      </c>
      <c r="AW85" s="9" t="s">
        <v>97</v>
      </c>
      <c r="AX85" s="13">
        <f>4.05/4.29</f>
        <v>0.9440559441</v>
      </c>
      <c r="AY85" s="10">
        <v>0.0</v>
      </c>
      <c r="AZ85" s="10">
        <v>1.0</v>
      </c>
      <c r="BA85" s="10">
        <v>0.0</v>
      </c>
      <c r="BB85" s="13">
        <f>3.48/3.29</f>
        <v>1.05775076</v>
      </c>
      <c r="BC85" s="10">
        <v>2.0</v>
      </c>
      <c r="BD85" s="10">
        <v>0.0</v>
      </c>
      <c r="BE85" s="10"/>
      <c r="BF85" s="9">
        <v>0.0</v>
      </c>
      <c r="BG85" s="9" t="s">
        <v>84</v>
      </c>
      <c r="BH85" s="9">
        <v>0.0</v>
      </c>
      <c r="BI85" s="9">
        <v>0.0</v>
      </c>
      <c r="BJ85" s="9">
        <v>0.0</v>
      </c>
      <c r="BK85" s="9">
        <v>0.0</v>
      </c>
      <c r="BL85" s="9">
        <v>0.0</v>
      </c>
      <c r="BM85" s="9">
        <v>0.0</v>
      </c>
      <c r="BN85" s="9">
        <v>0.0</v>
      </c>
      <c r="BO85" s="9">
        <v>0.0</v>
      </c>
      <c r="BP85" s="9" t="s">
        <v>84</v>
      </c>
      <c r="BQ85" s="9" t="s">
        <v>84</v>
      </c>
      <c r="BR85" s="9">
        <v>0.0</v>
      </c>
      <c r="BS85" s="9" t="s">
        <v>84</v>
      </c>
      <c r="BT85" s="9">
        <v>0.0</v>
      </c>
      <c r="BU85" s="9">
        <v>0.0</v>
      </c>
      <c r="BV85" s="9">
        <v>0.0</v>
      </c>
      <c r="BW85" s="10" t="s">
        <v>94</v>
      </c>
      <c r="BX85" s="14" t="s">
        <v>94</v>
      </c>
      <c r="BY85" s="9">
        <v>0.0</v>
      </c>
      <c r="BZ85" s="9">
        <v>1.0</v>
      </c>
      <c r="CA85" s="9">
        <v>0.0</v>
      </c>
      <c r="CB85" s="9">
        <v>0.0</v>
      </c>
      <c r="CC85" s="15" t="s">
        <v>85</v>
      </c>
      <c r="CD85" s="17"/>
    </row>
    <row r="86" ht="15.75" customHeight="1">
      <c r="A86" s="9">
        <v>85.0</v>
      </c>
      <c r="B86" s="10">
        <v>82.0</v>
      </c>
      <c r="C86" s="9" t="s">
        <v>81</v>
      </c>
      <c r="D86" s="11" t="s">
        <v>82</v>
      </c>
      <c r="E86" s="9" t="s">
        <v>119</v>
      </c>
      <c r="F86" s="12">
        <v>180.34</v>
      </c>
      <c r="G86" s="12">
        <v>60.3</v>
      </c>
      <c r="H86" s="12">
        <f t="shared" si="3"/>
        <v>18.54100118</v>
      </c>
      <c r="I86" s="9">
        <v>1.0</v>
      </c>
      <c r="J86" s="9">
        <v>4.0</v>
      </c>
      <c r="K86" s="9">
        <v>2.0</v>
      </c>
      <c r="L86" s="9">
        <v>0.0</v>
      </c>
      <c r="M86" s="9">
        <v>79.0</v>
      </c>
      <c r="N86" s="9">
        <v>0.0</v>
      </c>
      <c r="O86" s="9">
        <v>159.0</v>
      </c>
      <c r="P86" s="9">
        <v>0.0</v>
      </c>
      <c r="Q86" s="9">
        <v>18.0</v>
      </c>
      <c r="R86" s="9">
        <v>0.0</v>
      </c>
      <c r="S86" s="12">
        <v>97.2</v>
      </c>
      <c r="T86" s="9">
        <v>0.0</v>
      </c>
      <c r="U86" s="9">
        <v>99.0</v>
      </c>
      <c r="V86" s="9">
        <v>1.0</v>
      </c>
      <c r="W86" s="9">
        <v>0.0</v>
      </c>
      <c r="X86" s="9">
        <v>0.0</v>
      </c>
      <c r="Y86" s="9">
        <v>0.0</v>
      </c>
      <c r="Z86" s="9">
        <v>1.0</v>
      </c>
      <c r="AA86" s="9">
        <v>0.0</v>
      </c>
      <c r="AB86" s="9">
        <v>0.0</v>
      </c>
      <c r="AC86" s="9">
        <v>0.0</v>
      </c>
      <c r="AD86" s="9">
        <v>0.0</v>
      </c>
      <c r="AE86" s="9">
        <v>0.0</v>
      </c>
      <c r="AF86" s="9">
        <v>0.0</v>
      </c>
      <c r="AG86" s="9">
        <v>0.0</v>
      </c>
      <c r="AH86" s="9">
        <v>0.0</v>
      </c>
      <c r="AI86" s="9">
        <v>0.0</v>
      </c>
      <c r="AJ86" s="9">
        <v>0.0</v>
      </c>
      <c r="AK86" s="9">
        <v>0.0</v>
      </c>
      <c r="AL86" s="9">
        <v>0.0</v>
      </c>
      <c r="AM86" s="9">
        <v>0.0</v>
      </c>
      <c r="AN86" s="9">
        <v>0.0</v>
      </c>
      <c r="AO86" s="9">
        <v>1.0</v>
      </c>
      <c r="AP86" s="9">
        <v>1.0</v>
      </c>
      <c r="AQ86" s="9">
        <v>1.0</v>
      </c>
      <c r="AR86" s="9">
        <v>0.0</v>
      </c>
      <c r="AS86" s="9">
        <v>0.0</v>
      </c>
      <c r="AT86" s="9">
        <v>0.0</v>
      </c>
      <c r="AU86" s="9">
        <v>0.0</v>
      </c>
      <c r="AV86" s="9">
        <v>0.0</v>
      </c>
      <c r="AW86" s="9">
        <v>36.6</v>
      </c>
      <c r="AX86" s="13">
        <f>3.7/2.7</f>
        <v>1.37037037</v>
      </c>
      <c r="AY86" s="10">
        <v>0.0</v>
      </c>
      <c r="AZ86" s="10">
        <v>0.0</v>
      </c>
      <c r="BA86" s="10">
        <v>1.0</v>
      </c>
      <c r="BB86" s="13">
        <f>2.6/3.98</f>
        <v>0.6532663317</v>
      </c>
      <c r="BC86" s="10">
        <v>1.0</v>
      </c>
      <c r="BD86" s="10">
        <v>1.0</v>
      </c>
      <c r="BE86" s="10"/>
      <c r="BF86" s="9">
        <v>0.0</v>
      </c>
      <c r="BG86" s="9" t="s">
        <v>84</v>
      </c>
      <c r="BH86" s="9">
        <v>0.0</v>
      </c>
      <c r="BI86" s="9">
        <v>0.0</v>
      </c>
      <c r="BJ86" s="9">
        <v>0.0</v>
      </c>
      <c r="BK86" s="9">
        <v>0.0</v>
      </c>
      <c r="BL86" s="9">
        <v>0.0</v>
      </c>
      <c r="BM86" s="9">
        <v>0.0</v>
      </c>
      <c r="BN86" s="9">
        <v>0.0</v>
      </c>
      <c r="BO86" s="9">
        <v>0.0</v>
      </c>
      <c r="BP86" s="9" t="s">
        <v>84</v>
      </c>
      <c r="BQ86" s="9" t="s">
        <v>84</v>
      </c>
      <c r="BR86" s="9">
        <v>0.0</v>
      </c>
      <c r="BS86" s="9" t="s">
        <v>84</v>
      </c>
      <c r="BT86" s="9">
        <v>0.0</v>
      </c>
      <c r="BU86" s="9">
        <v>0.0</v>
      </c>
      <c r="BV86" s="9">
        <v>0.0</v>
      </c>
      <c r="BW86" s="10" t="s">
        <v>94</v>
      </c>
      <c r="BX86" s="14" t="s">
        <v>94</v>
      </c>
      <c r="BY86" s="9">
        <v>0.0</v>
      </c>
      <c r="BZ86" s="9">
        <v>1.0</v>
      </c>
      <c r="CA86" s="9">
        <v>0.0</v>
      </c>
      <c r="CB86" s="9">
        <v>0.0</v>
      </c>
      <c r="CC86" s="15" t="s">
        <v>104</v>
      </c>
      <c r="CD86" s="17"/>
    </row>
    <row r="87" ht="15.75" customHeight="1">
      <c r="A87" s="9">
        <v>86.0</v>
      </c>
      <c r="B87" s="10">
        <v>66.0</v>
      </c>
      <c r="C87" s="9" t="s">
        <v>81</v>
      </c>
      <c r="D87" s="11" t="s">
        <v>82</v>
      </c>
      <c r="E87" s="9" t="s">
        <v>128</v>
      </c>
      <c r="F87" s="12">
        <v>177.8</v>
      </c>
      <c r="G87" s="12">
        <v>106.6</v>
      </c>
      <c r="H87" s="12">
        <f t="shared" si="3"/>
        <v>33.7204756</v>
      </c>
      <c r="I87" s="9">
        <v>1.0</v>
      </c>
      <c r="J87" s="9">
        <v>5.0</v>
      </c>
      <c r="K87" s="19">
        <v>3.0</v>
      </c>
      <c r="L87" s="9">
        <v>1.0</v>
      </c>
      <c r="M87" s="9">
        <v>120.0</v>
      </c>
      <c r="N87" s="9">
        <v>1.0</v>
      </c>
      <c r="O87" s="9">
        <v>80.0</v>
      </c>
      <c r="P87" s="9">
        <v>0.0</v>
      </c>
      <c r="Q87" s="9">
        <v>20.0</v>
      </c>
      <c r="R87" s="9">
        <v>0.0</v>
      </c>
      <c r="S87" s="12">
        <v>98.1</v>
      </c>
      <c r="T87" s="9">
        <v>1.0</v>
      </c>
      <c r="U87" s="9">
        <v>86.0</v>
      </c>
      <c r="V87" s="9">
        <v>1.0</v>
      </c>
      <c r="W87" s="9">
        <v>0.0</v>
      </c>
      <c r="X87" s="9">
        <v>1.0</v>
      </c>
      <c r="Y87" s="9">
        <v>0.0</v>
      </c>
      <c r="Z87" s="9">
        <v>1.0</v>
      </c>
      <c r="AA87" s="9">
        <v>0.0</v>
      </c>
      <c r="AB87" s="9">
        <v>0.0</v>
      </c>
      <c r="AC87" s="9">
        <v>0.0</v>
      </c>
      <c r="AD87" s="9">
        <v>0.0</v>
      </c>
      <c r="AE87" s="9">
        <v>1.0</v>
      </c>
      <c r="AF87" s="9">
        <v>1.0</v>
      </c>
      <c r="AG87" s="9">
        <v>0.0</v>
      </c>
      <c r="AH87" s="9">
        <v>0.0</v>
      </c>
      <c r="AI87" s="9">
        <v>0.0</v>
      </c>
      <c r="AJ87" s="9">
        <v>0.0</v>
      </c>
      <c r="AK87" s="9">
        <v>0.0</v>
      </c>
      <c r="AL87" s="9">
        <v>0.0</v>
      </c>
      <c r="AM87" s="9">
        <v>0.0</v>
      </c>
      <c r="AN87" s="9">
        <v>0.0</v>
      </c>
      <c r="AO87" s="9">
        <v>1.0</v>
      </c>
      <c r="AP87" s="9">
        <v>1.0</v>
      </c>
      <c r="AQ87" s="9">
        <v>1.0</v>
      </c>
      <c r="AR87" s="9">
        <v>1.0</v>
      </c>
      <c r="AS87" s="9">
        <v>0.0</v>
      </c>
      <c r="AT87" s="9">
        <v>0.0</v>
      </c>
      <c r="AU87" s="9">
        <v>0.0</v>
      </c>
      <c r="AV87" s="9">
        <v>0.0</v>
      </c>
      <c r="AW87" s="9">
        <v>26.6</v>
      </c>
      <c r="AX87" s="13">
        <f>6.19/3.66</f>
        <v>1.691256831</v>
      </c>
      <c r="AY87" s="10">
        <v>0.0</v>
      </c>
      <c r="AZ87" s="10">
        <v>0.0</v>
      </c>
      <c r="BA87" s="10">
        <v>1.0</v>
      </c>
      <c r="BB87" s="13">
        <f>3.06/3.33</f>
        <v>0.9189189189</v>
      </c>
      <c r="BC87" s="10">
        <v>1.0</v>
      </c>
      <c r="BD87" s="10">
        <v>1.0</v>
      </c>
      <c r="BE87" s="10"/>
      <c r="BF87" s="9">
        <v>0.0</v>
      </c>
      <c r="BG87" s="9" t="s">
        <v>84</v>
      </c>
      <c r="BH87" s="9">
        <v>1.0</v>
      </c>
      <c r="BI87" s="9">
        <v>1.0</v>
      </c>
      <c r="BJ87" s="9">
        <v>1.0</v>
      </c>
      <c r="BK87" s="9">
        <v>1.0</v>
      </c>
      <c r="BL87" s="9">
        <v>0.0</v>
      </c>
      <c r="BM87" s="9">
        <v>1.0</v>
      </c>
      <c r="BN87" s="9">
        <v>1.0</v>
      </c>
      <c r="BO87" s="9">
        <v>0.0</v>
      </c>
      <c r="BP87" s="9">
        <v>1.0</v>
      </c>
      <c r="BQ87" s="9">
        <v>1.0</v>
      </c>
      <c r="BR87" s="9">
        <v>0.0</v>
      </c>
      <c r="BS87" s="9" t="s">
        <v>84</v>
      </c>
      <c r="BT87" s="9">
        <v>0.0</v>
      </c>
      <c r="BU87" s="9">
        <v>0.0</v>
      </c>
      <c r="BV87" s="9">
        <v>0.0</v>
      </c>
      <c r="BW87" s="10">
        <v>0.0</v>
      </c>
      <c r="BX87" s="14">
        <v>0.0</v>
      </c>
      <c r="BY87" s="9">
        <v>1.0</v>
      </c>
      <c r="BZ87" s="9">
        <v>1.0</v>
      </c>
      <c r="CA87" s="9">
        <v>0.0</v>
      </c>
      <c r="CB87" s="9">
        <v>0.0</v>
      </c>
      <c r="CC87" s="15" t="s">
        <v>104</v>
      </c>
      <c r="CD87" s="15"/>
    </row>
    <row r="88" ht="15.75" customHeight="1">
      <c r="A88" s="9">
        <v>87.0</v>
      </c>
      <c r="B88" s="10">
        <v>75.0</v>
      </c>
      <c r="C88" s="9" t="s">
        <v>81</v>
      </c>
      <c r="D88" s="11" t="s">
        <v>82</v>
      </c>
      <c r="E88" s="9" t="s">
        <v>99</v>
      </c>
      <c r="F88" s="12">
        <v>180.34</v>
      </c>
      <c r="G88" s="12">
        <v>83.0</v>
      </c>
      <c r="H88" s="12">
        <f t="shared" si="3"/>
        <v>25.52078106</v>
      </c>
      <c r="I88" s="9">
        <v>1.0</v>
      </c>
      <c r="J88" s="9">
        <v>4.0</v>
      </c>
      <c r="K88" s="19">
        <v>2.0</v>
      </c>
      <c r="L88" s="9">
        <v>1.0</v>
      </c>
      <c r="M88" s="9">
        <v>130.0</v>
      </c>
      <c r="N88" s="9">
        <v>1.0</v>
      </c>
      <c r="O88" s="9">
        <v>118.0</v>
      </c>
      <c r="P88" s="9">
        <v>0.0</v>
      </c>
      <c r="Q88" s="9">
        <v>18.0</v>
      </c>
      <c r="R88" s="9">
        <v>0.0</v>
      </c>
      <c r="S88" s="12">
        <v>98.6</v>
      </c>
      <c r="T88" s="9">
        <v>1.0</v>
      </c>
      <c r="U88" s="9">
        <v>80.0</v>
      </c>
      <c r="V88" s="9">
        <v>1.0</v>
      </c>
      <c r="W88" s="9">
        <v>1.0</v>
      </c>
      <c r="X88" s="9">
        <v>1.0</v>
      </c>
      <c r="Y88" s="9">
        <v>0.0</v>
      </c>
      <c r="Z88" s="9">
        <v>0.0</v>
      </c>
      <c r="AA88" s="9">
        <v>0.0</v>
      </c>
      <c r="AB88" s="9">
        <v>0.0</v>
      </c>
      <c r="AC88" s="9">
        <v>0.0</v>
      </c>
      <c r="AD88" s="9">
        <v>0.0</v>
      </c>
      <c r="AE88" s="9">
        <v>0.0</v>
      </c>
      <c r="AF88" s="9">
        <v>0.0</v>
      </c>
      <c r="AG88" s="9">
        <v>1.0</v>
      </c>
      <c r="AH88" s="9">
        <v>0.0</v>
      </c>
      <c r="AI88" s="9">
        <v>1.0</v>
      </c>
      <c r="AJ88" s="9">
        <v>1.0</v>
      </c>
      <c r="AK88" s="9">
        <v>0.0</v>
      </c>
      <c r="AL88" s="9">
        <v>0.0</v>
      </c>
      <c r="AM88" s="9">
        <v>0.0</v>
      </c>
      <c r="AN88" s="9">
        <v>0.0</v>
      </c>
      <c r="AO88" s="9">
        <v>3.0</v>
      </c>
      <c r="AP88" s="9" t="s">
        <v>84</v>
      </c>
      <c r="AQ88" s="9">
        <v>0.0</v>
      </c>
      <c r="AR88" s="9">
        <v>1.0</v>
      </c>
      <c r="AS88" s="9">
        <v>1.0</v>
      </c>
      <c r="AT88" s="9">
        <v>1.0</v>
      </c>
      <c r="AU88" s="9">
        <v>1.0</v>
      </c>
      <c r="AV88" s="9">
        <v>0.0</v>
      </c>
      <c r="AW88" s="9">
        <v>43.0</v>
      </c>
      <c r="AX88" s="13">
        <f>5.5/3.41</f>
        <v>1.612903226</v>
      </c>
      <c r="AY88" s="10">
        <v>0.0</v>
      </c>
      <c r="AZ88" s="10">
        <v>0.0</v>
      </c>
      <c r="BA88" s="10">
        <v>1.0</v>
      </c>
      <c r="BB88" s="13">
        <f>2.9/3.28</f>
        <v>0.8841463415</v>
      </c>
      <c r="BC88" s="10">
        <v>3.0</v>
      </c>
      <c r="BD88" s="10">
        <v>1.0</v>
      </c>
      <c r="BE88" s="10"/>
      <c r="BF88" s="9">
        <v>0.0</v>
      </c>
      <c r="BG88" s="9" t="s">
        <v>84</v>
      </c>
      <c r="BH88" s="9">
        <v>1.0</v>
      </c>
      <c r="BI88" s="9">
        <v>1.0</v>
      </c>
      <c r="BJ88" s="9">
        <v>0.0</v>
      </c>
      <c r="BK88" s="9">
        <v>0.0</v>
      </c>
      <c r="BL88" s="9">
        <v>0.0</v>
      </c>
      <c r="BM88" s="9">
        <v>0.0</v>
      </c>
      <c r="BN88" s="9">
        <v>1.0</v>
      </c>
      <c r="BO88" s="9">
        <v>0.0</v>
      </c>
      <c r="BP88" s="9">
        <v>1.0</v>
      </c>
      <c r="BQ88" s="9">
        <v>1.0</v>
      </c>
      <c r="BR88" s="9">
        <v>0.0</v>
      </c>
      <c r="BS88" s="9" t="s">
        <v>84</v>
      </c>
      <c r="BT88" s="9">
        <v>0.0</v>
      </c>
      <c r="BU88" s="9">
        <v>0.0</v>
      </c>
      <c r="BV88" s="9">
        <v>0.0</v>
      </c>
      <c r="BW88" s="10">
        <v>0.0</v>
      </c>
      <c r="BX88" s="14">
        <v>0.0</v>
      </c>
      <c r="BY88" s="9">
        <v>0.0</v>
      </c>
      <c r="BZ88" s="9">
        <v>0.0</v>
      </c>
      <c r="CA88" s="9">
        <v>0.0</v>
      </c>
      <c r="CB88" s="9">
        <v>0.0</v>
      </c>
      <c r="CC88" s="15" t="s">
        <v>87</v>
      </c>
      <c r="CD88" s="17"/>
    </row>
    <row r="89" ht="15.75" customHeight="1">
      <c r="A89" s="9">
        <v>88.0</v>
      </c>
      <c r="B89" s="10">
        <v>81.0</v>
      </c>
      <c r="C89" s="9" t="s">
        <v>86</v>
      </c>
      <c r="D89" s="11" t="s">
        <v>88</v>
      </c>
      <c r="E89" s="9">
        <v>8.0</v>
      </c>
      <c r="F89" s="12">
        <v>162.56</v>
      </c>
      <c r="G89" s="12">
        <v>73.5</v>
      </c>
      <c r="H89" s="12">
        <f t="shared" si="3"/>
        <v>27.81377633</v>
      </c>
      <c r="I89" s="9">
        <v>1.0</v>
      </c>
      <c r="J89" s="9">
        <v>4.0</v>
      </c>
      <c r="K89" s="9">
        <v>2.0</v>
      </c>
      <c r="L89" s="9">
        <v>1.0</v>
      </c>
      <c r="M89" s="9">
        <v>113.0</v>
      </c>
      <c r="N89" s="9">
        <v>0.0</v>
      </c>
      <c r="O89" s="9">
        <v>123.0</v>
      </c>
      <c r="P89" s="9">
        <v>0.0</v>
      </c>
      <c r="Q89" s="9">
        <v>20.0</v>
      </c>
      <c r="R89" s="9">
        <v>0.0</v>
      </c>
      <c r="S89" s="12">
        <v>97.4</v>
      </c>
      <c r="T89" s="9">
        <v>1.0</v>
      </c>
      <c r="U89" s="9" t="s">
        <v>84</v>
      </c>
      <c r="V89" s="9">
        <v>1.0</v>
      </c>
      <c r="W89" s="9">
        <v>0.0</v>
      </c>
      <c r="X89" s="9">
        <v>0.0</v>
      </c>
      <c r="Y89" s="9">
        <v>0.0</v>
      </c>
      <c r="Z89" s="9">
        <v>0.0</v>
      </c>
      <c r="AA89" s="9">
        <v>0.0</v>
      </c>
      <c r="AB89" s="9">
        <v>0.0</v>
      </c>
      <c r="AC89" s="9">
        <v>1.0</v>
      </c>
      <c r="AD89" s="9">
        <v>0.0</v>
      </c>
      <c r="AE89" s="9">
        <v>1.0</v>
      </c>
      <c r="AF89" s="9">
        <v>0.0</v>
      </c>
      <c r="AG89" s="9">
        <v>1.0</v>
      </c>
      <c r="AH89" s="9">
        <v>0.0</v>
      </c>
      <c r="AI89" s="9">
        <v>0.0</v>
      </c>
      <c r="AJ89" s="9">
        <v>0.0</v>
      </c>
      <c r="AK89" s="9">
        <v>0.0</v>
      </c>
      <c r="AL89" s="9">
        <v>0.0</v>
      </c>
      <c r="AM89" s="9">
        <v>0.0</v>
      </c>
      <c r="AN89" s="9">
        <v>0.0</v>
      </c>
      <c r="AO89" s="9">
        <v>0.0</v>
      </c>
      <c r="AP89" s="9" t="s">
        <v>84</v>
      </c>
      <c r="AQ89" s="9">
        <v>1.0</v>
      </c>
      <c r="AR89" s="9">
        <v>1.0</v>
      </c>
      <c r="AS89" s="9">
        <v>0.0</v>
      </c>
      <c r="AT89" s="9">
        <v>1.0</v>
      </c>
      <c r="AU89" s="9">
        <v>0.0</v>
      </c>
      <c r="AV89" s="9">
        <v>0.0</v>
      </c>
      <c r="AW89" s="9">
        <v>35.0</v>
      </c>
      <c r="AX89" s="13">
        <f>4.96/3.57</f>
        <v>1.389355742</v>
      </c>
      <c r="AY89" s="10">
        <v>0.0</v>
      </c>
      <c r="AZ89" s="10">
        <v>0.0</v>
      </c>
      <c r="BA89" s="10">
        <v>1.0</v>
      </c>
      <c r="BB89" s="13">
        <f>3.08/2.46</f>
        <v>1.25203252</v>
      </c>
      <c r="BC89" s="10">
        <v>5.0</v>
      </c>
      <c r="BD89" s="10">
        <v>1.0</v>
      </c>
      <c r="BE89" s="10"/>
      <c r="BF89" s="9">
        <v>0.0</v>
      </c>
      <c r="BG89" s="9" t="s">
        <v>84</v>
      </c>
      <c r="BH89" s="9">
        <v>1.0</v>
      </c>
      <c r="BI89" s="9">
        <v>0.0</v>
      </c>
      <c r="BJ89" s="9">
        <v>0.0</v>
      </c>
      <c r="BK89" s="9">
        <v>0.0</v>
      </c>
      <c r="BL89" s="9">
        <v>0.0</v>
      </c>
      <c r="BM89" s="9">
        <v>0.0</v>
      </c>
      <c r="BN89" s="9">
        <v>0.0</v>
      </c>
      <c r="BO89" s="9">
        <v>1.0</v>
      </c>
      <c r="BP89" s="9">
        <v>0.0</v>
      </c>
      <c r="BQ89" s="9">
        <v>1.0</v>
      </c>
      <c r="BR89" s="9">
        <v>1.0</v>
      </c>
      <c r="BS89" s="9" t="s">
        <v>118</v>
      </c>
      <c r="BT89" s="9">
        <v>0.0</v>
      </c>
      <c r="BU89" s="9">
        <v>0.0</v>
      </c>
      <c r="BV89" s="9">
        <v>0.0</v>
      </c>
      <c r="BW89" s="10">
        <v>0.0</v>
      </c>
      <c r="BX89" s="14">
        <v>0.0</v>
      </c>
      <c r="BY89" s="9">
        <v>0.0</v>
      </c>
      <c r="BZ89" s="9">
        <v>0.0</v>
      </c>
      <c r="CA89" s="9">
        <v>0.0</v>
      </c>
      <c r="CB89" s="9">
        <v>0.0</v>
      </c>
      <c r="CC89" s="15" t="s">
        <v>89</v>
      </c>
      <c r="CD89" s="17"/>
    </row>
    <row r="90" ht="15.75" customHeight="1">
      <c r="A90" s="9">
        <v>89.0</v>
      </c>
      <c r="B90" s="10">
        <v>52.0</v>
      </c>
      <c r="C90" s="9" t="s">
        <v>86</v>
      </c>
      <c r="D90" s="11" t="s">
        <v>88</v>
      </c>
      <c r="E90" s="9" t="s">
        <v>128</v>
      </c>
      <c r="F90" s="12">
        <v>157.48</v>
      </c>
      <c r="G90" s="12">
        <v>98.7</v>
      </c>
      <c r="H90" s="12">
        <f t="shared" si="3"/>
        <v>39.79846669</v>
      </c>
      <c r="I90" s="9">
        <v>1.0</v>
      </c>
      <c r="J90" s="9">
        <v>2.0</v>
      </c>
      <c r="K90" s="9">
        <v>3.0</v>
      </c>
      <c r="L90" s="9">
        <v>1.0</v>
      </c>
      <c r="M90" s="9">
        <v>120.0</v>
      </c>
      <c r="N90" s="9">
        <v>0.0</v>
      </c>
      <c r="O90" s="9">
        <v>144.0</v>
      </c>
      <c r="P90" s="9">
        <v>0.0</v>
      </c>
      <c r="Q90" s="9">
        <v>22.0</v>
      </c>
      <c r="R90" s="9">
        <v>0.0</v>
      </c>
      <c r="S90" s="12">
        <v>97.0</v>
      </c>
      <c r="T90" s="9">
        <v>0.0</v>
      </c>
      <c r="U90" s="9">
        <v>99.0</v>
      </c>
      <c r="V90" s="9">
        <v>1.0</v>
      </c>
      <c r="W90" s="9">
        <v>0.0</v>
      </c>
      <c r="X90" s="9">
        <v>1.0</v>
      </c>
      <c r="Y90" s="9">
        <v>0.0</v>
      </c>
      <c r="Z90" s="9">
        <v>0.0</v>
      </c>
      <c r="AA90" s="9">
        <v>0.0</v>
      </c>
      <c r="AB90" s="9">
        <v>0.0</v>
      </c>
      <c r="AC90" s="9">
        <v>0.0</v>
      </c>
      <c r="AD90" s="9">
        <v>0.0</v>
      </c>
      <c r="AE90" s="9">
        <v>0.0</v>
      </c>
      <c r="AF90" s="9">
        <v>0.0</v>
      </c>
      <c r="AG90" s="9">
        <v>1.0</v>
      </c>
      <c r="AH90" s="9">
        <v>0.0</v>
      </c>
      <c r="AI90" s="9">
        <v>0.0</v>
      </c>
      <c r="AJ90" s="9">
        <v>0.0</v>
      </c>
      <c r="AK90" s="9">
        <v>1.0</v>
      </c>
      <c r="AL90" s="9">
        <v>0.0</v>
      </c>
      <c r="AM90" s="9">
        <v>0.0</v>
      </c>
      <c r="AN90" s="9">
        <v>0.0</v>
      </c>
      <c r="AO90" s="9">
        <v>3.0</v>
      </c>
      <c r="AP90" s="9" t="s">
        <v>84</v>
      </c>
      <c r="AQ90" s="9" t="s">
        <v>84</v>
      </c>
      <c r="AR90" s="9">
        <v>0.0</v>
      </c>
      <c r="AS90" s="9">
        <v>1.0</v>
      </c>
      <c r="AT90" s="9">
        <v>1.0</v>
      </c>
      <c r="AU90" s="9">
        <v>1.0</v>
      </c>
      <c r="AV90" s="9">
        <v>0.0</v>
      </c>
      <c r="AW90" s="9">
        <v>66.0</v>
      </c>
      <c r="AX90" s="13">
        <f>4.96/4.45</f>
        <v>1.114606742</v>
      </c>
      <c r="AY90" s="10">
        <v>0.0</v>
      </c>
      <c r="AZ90" s="10">
        <v>0.0</v>
      </c>
      <c r="BA90" s="10">
        <v>1.0</v>
      </c>
      <c r="BB90" s="13">
        <f>3.11/2.97</f>
        <v>1.047138047</v>
      </c>
      <c r="BC90" s="10">
        <v>3.0</v>
      </c>
      <c r="BD90" s="10">
        <v>1.0</v>
      </c>
      <c r="BE90" s="10"/>
      <c r="BF90" s="9">
        <v>0.0</v>
      </c>
      <c r="BG90" s="9" t="s">
        <v>84</v>
      </c>
      <c r="BH90" s="9">
        <v>1.0</v>
      </c>
      <c r="BI90" s="9">
        <v>0.0</v>
      </c>
      <c r="BJ90" s="9">
        <v>0.0</v>
      </c>
      <c r="BK90" s="9">
        <v>1.0</v>
      </c>
      <c r="BL90" s="9">
        <v>0.0</v>
      </c>
      <c r="BM90" s="9">
        <v>0.0</v>
      </c>
      <c r="BN90" s="9">
        <v>0.0</v>
      </c>
      <c r="BO90" s="9">
        <v>0.0</v>
      </c>
      <c r="BP90" s="9" t="s">
        <v>84</v>
      </c>
      <c r="BQ90" s="9" t="s">
        <v>84</v>
      </c>
      <c r="BR90" s="9">
        <v>0.0</v>
      </c>
      <c r="BS90" s="9" t="s">
        <v>84</v>
      </c>
      <c r="BT90" s="9">
        <v>0.0</v>
      </c>
      <c r="BU90" s="9">
        <v>0.0</v>
      </c>
      <c r="BV90" s="9">
        <v>0.0</v>
      </c>
      <c r="BW90" s="10">
        <v>0.0</v>
      </c>
      <c r="BX90" s="14">
        <v>0.0</v>
      </c>
      <c r="BY90" s="9">
        <v>1.0</v>
      </c>
      <c r="BZ90" s="9">
        <v>1.0</v>
      </c>
      <c r="CA90" s="9">
        <v>0.0</v>
      </c>
      <c r="CB90" s="9">
        <v>0.0</v>
      </c>
      <c r="CC90" s="15" t="s">
        <v>113</v>
      </c>
      <c r="CD90" s="17"/>
    </row>
    <row r="91" ht="15.75" customHeight="1">
      <c r="A91" s="9">
        <v>90.0</v>
      </c>
      <c r="B91" s="10">
        <v>31.0</v>
      </c>
      <c r="C91" s="9" t="s">
        <v>86</v>
      </c>
      <c r="D91" s="11" t="s">
        <v>88</v>
      </c>
      <c r="E91" s="9" t="s">
        <v>119</v>
      </c>
      <c r="F91" s="12">
        <v>152.4</v>
      </c>
      <c r="G91" s="12">
        <v>76.2</v>
      </c>
      <c r="H91" s="12">
        <f t="shared" si="3"/>
        <v>32.80839895</v>
      </c>
      <c r="I91" s="9">
        <v>1.0</v>
      </c>
      <c r="J91" s="9">
        <v>3.0</v>
      </c>
      <c r="K91" s="9">
        <v>2.0</v>
      </c>
      <c r="L91" s="9">
        <v>1.0</v>
      </c>
      <c r="M91" s="9">
        <v>125.0</v>
      </c>
      <c r="N91" s="9">
        <v>1.0</v>
      </c>
      <c r="O91" s="9">
        <v>90.0</v>
      </c>
      <c r="P91" s="9">
        <v>0.0</v>
      </c>
      <c r="Q91" s="9">
        <v>16.0</v>
      </c>
      <c r="R91" s="9">
        <v>0.0</v>
      </c>
      <c r="S91" s="12">
        <v>98.1</v>
      </c>
      <c r="T91" s="9">
        <v>1.0</v>
      </c>
      <c r="U91" s="9">
        <v>87.0</v>
      </c>
      <c r="V91" s="9">
        <v>1.0</v>
      </c>
      <c r="W91" s="9">
        <v>0.0</v>
      </c>
      <c r="X91" s="9">
        <v>1.0</v>
      </c>
      <c r="Y91" s="9">
        <v>0.0</v>
      </c>
      <c r="Z91" s="9">
        <v>0.0</v>
      </c>
      <c r="AA91" s="9">
        <v>0.0</v>
      </c>
      <c r="AB91" s="9">
        <v>0.0</v>
      </c>
      <c r="AC91" s="9">
        <v>0.0</v>
      </c>
      <c r="AD91" s="9">
        <v>1.0</v>
      </c>
      <c r="AE91" s="9">
        <v>0.0</v>
      </c>
      <c r="AF91" s="9">
        <v>0.0</v>
      </c>
      <c r="AG91" s="9">
        <v>0.0</v>
      </c>
      <c r="AH91" s="9">
        <v>0.0</v>
      </c>
      <c r="AI91" s="9">
        <v>0.0</v>
      </c>
      <c r="AJ91" s="9">
        <v>0.0</v>
      </c>
      <c r="AK91" s="9">
        <v>0.0</v>
      </c>
      <c r="AL91" s="9">
        <v>0.0</v>
      </c>
      <c r="AM91" s="9">
        <v>0.0</v>
      </c>
      <c r="AN91" s="9">
        <v>0.0</v>
      </c>
      <c r="AO91" s="9">
        <v>1.0</v>
      </c>
      <c r="AP91" s="9">
        <v>1.0</v>
      </c>
      <c r="AQ91" s="9">
        <v>1.0</v>
      </c>
      <c r="AR91" s="9">
        <v>1.0</v>
      </c>
      <c r="AS91" s="9">
        <v>1.0</v>
      </c>
      <c r="AT91" s="9">
        <v>0.0</v>
      </c>
      <c r="AU91" s="9">
        <v>0.0</v>
      </c>
      <c r="AV91" s="9">
        <v>0.0</v>
      </c>
      <c r="AW91" s="9">
        <v>55.0</v>
      </c>
      <c r="AX91" s="13">
        <f>4.93/3.27</f>
        <v>1.50764526</v>
      </c>
      <c r="AY91" s="10">
        <v>0.0</v>
      </c>
      <c r="AZ91" s="10">
        <v>0.0</v>
      </c>
      <c r="BA91" s="10">
        <v>1.0</v>
      </c>
      <c r="BB91" s="13">
        <f>3.53/2.9</f>
        <v>1.217241379</v>
      </c>
      <c r="BC91" s="10">
        <v>5.0</v>
      </c>
      <c r="BD91" s="10">
        <v>1.0</v>
      </c>
      <c r="BE91" s="10"/>
      <c r="BF91" s="9">
        <v>0.0</v>
      </c>
      <c r="BG91" s="9" t="s">
        <v>84</v>
      </c>
      <c r="BH91" s="9">
        <v>1.0</v>
      </c>
      <c r="BI91" s="9">
        <v>0.0</v>
      </c>
      <c r="BJ91" s="9">
        <v>0.0</v>
      </c>
      <c r="BK91" s="9">
        <v>0.0</v>
      </c>
      <c r="BL91" s="9">
        <v>0.0</v>
      </c>
      <c r="BM91" s="9">
        <v>0.0</v>
      </c>
      <c r="BN91" s="9">
        <v>0.0</v>
      </c>
      <c r="BO91" s="9">
        <v>1.0</v>
      </c>
      <c r="BP91" s="9">
        <v>1.0</v>
      </c>
      <c r="BQ91" s="9">
        <v>1.0</v>
      </c>
      <c r="BR91" s="9">
        <v>0.0</v>
      </c>
      <c r="BS91" s="9" t="s">
        <v>84</v>
      </c>
      <c r="BT91" s="9">
        <v>0.0</v>
      </c>
      <c r="BU91" s="9">
        <v>0.0</v>
      </c>
      <c r="BV91" s="9">
        <v>0.0</v>
      </c>
      <c r="BW91" s="10">
        <v>0.0</v>
      </c>
      <c r="BX91" s="14">
        <v>0.0</v>
      </c>
      <c r="BY91" s="9">
        <v>0.0</v>
      </c>
      <c r="BZ91" s="9">
        <v>0.0</v>
      </c>
      <c r="CA91" s="9">
        <v>0.0</v>
      </c>
      <c r="CB91" s="9">
        <v>0.0</v>
      </c>
      <c r="CC91" s="15" t="s">
        <v>101</v>
      </c>
      <c r="CD91" s="17"/>
    </row>
    <row r="92" ht="15.75" customHeight="1">
      <c r="A92" s="9">
        <v>91.0</v>
      </c>
      <c r="B92" s="10">
        <v>86.0</v>
      </c>
      <c r="C92" s="9" t="s">
        <v>86</v>
      </c>
      <c r="D92" s="11" t="s">
        <v>82</v>
      </c>
      <c r="E92" s="9" t="s">
        <v>103</v>
      </c>
      <c r="F92" s="12">
        <v>162.56</v>
      </c>
      <c r="G92" s="12">
        <v>90.7</v>
      </c>
      <c r="H92" s="12">
        <f t="shared" si="3"/>
        <v>34.32257841</v>
      </c>
      <c r="I92" s="9">
        <v>1.0</v>
      </c>
      <c r="J92" s="9">
        <v>3.0</v>
      </c>
      <c r="K92" s="9">
        <v>2.0</v>
      </c>
      <c r="L92" s="9">
        <v>0.0</v>
      </c>
      <c r="M92" s="9">
        <v>109.0</v>
      </c>
      <c r="N92" s="9">
        <v>0.0</v>
      </c>
      <c r="O92" s="9">
        <v>155.0</v>
      </c>
      <c r="P92" s="9">
        <v>0.0</v>
      </c>
      <c r="Q92" s="9">
        <v>22.0</v>
      </c>
      <c r="R92" s="9">
        <v>0.0</v>
      </c>
      <c r="S92" s="12">
        <v>97.8</v>
      </c>
      <c r="T92" s="9">
        <v>0.0</v>
      </c>
      <c r="U92" s="9" t="s">
        <v>84</v>
      </c>
      <c r="V92" s="9">
        <v>1.0</v>
      </c>
      <c r="W92" s="9">
        <v>0.0</v>
      </c>
      <c r="X92" s="9">
        <v>0.0</v>
      </c>
      <c r="Y92" s="9">
        <v>0.0</v>
      </c>
      <c r="Z92" s="9">
        <v>0.0</v>
      </c>
      <c r="AA92" s="9">
        <v>1.0</v>
      </c>
      <c r="AB92" s="9">
        <v>0.0</v>
      </c>
      <c r="AC92" s="9">
        <v>0.0</v>
      </c>
      <c r="AD92" s="9">
        <v>0.0</v>
      </c>
      <c r="AE92" s="9">
        <v>1.0</v>
      </c>
      <c r="AF92" s="9">
        <v>0.0</v>
      </c>
      <c r="AG92" s="9">
        <v>0.0</v>
      </c>
      <c r="AH92" s="9">
        <v>0.0</v>
      </c>
      <c r="AI92" s="9">
        <v>0.0</v>
      </c>
      <c r="AJ92" s="9">
        <v>0.0</v>
      </c>
      <c r="AK92" s="9">
        <v>1.0</v>
      </c>
      <c r="AL92" s="9">
        <v>0.0</v>
      </c>
      <c r="AM92" s="9">
        <v>0.0</v>
      </c>
      <c r="AN92" s="9">
        <v>0.0</v>
      </c>
      <c r="AO92" s="9">
        <v>1.0</v>
      </c>
      <c r="AP92" s="9">
        <v>1.0</v>
      </c>
      <c r="AQ92" s="9">
        <v>1.0</v>
      </c>
      <c r="AR92" s="9">
        <v>1.0</v>
      </c>
      <c r="AS92" s="9">
        <v>1.0</v>
      </c>
      <c r="AT92" s="9">
        <v>1.0</v>
      </c>
      <c r="AU92" s="9">
        <v>1.0</v>
      </c>
      <c r="AV92" s="9">
        <v>0.0</v>
      </c>
      <c r="AW92" s="9">
        <v>72.0</v>
      </c>
      <c r="AX92" s="13">
        <f>5.06/4.57</f>
        <v>1.107221007</v>
      </c>
      <c r="AY92" s="10">
        <v>0.0</v>
      </c>
      <c r="AZ92" s="10">
        <v>0.0</v>
      </c>
      <c r="BA92" s="10">
        <v>1.0</v>
      </c>
      <c r="BB92" s="13">
        <f>3.47/3.2</f>
        <v>1.084375</v>
      </c>
      <c r="BC92" s="10">
        <v>3.0</v>
      </c>
      <c r="BD92" s="10">
        <v>1.0</v>
      </c>
      <c r="BE92" s="10"/>
      <c r="BF92" s="9">
        <v>0.0</v>
      </c>
      <c r="BG92" s="9" t="s">
        <v>84</v>
      </c>
      <c r="BH92" s="9">
        <v>1.0</v>
      </c>
      <c r="BI92" s="9">
        <v>0.0</v>
      </c>
      <c r="BJ92" s="9">
        <v>0.0</v>
      </c>
      <c r="BK92" s="9">
        <v>0.0</v>
      </c>
      <c r="BL92" s="9">
        <v>0.0</v>
      </c>
      <c r="BM92" s="9">
        <v>0.0</v>
      </c>
      <c r="BN92" s="9">
        <v>0.0</v>
      </c>
      <c r="BO92" s="9">
        <v>0.0</v>
      </c>
      <c r="BP92" s="9" t="s">
        <v>84</v>
      </c>
      <c r="BQ92" s="9" t="s">
        <v>84</v>
      </c>
      <c r="BR92" s="9">
        <v>0.0</v>
      </c>
      <c r="BS92" s="9" t="s">
        <v>84</v>
      </c>
      <c r="BT92" s="9">
        <v>0.0</v>
      </c>
      <c r="BU92" s="9">
        <v>1.0</v>
      </c>
      <c r="BV92" s="9">
        <v>0.0</v>
      </c>
      <c r="BW92" s="10">
        <v>0.0</v>
      </c>
      <c r="BX92" s="14">
        <v>0.0</v>
      </c>
      <c r="BY92" s="9">
        <v>1.0</v>
      </c>
      <c r="BZ92" s="9">
        <v>0.0</v>
      </c>
      <c r="CA92" s="9">
        <v>0.0</v>
      </c>
      <c r="CB92" s="9">
        <v>0.0</v>
      </c>
      <c r="CC92" s="15" t="s">
        <v>95</v>
      </c>
      <c r="CD92" s="15"/>
    </row>
    <row r="93" ht="15.75" customHeight="1">
      <c r="A93" s="9">
        <v>92.0</v>
      </c>
      <c r="B93" s="10">
        <v>24.0</v>
      </c>
      <c r="C93" s="9" t="s">
        <v>81</v>
      </c>
      <c r="D93" s="11" t="s">
        <v>82</v>
      </c>
      <c r="E93" s="9" t="s">
        <v>119</v>
      </c>
      <c r="F93" s="12">
        <v>187.96</v>
      </c>
      <c r="G93" s="12">
        <v>117.9</v>
      </c>
      <c r="H93" s="12">
        <f t="shared" si="3"/>
        <v>33.3720536</v>
      </c>
      <c r="I93" s="9">
        <v>0.0</v>
      </c>
      <c r="J93" s="9">
        <v>1.0</v>
      </c>
      <c r="K93" s="9">
        <v>2.0</v>
      </c>
      <c r="L93" s="9">
        <v>0.0</v>
      </c>
      <c r="M93" s="9">
        <v>107.0</v>
      </c>
      <c r="N93" s="9">
        <v>0.0</v>
      </c>
      <c r="O93" s="9">
        <v>115.0</v>
      </c>
      <c r="P93" s="9">
        <v>1.0</v>
      </c>
      <c r="Q93" s="9">
        <v>60.0</v>
      </c>
      <c r="R93" s="9">
        <v>0.0</v>
      </c>
      <c r="S93" s="12">
        <v>99.2</v>
      </c>
      <c r="T93" s="9">
        <v>0.0</v>
      </c>
      <c r="U93" s="9">
        <v>100.0</v>
      </c>
      <c r="V93" s="9">
        <v>1.0</v>
      </c>
      <c r="W93" s="9">
        <v>1.0</v>
      </c>
      <c r="X93" s="9">
        <v>0.0</v>
      </c>
      <c r="Y93" s="9">
        <v>0.0</v>
      </c>
      <c r="Z93" s="9">
        <v>0.0</v>
      </c>
      <c r="AA93" s="9">
        <v>1.0</v>
      </c>
      <c r="AB93" s="9">
        <v>0.0</v>
      </c>
      <c r="AC93" s="9">
        <v>0.0</v>
      </c>
      <c r="AD93" s="9">
        <v>0.0</v>
      </c>
      <c r="AE93" s="9">
        <v>0.0</v>
      </c>
      <c r="AF93" s="9">
        <v>0.0</v>
      </c>
      <c r="AG93" s="9">
        <v>1.0</v>
      </c>
      <c r="AH93" s="9">
        <v>0.0</v>
      </c>
      <c r="AI93" s="9">
        <v>0.0</v>
      </c>
      <c r="AJ93" s="9">
        <v>0.0</v>
      </c>
      <c r="AK93" s="9">
        <v>1.0</v>
      </c>
      <c r="AL93" s="9">
        <v>0.0</v>
      </c>
      <c r="AM93" s="9">
        <v>0.0</v>
      </c>
      <c r="AN93" s="9">
        <v>0.0</v>
      </c>
      <c r="AO93" s="9">
        <v>1.0</v>
      </c>
      <c r="AP93" s="9">
        <v>1.0</v>
      </c>
      <c r="AQ93" s="9">
        <v>1.0</v>
      </c>
      <c r="AR93" s="9">
        <v>0.0</v>
      </c>
      <c r="AS93" s="9">
        <v>1.0</v>
      </c>
      <c r="AT93" s="9">
        <v>1.0</v>
      </c>
      <c r="AU93" s="9">
        <v>1.0</v>
      </c>
      <c r="AV93" s="9">
        <v>0.0</v>
      </c>
      <c r="AW93" s="9">
        <v>40.0</v>
      </c>
      <c r="AX93" s="13">
        <f>5.93/4.28</f>
        <v>1.385514019</v>
      </c>
      <c r="AY93" s="10">
        <v>0.0</v>
      </c>
      <c r="AZ93" s="10">
        <v>0.0</v>
      </c>
      <c r="BA93" s="10">
        <v>1.0</v>
      </c>
      <c r="BB93" s="13">
        <f>3.49/2.74</f>
        <v>1.273722628</v>
      </c>
      <c r="BC93" s="10">
        <v>2.0</v>
      </c>
      <c r="BD93" s="10">
        <v>1.0</v>
      </c>
      <c r="BE93" s="10"/>
      <c r="BF93" s="9">
        <v>0.0</v>
      </c>
      <c r="BG93" s="9" t="s">
        <v>84</v>
      </c>
      <c r="BH93" s="9">
        <v>1.0</v>
      </c>
      <c r="BI93" s="9">
        <v>0.0</v>
      </c>
      <c r="BJ93" s="9">
        <v>0.0</v>
      </c>
      <c r="BK93" s="9">
        <v>0.0</v>
      </c>
      <c r="BL93" s="9">
        <v>0.0</v>
      </c>
      <c r="BM93" s="9">
        <v>0.0</v>
      </c>
      <c r="BN93" s="9">
        <v>0.0</v>
      </c>
      <c r="BO93" s="9">
        <v>1.0</v>
      </c>
      <c r="BP93" s="9">
        <v>1.0</v>
      </c>
      <c r="BQ93" s="9">
        <v>1.0</v>
      </c>
      <c r="BR93" s="9">
        <v>0.0</v>
      </c>
      <c r="BS93" s="9" t="s">
        <v>84</v>
      </c>
      <c r="BT93" s="9">
        <v>0.0</v>
      </c>
      <c r="BU93" s="9">
        <v>0.0</v>
      </c>
      <c r="BV93" s="9">
        <v>0.0</v>
      </c>
      <c r="BW93" s="10">
        <v>0.0</v>
      </c>
      <c r="BX93" s="14">
        <v>0.0</v>
      </c>
      <c r="BY93" s="9">
        <v>0.0</v>
      </c>
      <c r="BZ93" s="9">
        <v>1.0</v>
      </c>
      <c r="CA93" s="9">
        <v>0.0</v>
      </c>
      <c r="CB93" s="9">
        <v>0.0</v>
      </c>
      <c r="CC93" s="15" t="s">
        <v>113</v>
      </c>
      <c r="CD93" s="17"/>
    </row>
    <row r="94" ht="15.75" customHeight="1">
      <c r="A94" s="9">
        <v>93.0</v>
      </c>
      <c r="B94" s="10">
        <v>39.0</v>
      </c>
      <c r="C94" s="9" t="s">
        <v>86</v>
      </c>
      <c r="D94" s="11" t="s">
        <v>82</v>
      </c>
      <c r="E94" s="9" t="s">
        <v>123</v>
      </c>
      <c r="F94" s="12">
        <v>172.72</v>
      </c>
      <c r="G94" s="12">
        <v>104.0</v>
      </c>
      <c r="H94" s="12">
        <f t="shared" si="3"/>
        <v>34.86166142</v>
      </c>
      <c r="I94" s="9">
        <v>1.0</v>
      </c>
      <c r="J94" s="9">
        <v>1.0</v>
      </c>
      <c r="K94" s="9">
        <v>1.0</v>
      </c>
      <c r="L94" s="9">
        <v>1.0</v>
      </c>
      <c r="M94" s="9">
        <v>138.0</v>
      </c>
      <c r="N94" s="9">
        <v>0.0</v>
      </c>
      <c r="O94" s="9">
        <v>142.0</v>
      </c>
      <c r="P94" s="9">
        <v>0.0</v>
      </c>
      <c r="Q94" s="9">
        <v>18.0</v>
      </c>
      <c r="R94" s="9">
        <v>0.0</v>
      </c>
      <c r="S94" s="12">
        <v>98.4</v>
      </c>
      <c r="T94" s="9">
        <v>0.0</v>
      </c>
      <c r="U94" s="9">
        <v>95.0</v>
      </c>
      <c r="V94" s="9">
        <v>1.0</v>
      </c>
      <c r="W94" s="9">
        <v>0.0</v>
      </c>
      <c r="X94" s="9">
        <v>0.0</v>
      </c>
      <c r="Y94" s="9">
        <v>0.0</v>
      </c>
      <c r="Z94" s="9">
        <v>0.0</v>
      </c>
      <c r="AA94" s="9">
        <v>0.0</v>
      </c>
      <c r="AB94" s="9">
        <v>0.0</v>
      </c>
      <c r="AC94" s="9">
        <v>0.0</v>
      </c>
      <c r="AD94" s="9">
        <v>0.0</v>
      </c>
      <c r="AE94" s="9">
        <v>0.0</v>
      </c>
      <c r="AF94" s="9">
        <v>0.0</v>
      </c>
      <c r="AG94" s="9">
        <v>1.0</v>
      </c>
      <c r="AH94" s="9">
        <v>1.0</v>
      </c>
      <c r="AI94" s="9">
        <v>1.0</v>
      </c>
      <c r="AJ94" s="9">
        <v>1.0</v>
      </c>
      <c r="AK94" s="9">
        <v>0.0</v>
      </c>
      <c r="AL94" s="9">
        <v>0.0</v>
      </c>
      <c r="AM94" s="9">
        <v>0.0</v>
      </c>
      <c r="AN94" s="9">
        <v>0.0</v>
      </c>
      <c r="AO94" s="9">
        <v>1.0</v>
      </c>
      <c r="AP94" s="9">
        <v>1.0</v>
      </c>
      <c r="AQ94" s="9" t="s">
        <v>84</v>
      </c>
      <c r="AR94" s="9">
        <v>0.0</v>
      </c>
      <c r="AS94" s="9">
        <v>0.0</v>
      </c>
      <c r="AT94" s="9">
        <v>0.0</v>
      </c>
      <c r="AU94" s="9">
        <v>0.0</v>
      </c>
      <c r="AV94" s="9">
        <v>0.0</v>
      </c>
      <c r="AW94" s="9" t="s">
        <v>97</v>
      </c>
      <c r="AX94" s="13">
        <f>5.3/5.4</f>
        <v>0.9814814815</v>
      </c>
      <c r="AY94" s="10">
        <v>0.0</v>
      </c>
      <c r="AZ94" s="10">
        <v>0.0</v>
      </c>
      <c r="BA94" s="10">
        <v>1.0</v>
      </c>
      <c r="BB94" s="13">
        <f>3.46/3.15</f>
        <v>1.098412698</v>
      </c>
      <c r="BC94" s="10">
        <v>4.0</v>
      </c>
      <c r="BD94" s="10">
        <v>1.0</v>
      </c>
      <c r="BE94" s="10"/>
      <c r="BF94" s="9">
        <v>0.0</v>
      </c>
      <c r="BG94" s="9" t="s">
        <v>84</v>
      </c>
      <c r="BH94" s="9">
        <v>0.0</v>
      </c>
      <c r="BI94" s="9">
        <v>0.0</v>
      </c>
      <c r="BJ94" s="9">
        <v>0.0</v>
      </c>
      <c r="BK94" s="9">
        <v>0.0</v>
      </c>
      <c r="BL94" s="9">
        <v>0.0</v>
      </c>
      <c r="BM94" s="9">
        <v>0.0</v>
      </c>
      <c r="BN94" s="9">
        <v>0.0</v>
      </c>
      <c r="BO94" s="9">
        <v>0.0</v>
      </c>
      <c r="BP94" s="9" t="s">
        <v>84</v>
      </c>
      <c r="BQ94" s="9" t="s">
        <v>84</v>
      </c>
      <c r="BR94" s="9">
        <v>0.0</v>
      </c>
      <c r="BS94" s="9" t="s">
        <v>84</v>
      </c>
      <c r="BT94" s="9">
        <v>0.0</v>
      </c>
      <c r="BU94" s="9">
        <v>1.0</v>
      </c>
      <c r="BV94" s="9">
        <v>0.0</v>
      </c>
      <c r="BW94" s="10">
        <v>0.0</v>
      </c>
      <c r="BX94" s="14">
        <v>0.0</v>
      </c>
      <c r="BY94" s="9">
        <v>0.0</v>
      </c>
      <c r="BZ94" s="9">
        <v>1.0</v>
      </c>
      <c r="CA94" s="9">
        <v>0.0</v>
      </c>
      <c r="CB94" s="9">
        <v>0.0</v>
      </c>
      <c r="CC94" s="15" t="s">
        <v>87</v>
      </c>
      <c r="CD94" s="17"/>
    </row>
    <row r="95" ht="15.75" customHeight="1">
      <c r="A95" s="9">
        <v>94.0</v>
      </c>
      <c r="B95" s="10">
        <v>80.0</v>
      </c>
      <c r="C95" s="9" t="s">
        <v>86</v>
      </c>
      <c r="D95" s="11" t="s">
        <v>88</v>
      </c>
      <c r="E95" s="9" t="s">
        <v>99</v>
      </c>
      <c r="F95" s="12">
        <v>152.4</v>
      </c>
      <c r="G95" s="12">
        <v>65.8</v>
      </c>
      <c r="H95" s="12">
        <f t="shared" si="3"/>
        <v>28.33061222</v>
      </c>
      <c r="I95" s="9">
        <v>1.0</v>
      </c>
      <c r="J95" s="9">
        <v>2.0</v>
      </c>
      <c r="K95" s="9">
        <v>1.0</v>
      </c>
      <c r="L95" s="9">
        <v>0.0</v>
      </c>
      <c r="M95" s="9">
        <v>84.0</v>
      </c>
      <c r="N95" s="9">
        <v>0.0</v>
      </c>
      <c r="O95" s="9">
        <v>215.0</v>
      </c>
      <c r="P95" s="9">
        <v>0.0</v>
      </c>
      <c r="Q95" s="9">
        <v>18.0</v>
      </c>
      <c r="R95" s="9">
        <v>0.0</v>
      </c>
      <c r="S95" s="12">
        <v>97.0</v>
      </c>
      <c r="T95" s="9">
        <v>0.0</v>
      </c>
      <c r="U95" s="9">
        <v>97.0</v>
      </c>
      <c r="V95" s="9">
        <v>0.0</v>
      </c>
      <c r="W95" s="9">
        <v>0.0</v>
      </c>
      <c r="X95" s="9">
        <v>0.0</v>
      </c>
      <c r="Y95" s="9">
        <v>0.0</v>
      </c>
      <c r="Z95" s="9">
        <v>0.0</v>
      </c>
      <c r="AA95" s="9">
        <v>0.0</v>
      </c>
      <c r="AB95" s="9">
        <v>0.0</v>
      </c>
      <c r="AC95" s="9">
        <v>0.0</v>
      </c>
      <c r="AD95" s="9">
        <v>0.0</v>
      </c>
      <c r="AE95" s="9">
        <v>1.0</v>
      </c>
      <c r="AF95" s="9">
        <v>0.0</v>
      </c>
      <c r="AG95" s="9">
        <v>0.0</v>
      </c>
      <c r="AH95" s="9">
        <v>0.0</v>
      </c>
      <c r="AI95" s="9">
        <v>0.0</v>
      </c>
      <c r="AJ95" s="9">
        <v>0.0</v>
      </c>
      <c r="AK95" s="9">
        <v>0.0</v>
      </c>
      <c r="AL95" s="9">
        <v>0.0</v>
      </c>
      <c r="AM95" s="9">
        <v>0.0</v>
      </c>
      <c r="AN95" s="9">
        <v>0.0</v>
      </c>
      <c r="AO95" s="9">
        <v>0.0</v>
      </c>
      <c r="AP95" s="9" t="s">
        <v>84</v>
      </c>
      <c r="AQ95" s="9">
        <v>0.0</v>
      </c>
      <c r="AR95" s="9">
        <v>0.0</v>
      </c>
      <c r="AS95" s="9">
        <v>0.0</v>
      </c>
      <c r="AT95" s="9">
        <v>0.0</v>
      </c>
      <c r="AU95" s="9">
        <v>0.0</v>
      </c>
      <c r="AV95" s="9">
        <v>0.0</v>
      </c>
      <c r="AW95" s="9">
        <v>33.7</v>
      </c>
      <c r="AX95" s="13">
        <f>3.75/5.24</f>
        <v>0.715648855</v>
      </c>
      <c r="AY95" s="10">
        <v>0.0</v>
      </c>
      <c r="AZ95" s="10">
        <v>0.0</v>
      </c>
      <c r="BA95" s="10">
        <v>0.0</v>
      </c>
      <c r="BB95" s="13">
        <f>2.84/2.83</f>
        <v>1.003533569</v>
      </c>
      <c r="BC95" s="10">
        <v>2.0</v>
      </c>
      <c r="BD95" s="10">
        <v>0.0</v>
      </c>
      <c r="BE95" s="10"/>
      <c r="BF95" s="9">
        <v>0.0</v>
      </c>
      <c r="BG95" s="9" t="s">
        <v>84</v>
      </c>
      <c r="BH95" s="9">
        <v>0.0</v>
      </c>
      <c r="BI95" s="9">
        <v>0.0</v>
      </c>
      <c r="BJ95" s="9">
        <v>0.0</v>
      </c>
      <c r="BK95" s="9">
        <v>0.0</v>
      </c>
      <c r="BL95" s="9">
        <v>0.0</v>
      </c>
      <c r="BM95" s="9">
        <v>0.0</v>
      </c>
      <c r="BN95" s="9">
        <v>0.0</v>
      </c>
      <c r="BO95" s="9">
        <v>0.0</v>
      </c>
      <c r="BP95" s="9" t="s">
        <v>84</v>
      </c>
      <c r="BQ95" s="9" t="s">
        <v>84</v>
      </c>
      <c r="BR95" s="9">
        <v>0.0</v>
      </c>
      <c r="BS95" s="9" t="s">
        <v>84</v>
      </c>
      <c r="BT95" s="9">
        <v>0.0</v>
      </c>
      <c r="BU95" s="9">
        <v>0.0</v>
      </c>
      <c r="BV95" s="9">
        <v>0.0</v>
      </c>
      <c r="BW95" s="10">
        <v>0.0</v>
      </c>
      <c r="BX95" s="14">
        <v>0.0</v>
      </c>
      <c r="BY95" s="9">
        <v>0.0</v>
      </c>
      <c r="BZ95" s="9">
        <v>0.0</v>
      </c>
      <c r="CA95" s="9">
        <v>0.0</v>
      </c>
      <c r="CB95" s="9">
        <v>0.0</v>
      </c>
      <c r="CC95" s="15" t="s">
        <v>101</v>
      </c>
      <c r="CD95" s="17"/>
    </row>
    <row r="96" ht="15.75" customHeight="1">
      <c r="A96" s="9">
        <v>95.0</v>
      </c>
      <c r="B96" s="10">
        <v>42.0</v>
      </c>
      <c r="C96" s="9" t="s">
        <v>86</v>
      </c>
      <c r="D96" s="11" t="s">
        <v>127</v>
      </c>
      <c r="E96" s="9" t="s">
        <v>96</v>
      </c>
      <c r="F96" s="12">
        <v>157.48</v>
      </c>
      <c r="G96" s="12">
        <v>121.1</v>
      </c>
      <c r="H96" s="12">
        <f t="shared" si="3"/>
        <v>48.83074282</v>
      </c>
      <c r="I96" s="9">
        <v>1.0</v>
      </c>
      <c r="J96" s="9">
        <v>1.0</v>
      </c>
      <c r="K96" s="9">
        <v>2.0</v>
      </c>
      <c r="L96" s="9">
        <v>1.0</v>
      </c>
      <c r="M96" s="9">
        <v>116.0</v>
      </c>
      <c r="N96" s="9">
        <v>0.0</v>
      </c>
      <c r="O96" s="9">
        <v>140.0</v>
      </c>
      <c r="P96" s="9">
        <v>0.0</v>
      </c>
      <c r="Q96" s="9">
        <v>20.0</v>
      </c>
      <c r="R96" s="9">
        <v>0.0</v>
      </c>
      <c r="S96" s="12">
        <v>98.5</v>
      </c>
      <c r="T96" s="9">
        <v>0.0</v>
      </c>
      <c r="U96" s="9">
        <v>96.0</v>
      </c>
      <c r="V96" s="9">
        <v>0.0</v>
      </c>
      <c r="W96" s="9">
        <v>0.0</v>
      </c>
      <c r="X96" s="9">
        <v>1.0</v>
      </c>
      <c r="Y96" s="9">
        <v>0.0</v>
      </c>
      <c r="Z96" s="9">
        <v>0.0</v>
      </c>
      <c r="AA96" s="9">
        <v>0.0</v>
      </c>
      <c r="AB96" s="9">
        <v>0.0</v>
      </c>
      <c r="AC96" s="9">
        <v>0.0</v>
      </c>
      <c r="AD96" s="9">
        <v>0.0</v>
      </c>
      <c r="AE96" s="9">
        <v>0.0</v>
      </c>
      <c r="AF96" s="9">
        <v>0.0</v>
      </c>
      <c r="AG96" s="9">
        <v>0.0</v>
      </c>
      <c r="AH96" s="9">
        <v>0.0</v>
      </c>
      <c r="AI96" s="9">
        <v>0.0</v>
      </c>
      <c r="AJ96" s="9">
        <v>0.0</v>
      </c>
      <c r="AK96" s="9">
        <v>0.0</v>
      </c>
      <c r="AL96" s="9">
        <v>0.0</v>
      </c>
      <c r="AM96" s="9">
        <v>0.0</v>
      </c>
      <c r="AN96" s="9">
        <v>0.0</v>
      </c>
      <c r="AO96" s="9">
        <v>1.0</v>
      </c>
      <c r="AP96" s="9">
        <v>1.0</v>
      </c>
      <c r="AQ96" s="9">
        <v>1.0</v>
      </c>
      <c r="AR96" s="9">
        <v>1.0</v>
      </c>
      <c r="AS96" s="9">
        <v>0.0</v>
      </c>
      <c r="AT96" s="9">
        <v>0.0</v>
      </c>
      <c r="AU96" s="9">
        <v>0.0</v>
      </c>
      <c r="AV96" s="9">
        <v>0.0</v>
      </c>
      <c r="AW96" s="9" t="s">
        <v>97</v>
      </c>
      <c r="AX96" s="13">
        <f>4.25/3.85</f>
        <v>1.103896104</v>
      </c>
      <c r="AY96" s="10">
        <v>0.0</v>
      </c>
      <c r="AZ96" s="10">
        <v>0.0</v>
      </c>
      <c r="BA96" s="10">
        <v>1.0</v>
      </c>
      <c r="BB96" s="13">
        <f>3.2/3.52</f>
        <v>0.9090909091</v>
      </c>
      <c r="BC96" s="10">
        <v>2.0</v>
      </c>
      <c r="BD96" s="10">
        <v>1.0</v>
      </c>
      <c r="BE96" s="10"/>
      <c r="BF96" s="9">
        <v>0.0</v>
      </c>
      <c r="BG96" s="9" t="s">
        <v>84</v>
      </c>
      <c r="BH96" s="9">
        <v>1.0</v>
      </c>
      <c r="BI96" s="9">
        <v>0.0</v>
      </c>
      <c r="BJ96" s="9">
        <v>0.0</v>
      </c>
      <c r="BK96" s="9">
        <v>0.0</v>
      </c>
      <c r="BL96" s="9">
        <v>0.0</v>
      </c>
      <c r="BM96" s="9">
        <v>0.0</v>
      </c>
      <c r="BN96" s="9">
        <v>1.0</v>
      </c>
      <c r="BO96" s="9">
        <v>0.0</v>
      </c>
      <c r="BP96" s="9">
        <v>1.0</v>
      </c>
      <c r="BQ96" s="9">
        <v>1.0</v>
      </c>
      <c r="BR96" s="9">
        <v>0.0</v>
      </c>
      <c r="BS96" s="9" t="s">
        <v>84</v>
      </c>
      <c r="BT96" s="9">
        <v>0.0</v>
      </c>
      <c r="BU96" s="9">
        <v>0.0</v>
      </c>
      <c r="BV96" s="9">
        <v>0.0</v>
      </c>
      <c r="BW96" s="10">
        <v>0.0</v>
      </c>
      <c r="BX96" s="14">
        <v>0.0</v>
      </c>
      <c r="BY96" s="9">
        <v>0.0</v>
      </c>
      <c r="BZ96" s="9">
        <v>1.0</v>
      </c>
      <c r="CA96" s="9">
        <v>0.0</v>
      </c>
      <c r="CB96" s="9">
        <v>0.0</v>
      </c>
      <c r="CC96" s="15" t="s">
        <v>117</v>
      </c>
      <c r="CD96" s="17"/>
    </row>
    <row r="97" ht="15.75" customHeight="1">
      <c r="A97" s="9">
        <v>96.0</v>
      </c>
      <c r="B97" s="10">
        <v>77.0</v>
      </c>
      <c r="C97" s="9" t="s">
        <v>86</v>
      </c>
      <c r="D97" s="11" t="s">
        <v>82</v>
      </c>
      <c r="E97" s="9" t="s">
        <v>116</v>
      </c>
      <c r="F97" s="12">
        <v>162.56</v>
      </c>
      <c r="G97" s="12">
        <v>59.9</v>
      </c>
      <c r="H97" s="12">
        <f t="shared" si="3"/>
        <v>22.66728166</v>
      </c>
      <c r="I97" s="9">
        <v>0.0</v>
      </c>
      <c r="J97" s="9">
        <v>2.0</v>
      </c>
      <c r="K97" s="9">
        <v>2.0</v>
      </c>
      <c r="L97" s="9">
        <v>0.0</v>
      </c>
      <c r="M97" s="9">
        <v>97.0</v>
      </c>
      <c r="N97" s="9">
        <v>0.0</v>
      </c>
      <c r="O97" s="9">
        <v>139.0</v>
      </c>
      <c r="P97" s="9">
        <v>0.0</v>
      </c>
      <c r="Q97" s="9">
        <v>27.0</v>
      </c>
      <c r="R97" s="9">
        <v>0.0</v>
      </c>
      <c r="S97" s="12">
        <v>101.3</v>
      </c>
      <c r="T97" s="9">
        <v>1.0</v>
      </c>
      <c r="U97" s="9">
        <v>89.0</v>
      </c>
      <c r="V97" s="9">
        <v>0.0</v>
      </c>
      <c r="W97" s="9">
        <v>0.0</v>
      </c>
      <c r="X97" s="9">
        <v>0.0</v>
      </c>
      <c r="Y97" s="9">
        <v>0.0</v>
      </c>
      <c r="Z97" s="9">
        <v>0.0</v>
      </c>
      <c r="AA97" s="9">
        <v>0.0</v>
      </c>
      <c r="AB97" s="9">
        <v>0.0</v>
      </c>
      <c r="AC97" s="9">
        <v>0.0</v>
      </c>
      <c r="AD97" s="9">
        <v>0.0</v>
      </c>
      <c r="AE97" s="9">
        <v>0.0</v>
      </c>
      <c r="AF97" s="9">
        <v>0.0</v>
      </c>
      <c r="AG97" s="9">
        <v>1.0</v>
      </c>
      <c r="AH97" s="9">
        <v>1.0</v>
      </c>
      <c r="AI97" s="9">
        <v>1.0</v>
      </c>
      <c r="AJ97" s="9">
        <v>1.0</v>
      </c>
      <c r="AK97" s="9">
        <v>0.0</v>
      </c>
      <c r="AL97" s="9">
        <v>0.0</v>
      </c>
      <c r="AM97" s="9">
        <v>0.0</v>
      </c>
      <c r="AN97" s="9">
        <v>0.0</v>
      </c>
      <c r="AO97" s="9">
        <v>1.0</v>
      </c>
      <c r="AP97" s="9">
        <v>1.0</v>
      </c>
      <c r="AQ97" s="9" t="s">
        <v>84</v>
      </c>
      <c r="AR97" s="9" t="s">
        <v>84</v>
      </c>
      <c r="AS97" s="9">
        <v>1.0</v>
      </c>
      <c r="AT97" s="9">
        <v>1.0</v>
      </c>
      <c r="AU97" s="9">
        <v>1.0</v>
      </c>
      <c r="AV97" s="9">
        <v>0.0</v>
      </c>
      <c r="AW97" s="9">
        <v>39.0</v>
      </c>
      <c r="AX97" s="13">
        <f>4.2/4.6</f>
        <v>0.9130434783</v>
      </c>
      <c r="AY97" s="10">
        <v>0.0</v>
      </c>
      <c r="AZ97" s="10">
        <v>1.0</v>
      </c>
      <c r="BA97" s="10">
        <v>0.0</v>
      </c>
      <c r="BB97" s="13">
        <f>2.96/3.12</f>
        <v>0.9487179487</v>
      </c>
      <c r="BC97" s="10">
        <v>2.0</v>
      </c>
      <c r="BD97" s="10">
        <v>0.0</v>
      </c>
      <c r="BE97" s="10"/>
      <c r="BF97" s="9">
        <v>0.0</v>
      </c>
      <c r="BG97" s="9" t="s">
        <v>84</v>
      </c>
      <c r="BH97" s="9">
        <v>0.0</v>
      </c>
      <c r="BI97" s="9">
        <v>0.0</v>
      </c>
      <c r="BJ97" s="9">
        <v>0.0</v>
      </c>
      <c r="BK97" s="9">
        <v>0.0</v>
      </c>
      <c r="BL97" s="9">
        <v>0.0</v>
      </c>
      <c r="BM97" s="9">
        <v>0.0</v>
      </c>
      <c r="BN97" s="9">
        <v>0.0</v>
      </c>
      <c r="BO97" s="9">
        <v>0.0</v>
      </c>
      <c r="BP97" s="9" t="s">
        <v>84</v>
      </c>
      <c r="BQ97" s="9" t="s">
        <v>84</v>
      </c>
      <c r="BR97" s="9">
        <v>0.0</v>
      </c>
      <c r="BS97" s="9" t="s">
        <v>84</v>
      </c>
      <c r="BT97" s="9">
        <v>0.0</v>
      </c>
      <c r="BU97" s="9">
        <v>1.0</v>
      </c>
      <c r="BV97" s="9">
        <v>0.0</v>
      </c>
      <c r="BW97" s="10">
        <v>0.0</v>
      </c>
      <c r="BX97" s="14">
        <v>0.0</v>
      </c>
      <c r="BY97" s="9">
        <v>0.0</v>
      </c>
      <c r="BZ97" s="9">
        <v>1.0</v>
      </c>
      <c r="CA97" s="9">
        <v>0.0</v>
      </c>
      <c r="CB97" s="9">
        <v>0.0</v>
      </c>
      <c r="CC97" s="15" t="s">
        <v>87</v>
      </c>
      <c r="CD97" s="17"/>
    </row>
    <row r="98" ht="15.75" customHeight="1">
      <c r="A98" s="9">
        <v>97.0</v>
      </c>
      <c r="B98" s="10">
        <v>68.0</v>
      </c>
      <c r="C98" s="9" t="s">
        <v>81</v>
      </c>
      <c r="D98" s="11" t="s">
        <v>88</v>
      </c>
      <c r="E98" s="9" t="s">
        <v>96</v>
      </c>
      <c r="F98" s="12">
        <v>172.72</v>
      </c>
      <c r="G98" s="12">
        <v>142.4</v>
      </c>
      <c r="H98" s="12">
        <f t="shared" si="3"/>
        <v>47.73365948</v>
      </c>
      <c r="I98" s="9">
        <v>1.0</v>
      </c>
      <c r="J98" s="9">
        <v>3.0</v>
      </c>
      <c r="K98" s="9">
        <v>2.0</v>
      </c>
      <c r="L98" s="9">
        <v>0.0</v>
      </c>
      <c r="M98" s="9">
        <v>93.0</v>
      </c>
      <c r="N98" s="9">
        <v>0.0</v>
      </c>
      <c r="O98" s="9">
        <v>123.0</v>
      </c>
      <c r="P98" s="9">
        <v>0.0</v>
      </c>
      <c r="Q98" s="9">
        <v>24.0</v>
      </c>
      <c r="R98" s="9">
        <v>0.0</v>
      </c>
      <c r="S98" s="12">
        <v>97.9</v>
      </c>
      <c r="T98" s="9">
        <v>1.0</v>
      </c>
      <c r="U98" s="9" t="s">
        <v>84</v>
      </c>
      <c r="V98" s="9">
        <v>1.0</v>
      </c>
      <c r="W98" s="9">
        <v>0.0</v>
      </c>
      <c r="X98" s="9">
        <v>0.0</v>
      </c>
      <c r="Y98" s="9">
        <v>1.0</v>
      </c>
      <c r="Z98" s="9">
        <v>0.0</v>
      </c>
      <c r="AA98" s="9">
        <v>0.0</v>
      </c>
      <c r="AB98" s="9">
        <v>0.0</v>
      </c>
      <c r="AC98" s="9">
        <v>1.0</v>
      </c>
      <c r="AD98" s="9">
        <v>1.0</v>
      </c>
      <c r="AE98" s="9">
        <v>1.0</v>
      </c>
      <c r="AF98" s="9">
        <v>0.0</v>
      </c>
      <c r="AG98" s="9">
        <v>0.0</v>
      </c>
      <c r="AH98" s="9">
        <v>0.0</v>
      </c>
      <c r="AI98" s="9">
        <v>0.0</v>
      </c>
      <c r="AJ98" s="9">
        <v>0.0</v>
      </c>
      <c r="AK98" s="9">
        <v>1.0</v>
      </c>
      <c r="AL98" s="9">
        <v>0.0</v>
      </c>
      <c r="AM98" s="9">
        <v>0.0</v>
      </c>
      <c r="AN98" s="9">
        <v>0.0</v>
      </c>
      <c r="AO98" s="9">
        <v>1.0</v>
      </c>
      <c r="AP98" s="9">
        <v>1.0</v>
      </c>
      <c r="AQ98" s="9">
        <v>0.0</v>
      </c>
      <c r="AR98" s="9">
        <v>1.0</v>
      </c>
      <c r="AS98" s="9">
        <v>1.0</v>
      </c>
      <c r="AT98" s="9">
        <v>0.0</v>
      </c>
      <c r="AU98" s="9">
        <v>0.0</v>
      </c>
      <c r="AV98" s="9">
        <v>0.0</v>
      </c>
      <c r="AW98" s="9">
        <v>54.0</v>
      </c>
      <c r="AX98" s="13">
        <f>5.36/4.61</f>
        <v>1.162689805</v>
      </c>
      <c r="AY98" s="10">
        <v>0.0</v>
      </c>
      <c r="AZ98" s="10">
        <v>0.0</v>
      </c>
      <c r="BA98" s="10">
        <v>1.0</v>
      </c>
      <c r="BB98" s="13">
        <f>3.54/4.07</f>
        <v>0.8697788698</v>
      </c>
      <c r="BC98" s="10">
        <v>3.0</v>
      </c>
      <c r="BD98" s="10">
        <v>1.0</v>
      </c>
      <c r="BE98" s="10"/>
      <c r="BF98" s="9">
        <v>0.0</v>
      </c>
      <c r="BG98" s="9" t="s">
        <v>84</v>
      </c>
      <c r="BH98" s="9">
        <v>1.0</v>
      </c>
      <c r="BI98" s="9">
        <v>0.0</v>
      </c>
      <c r="BJ98" s="9">
        <v>0.0</v>
      </c>
      <c r="BK98" s="9">
        <v>0.0</v>
      </c>
      <c r="BL98" s="9">
        <v>0.0</v>
      </c>
      <c r="BM98" s="9">
        <v>0.0</v>
      </c>
      <c r="BN98" s="9">
        <v>0.0</v>
      </c>
      <c r="BO98" s="9">
        <v>0.0</v>
      </c>
      <c r="BP98" s="9" t="s">
        <v>84</v>
      </c>
      <c r="BQ98" s="9" t="s">
        <v>84</v>
      </c>
      <c r="BR98" s="9">
        <v>0.0</v>
      </c>
      <c r="BS98" s="9" t="s">
        <v>84</v>
      </c>
      <c r="BT98" s="9">
        <v>0.0</v>
      </c>
      <c r="BU98" s="9">
        <v>0.0</v>
      </c>
      <c r="BV98" s="9">
        <v>0.0</v>
      </c>
      <c r="BW98" s="10">
        <v>0.0</v>
      </c>
      <c r="BX98" s="14">
        <v>0.0</v>
      </c>
      <c r="BY98" s="9">
        <v>1.0</v>
      </c>
      <c r="BZ98" s="9">
        <v>0.0</v>
      </c>
      <c r="CA98" s="9">
        <v>0.0</v>
      </c>
      <c r="CB98" s="9">
        <v>0.0</v>
      </c>
      <c r="CC98" s="15" t="s">
        <v>92</v>
      </c>
      <c r="CD98" s="17"/>
    </row>
    <row r="99" ht="15.75" customHeight="1">
      <c r="A99" s="9">
        <v>98.0</v>
      </c>
      <c r="B99" s="10">
        <v>73.0</v>
      </c>
      <c r="C99" s="9" t="s">
        <v>81</v>
      </c>
      <c r="D99" s="11" t="s">
        <v>88</v>
      </c>
      <c r="E99" s="9" t="s">
        <v>93</v>
      </c>
      <c r="F99" s="12">
        <v>182.88</v>
      </c>
      <c r="G99" s="12">
        <v>97.5</v>
      </c>
      <c r="H99" s="12">
        <f t="shared" si="3"/>
        <v>29.15225738</v>
      </c>
      <c r="I99" s="9">
        <v>0.0</v>
      </c>
      <c r="J99" s="9">
        <v>2.0</v>
      </c>
      <c r="K99" s="9">
        <v>2.0</v>
      </c>
      <c r="L99" s="9">
        <v>0.0</v>
      </c>
      <c r="M99" s="9">
        <v>89.0</v>
      </c>
      <c r="N99" s="9">
        <v>0.0</v>
      </c>
      <c r="O99" s="9">
        <v>130.0</v>
      </c>
      <c r="P99" s="9">
        <v>0.0</v>
      </c>
      <c r="Q99" s="9">
        <v>22.0</v>
      </c>
      <c r="R99" s="9">
        <v>0.0</v>
      </c>
      <c r="S99" s="12">
        <v>97.7</v>
      </c>
      <c r="T99" s="9">
        <v>0.0</v>
      </c>
      <c r="U99" s="9">
        <v>100.0</v>
      </c>
      <c r="V99" s="9">
        <v>0.0</v>
      </c>
      <c r="W99" s="9">
        <v>0.0</v>
      </c>
      <c r="X99" s="9">
        <v>1.0</v>
      </c>
      <c r="Y99" s="9">
        <v>0.0</v>
      </c>
      <c r="Z99" s="9">
        <v>0.0</v>
      </c>
      <c r="AA99" s="9">
        <v>0.0</v>
      </c>
      <c r="AB99" s="9">
        <v>0.0</v>
      </c>
      <c r="AC99" s="9">
        <v>0.0</v>
      </c>
      <c r="AD99" s="9">
        <v>0.0</v>
      </c>
      <c r="AE99" s="9">
        <v>0.0</v>
      </c>
      <c r="AF99" s="9">
        <v>0.0</v>
      </c>
      <c r="AG99" s="9">
        <v>0.0</v>
      </c>
      <c r="AH99" s="9">
        <v>0.0</v>
      </c>
      <c r="AI99" s="9">
        <v>0.0</v>
      </c>
      <c r="AJ99" s="9">
        <v>0.0</v>
      </c>
      <c r="AK99" s="9">
        <v>1.0</v>
      </c>
      <c r="AL99" s="9">
        <v>0.0</v>
      </c>
      <c r="AM99" s="9">
        <v>0.0</v>
      </c>
      <c r="AN99" s="9">
        <v>0.0</v>
      </c>
      <c r="AO99" s="9">
        <v>1.0</v>
      </c>
      <c r="AP99" s="9">
        <v>1.0</v>
      </c>
      <c r="AQ99" s="9">
        <v>1.0</v>
      </c>
      <c r="AR99" s="9">
        <v>0.0</v>
      </c>
      <c r="AS99" s="9" t="s">
        <v>84</v>
      </c>
      <c r="AT99" s="9" t="s">
        <v>84</v>
      </c>
      <c r="AU99" s="9" t="s">
        <v>84</v>
      </c>
      <c r="AV99" s="9" t="s">
        <v>84</v>
      </c>
      <c r="AW99" s="9" t="s">
        <v>84</v>
      </c>
      <c r="AX99" s="13">
        <f>4.86/4.69</f>
        <v>1.036247335</v>
      </c>
      <c r="AY99" s="10">
        <v>0.0</v>
      </c>
      <c r="AZ99" s="10">
        <v>0.0</v>
      </c>
      <c r="BA99" s="10">
        <v>1.0</v>
      </c>
      <c r="BB99" s="13">
        <f>2.55/3.02</f>
        <v>0.8443708609</v>
      </c>
      <c r="BC99" s="10">
        <v>2.0</v>
      </c>
      <c r="BD99" s="10">
        <v>1.0</v>
      </c>
      <c r="BE99" s="10"/>
      <c r="BF99" s="9">
        <v>0.0</v>
      </c>
      <c r="BG99" s="9" t="s">
        <v>84</v>
      </c>
      <c r="BH99" s="9">
        <v>0.0</v>
      </c>
      <c r="BI99" s="9">
        <v>0.0</v>
      </c>
      <c r="BJ99" s="9">
        <v>0.0</v>
      </c>
      <c r="BK99" s="9">
        <v>0.0</v>
      </c>
      <c r="BL99" s="9">
        <v>0.0</v>
      </c>
      <c r="BM99" s="9">
        <v>0.0</v>
      </c>
      <c r="BN99" s="9">
        <v>0.0</v>
      </c>
      <c r="BO99" s="9">
        <v>1.0</v>
      </c>
      <c r="BP99" s="9">
        <v>0.0</v>
      </c>
      <c r="BQ99" s="9">
        <v>1.0</v>
      </c>
      <c r="BR99" s="9">
        <v>0.0</v>
      </c>
      <c r="BS99" s="9" t="s">
        <v>84</v>
      </c>
      <c r="BT99" s="9">
        <v>0.0</v>
      </c>
      <c r="BU99" s="9">
        <v>0.0</v>
      </c>
      <c r="BV99" s="9">
        <v>0.0</v>
      </c>
      <c r="BW99" s="10">
        <v>0.0</v>
      </c>
      <c r="BX99" s="14">
        <v>0.0</v>
      </c>
      <c r="BY99" s="9">
        <v>0.0</v>
      </c>
      <c r="BZ99" s="9">
        <v>0.0</v>
      </c>
      <c r="CA99" s="9">
        <v>0.0</v>
      </c>
      <c r="CB99" s="9">
        <v>0.0</v>
      </c>
      <c r="CC99" s="15" t="s">
        <v>92</v>
      </c>
      <c r="CD99" s="17"/>
    </row>
    <row r="100" ht="15.75" customHeight="1">
      <c r="A100" s="9">
        <v>99.0</v>
      </c>
      <c r="B100" s="10">
        <v>57.0</v>
      </c>
      <c r="C100" s="9" t="s">
        <v>81</v>
      </c>
      <c r="D100" s="11" t="s">
        <v>88</v>
      </c>
      <c r="E100" s="9" t="s">
        <v>129</v>
      </c>
      <c r="F100" s="12">
        <v>187.96</v>
      </c>
      <c r="G100" s="12">
        <v>97.2</v>
      </c>
      <c r="H100" s="12">
        <f t="shared" si="3"/>
        <v>27.51283808</v>
      </c>
      <c r="I100" s="9">
        <v>1.0</v>
      </c>
      <c r="J100" s="9">
        <v>5.0</v>
      </c>
      <c r="K100" s="9">
        <v>3.0</v>
      </c>
      <c r="L100" s="9">
        <v>1.0</v>
      </c>
      <c r="M100" s="9">
        <v>157.0</v>
      </c>
      <c r="N100" s="9">
        <v>0.0</v>
      </c>
      <c r="O100" s="9">
        <v>164.0</v>
      </c>
      <c r="P100" s="9">
        <v>0.0</v>
      </c>
      <c r="Q100" s="9">
        <v>17.0</v>
      </c>
      <c r="R100" s="9">
        <v>1.0</v>
      </c>
      <c r="S100" s="12">
        <v>92.3</v>
      </c>
      <c r="T100" s="9">
        <v>1.0</v>
      </c>
      <c r="U100" s="9" t="s">
        <v>84</v>
      </c>
      <c r="V100" s="9">
        <v>1.0</v>
      </c>
      <c r="W100" s="9">
        <v>0.0</v>
      </c>
      <c r="X100" s="9">
        <v>0.0</v>
      </c>
      <c r="Y100" s="9">
        <v>1.0</v>
      </c>
      <c r="Z100" s="9">
        <v>1.0</v>
      </c>
      <c r="AA100" s="9">
        <v>0.0</v>
      </c>
      <c r="AB100" s="9">
        <v>0.0</v>
      </c>
      <c r="AC100" s="9">
        <v>0.0</v>
      </c>
      <c r="AD100" s="9">
        <v>0.0</v>
      </c>
      <c r="AE100" s="9">
        <v>0.0</v>
      </c>
      <c r="AF100" s="9">
        <v>1.0</v>
      </c>
      <c r="AG100" s="9">
        <v>1.0</v>
      </c>
      <c r="AH100" s="9">
        <v>0.0</v>
      </c>
      <c r="AI100" s="9">
        <v>1.0</v>
      </c>
      <c r="AJ100" s="9">
        <v>1.0</v>
      </c>
      <c r="AK100" s="9">
        <v>1.0</v>
      </c>
      <c r="AL100" s="9">
        <v>0.0</v>
      </c>
      <c r="AM100" s="9">
        <v>0.0</v>
      </c>
      <c r="AN100" s="9">
        <v>0.0</v>
      </c>
      <c r="AO100" s="9" t="s">
        <v>84</v>
      </c>
      <c r="AP100" s="9" t="s">
        <v>84</v>
      </c>
      <c r="AQ100" s="9">
        <v>0.0</v>
      </c>
      <c r="AR100" s="9">
        <v>1.0</v>
      </c>
      <c r="AS100" s="9">
        <v>1.0</v>
      </c>
      <c r="AT100" s="9">
        <v>1.0</v>
      </c>
      <c r="AU100" s="9">
        <v>1.0</v>
      </c>
      <c r="AV100" s="9">
        <v>0.0</v>
      </c>
      <c r="AW100" s="9">
        <v>25.0</v>
      </c>
      <c r="AX100" s="13">
        <f>5.6/3.6</f>
        <v>1.555555556</v>
      </c>
      <c r="AY100" s="10">
        <v>0.0</v>
      </c>
      <c r="AZ100" s="10">
        <v>0.0</v>
      </c>
      <c r="BA100" s="10">
        <v>1.0</v>
      </c>
      <c r="BB100" s="13">
        <f>2.87/2.97</f>
        <v>0.9663299663</v>
      </c>
      <c r="BC100" s="10">
        <v>6.0</v>
      </c>
      <c r="BD100" s="10">
        <v>1.0</v>
      </c>
      <c r="BE100" s="10"/>
      <c r="BF100" s="9">
        <v>1.0</v>
      </c>
      <c r="BG100" s="15" t="s">
        <v>130</v>
      </c>
      <c r="BH100" s="9">
        <v>1.0</v>
      </c>
      <c r="BI100" s="9">
        <v>0.0</v>
      </c>
      <c r="BJ100" s="9">
        <v>1.0</v>
      </c>
      <c r="BK100" s="9">
        <v>1.0</v>
      </c>
      <c r="BL100" s="9">
        <v>0.0</v>
      </c>
      <c r="BM100" s="9">
        <v>1.0</v>
      </c>
      <c r="BN100" s="9">
        <v>1.0</v>
      </c>
      <c r="BO100" s="9">
        <v>0.0</v>
      </c>
      <c r="BP100" s="9">
        <v>1.0</v>
      </c>
      <c r="BQ100" s="9">
        <v>1.0</v>
      </c>
      <c r="BR100" s="9">
        <v>0.0</v>
      </c>
      <c r="BS100" s="9" t="s">
        <v>84</v>
      </c>
      <c r="BT100" s="9">
        <v>0.0</v>
      </c>
      <c r="BU100" s="9">
        <v>0.0</v>
      </c>
      <c r="BV100" s="9">
        <v>0.0</v>
      </c>
      <c r="BW100" s="10">
        <v>0.0</v>
      </c>
      <c r="BX100" s="14">
        <v>1.0</v>
      </c>
      <c r="BY100" s="9">
        <v>1.0</v>
      </c>
      <c r="BZ100" s="9">
        <v>0.0</v>
      </c>
      <c r="CA100" s="9">
        <v>0.0</v>
      </c>
      <c r="CB100" s="9">
        <v>0.0</v>
      </c>
      <c r="CC100" s="15" t="s">
        <v>104</v>
      </c>
      <c r="CD100" s="17"/>
    </row>
    <row r="101" ht="15.75" customHeight="1">
      <c r="A101" s="9">
        <v>100.0</v>
      </c>
      <c r="B101" s="10">
        <v>52.0</v>
      </c>
      <c r="C101" s="9" t="s">
        <v>81</v>
      </c>
      <c r="D101" s="11" t="s">
        <v>82</v>
      </c>
      <c r="E101" s="9" t="s">
        <v>119</v>
      </c>
      <c r="F101" s="12">
        <v>157.48</v>
      </c>
      <c r="G101" s="12">
        <v>65.7</v>
      </c>
      <c r="H101" s="12">
        <f t="shared" si="3"/>
        <v>26.49198847</v>
      </c>
      <c r="I101" s="9">
        <v>1.0</v>
      </c>
      <c r="J101" s="9">
        <v>2.0</v>
      </c>
      <c r="K101" s="9">
        <v>2.0</v>
      </c>
      <c r="L101" s="9">
        <v>1.0</v>
      </c>
      <c r="M101" s="9">
        <v>112.0</v>
      </c>
      <c r="N101" s="9">
        <v>0.0</v>
      </c>
      <c r="O101" s="9">
        <v>132.0</v>
      </c>
      <c r="P101" s="9">
        <v>0.0</v>
      </c>
      <c r="Q101" s="9">
        <v>20.0</v>
      </c>
      <c r="R101" s="9">
        <v>0.0</v>
      </c>
      <c r="S101" s="12">
        <v>99.8</v>
      </c>
      <c r="T101" s="9">
        <v>0.0</v>
      </c>
      <c r="U101" s="9">
        <v>99.0</v>
      </c>
      <c r="V101" s="9">
        <v>0.0</v>
      </c>
      <c r="W101" s="9">
        <v>0.0</v>
      </c>
      <c r="X101" s="9">
        <v>0.0</v>
      </c>
      <c r="Y101" s="9">
        <v>0.0</v>
      </c>
      <c r="Z101" s="9">
        <v>0.0</v>
      </c>
      <c r="AA101" s="9">
        <v>0.0</v>
      </c>
      <c r="AB101" s="9">
        <v>0.0</v>
      </c>
      <c r="AC101" s="9">
        <v>0.0</v>
      </c>
      <c r="AD101" s="9">
        <v>0.0</v>
      </c>
      <c r="AE101" s="9">
        <v>0.0</v>
      </c>
      <c r="AF101" s="9">
        <v>0.0</v>
      </c>
      <c r="AG101" s="9">
        <v>0.0</v>
      </c>
      <c r="AH101" s="9">
        <v>0.0</v>
      </c>
      <c r="AI101" s="9">
        <v>1.0</v>
      </c>
      <c r="AJ101" s="9">
        <v>1.0</v>
      </c>
      <c r="AK101" s="9">
        <v>0.0</v>
      </c>
      <c r="AL101" s="9">
        <v>0.0</v>
      </c>
      <c r="AM101" s="9">
        <v>0.0</v>
      </c>
      <c r="AN101" s="9">
        <v>0.0</v>
      </c>
      <c r="AO101" s="9">
        <v>1.0</v>
      </c>
      <c r="AP101" s="9">
        <v>1.0</v>
      </c>
      <c r="AQ101" s="9" t="s">
        <v>84</v>
      </c>
      <c r="AR101" s="9" t="s">
        <v>84</v>
      </c>
      <c r="AS101" s="9">
        <v>1.0</v>
      </c>
      <c r="AT101" s="9">
        <v>0.0</v>
      </c>
      <c r="AU101" s="9">
        <v>0.0</v>
      </c>
      <c r="AV101" s="9">
        <v>0.0</v>
      </c>
      <c r="AW101" s="9">
        <v>36.0</v>
      </c>
      <c r="AX101" s="13">
        <f>4.67/4.37</f>
        <v>1.068649886</v>
      </c>
      <c r="AY101" s="10">
        <v>0.0</v>
      </c>
      <c r="AZ101" s="10">
        <v>0.0</v>
      </c>
      <c r="BA101" s="10">
        <v>1.0</v>
      </c>
      <c r="BB101" s="13">
        <f>3.28/2.95</f>
        <v>1.111864407</v>
      </c>
      <c r="BC101" s="10">
        <v>1.0</v>
      </c>
      <c r="BD101" s="10">
        <v>1.0</v>
      </c>
      <c r="BE101" s="10"/>
      <c r="BF101" s="9">
        <v>0.0</v>
      </c>
      <c r="BG101" s="9" t="s">
        <v>84</v>
      </c>
      <c r="BH101" s="9">
        <v>1.0</v>
      </c>
      <c r="BI101" s="9">
        <v>0.0</v>
      </c>
      <c r="BJ101" s="9">
        <v>0.0</v>
      </c>
      <c r="BK101" s="9">
        <v>0.0</v>
      </c>
      <c r="BL101" s="9">
        <v>0.0</v>
      </c>
      <c r="BM101" s="9">
        <v>0.0</v>
      </c>
      <c r="BN101" s="9">
        <v>0.0</v>
      </c>
      <c r="BO101" s="9">
        <v>0.0</v>
      </c>
      <c r="BP101" s="9" t="s">
        <v>84</v>
      </c>
      <c r="BQ101" s="9" t="s">
        <v>84</v>
      </c>
      <c r="BR101" s="9">
        <v>0.0</v>
      </c>
      <c r="BS101" s="9" t="s">
        <v>84</v>
      </c>
      <c r="BT101" s="9">
        <v>0.0</v>
      </c>
      <c r="BU101" s="9">
        <v>1.0</v>
      </c>
      <c r="BV101" s="9">
        <v>0.0</v>
      </c>
      <c r="BW101" s="10">
        <v>0.0</v>
      </c>
      <c r="BX101" s="14">
        <v>0.0</v>
      </c>
      <c r="BY101" s="9">
        <v>0.0</v>
      </c>
      <c r="BZ101" s="9">
        <v>0.0</v>
      </c>
      <c r="CA101" s="9">
        <v>0.0</v>
      </c>
      <c r="CB101" s="9">
        <v>0.0</v>
      </c>
      <c r="CC101" s="15" t="s">
        <v>104</v>
      </c>
      <c r="CD101" s="17"/>
    </row>
    <row r="102" ht="15.75" customHeight="1">
      <c r="A102" s="9">
        <v>101.0</v>
      </c>
      <c r="B102" s="10">
        <v>73.0</v>
      </c>
      <c r="C102" s="9" t="s">
        <v>81</v>
      </c>
      <c r="D102" s="11" t="s">
        <v>82</v>
      </c>
      <c r="E102" s="9" t="s">
        <v>83</v>
      </c>
      <c r="F102" s="12">
        <v>177.8</v>
      </c>
      <c r="G102" s="12">
        <v>106.0</v>
      </c>
      <c r="H102" s="12">
        <f t="shared" si="3"/>
        <v>33.53067931</v>
      </c>
      <c r="I102" s="9">
        <v>0.0</v>
      </c>
      <c r="J102" s="9">
        <v>2.0</v>
      </c>
      <c r="K102" s="9">
        <v>2.0</v>
      </c>
      <c r="L102" s="9">
        <v>0.0</v>
      </c>
      <c r="M102" s="9">
        <v>80.0</v>
      </c>
      <c r="N102" s="9">
        <v>0.0</v>
      </c>
      <c r="O102" s="9">
        <v>141.0</v>
      </c>
      <c r="P102" s="9">
        <v>0.0</v>
      </c>
      <c r="Q102" s="9">
        <v>18.0</v>
      </c>
      <c r="R102" s="9">
        <v>0.0</v>
      </c>
      <c r="S102" s="12">
        <v>97.8</v>
      </c>
      <c r="T102" s="9">
        <v>0.0</v>
      </c>
      <c r="U102" s="9">
        <v>96.0</v>
      </c>
      <c r="V102" s="9">
        <v>0.0</v>
      </c>
      <c r="W102" s="9">
        <v>0.0</v>
      </c>
      <c r="X102" s="9">
        <v>0.0</v>
      </c>
      <c r="Y102" s="9">
        <v>0.0</v>
      </c>
      <c r="Z102" s="9">
        <v>0.0</v>
      </c>
      <c r="AA102" s="9">
        <v>0.0</v>
      </c>
      <c r="AB102" s="9">
        <v>0.0</v>
      </c>
      <c r="AC102" s="9">
        <v>0.0</v>
      </c>
      <c r="AD102" s="9">
        <v>0.0</v>
      </c>
      <c r="AE102" s="9">
        <v>0.0</v>
      </c>
      <c r="AF102" s="9">
        <v>0.0</v>
      </c>
      <c r="AG102" s="9">
        <v>0.0</v>
      </c>
      <c r="AH102" s="9">
        <v>0.0</v>
      </c>
      <c r="AI102" s="9">
        <v>0.0</v>
      </c>
      <c r="AJ102" s="9">
        <v>0.0</v>
      </c>
      <c r="AK102" s="9">
        <v>0.0</v>
      </c>
      <c r="AL102" s="9">
        <v>0.0</v>
      </c>
      <c r="AM102" s="9">
        <v>0.0</v>
      </c>
      <c r="AN102" s="9">
        <v>0.0</v>
      </c>
      <c r="AO102" s="9">
        <v>1.0</v>
      </c>
      <c r="AP102" s="9">
        <v>1.0</v>
      </c>
      <c r="AQ102" s="9">
        <v>0.0</v>
      </c>
      <c r="AR102" s="9">
        <v>0.0</v>
      </c>
      <c r="AS102" s="9">
        <v>1.0</v>
      </c>
      <c r="AT102" s="9">
        <v>0.0</v>
      </c>
      <c r="AU102" s="9">
        <v>0.0</v>
      </c>
      <c r="AV102" s="9">
        <v>0.0</v>
      </c>
      <c r="AW102" s="9">
        <v>40.0</v>
      </c>
      <c r="AX102" s="13">
        <f>4.3/4.48</f>
        <v>0.9598214286</v>
      </c>
      <c r="AY102" s="10">
        <v>0.0</v>
      </c>
      <c r="AZ102" s="10">
        <v>0.0</v>
      </c>
      <c r="BA102" s="10">
        <v>1.0</v>
      </c>
      <c r="BB102" s="13">
        <f>2.48/2.97</f>
        <v>0.835016835</v>
      </c>
      <c r="BC102" s="10">
        <v>1.0</v>
      </c>
      <c r="BD102" s="10">
        <v>1.0</v>
      </c>
      <c r="BE102" s="10"/>
      <c r="BF102" s="9">
        <v>0.0</v>
      </c>
      <c r="BG102" s="9" t="s">
        <v>84</v>
      </c>
      <c r="BH102" s="9">
        <v>0.0</v>
      </c>
      <c r="BI102" s="9">
        <v>0.0</v>
      </c>
      <c r="BJ102" s="9">
        <v>0.0</v>
      </c>
      <c r="BK102" s="9">
        <v>0.0</v>
      </c>
      <c r="BL102" s="9">
        <v>0.0</v>
      </c>
      <c r="BM102" s="9">
        <v>0.0</v>
      </c>
      <c r="BN102" s="9">
        <v>0.0</v>
      </c>
      <c r="BO102" s="9">
        <v>0.0</v>
      </c>
      <c r="BP102" s="9" t="s">
        <v>84</v>
      </c>
      <c r="BQ102" s="9" t="s">
        <v>84</v>
      </c>
      <c r="BR102" s="9">
        <v>0.0</v>
      </c>
      <c r="BS102" s="9" t="s">
        <v>84</v>
      </c>
      <c r="BT102" s="9">
        <v>0.0</v>
      </c>
      <c r="BU102" s="9">
        <v>1.0</v>
      </c>
      <c r="BV102" s="9">
        <v>0.0</v>
      </c>
      <c r="BW102" s="10">
        <v>0.0</v>
      </c>
      <c r="BX102" s="14">
        <v>0.0</v>
      </c>
      <c r="BY102" s="9">
        <v>0.0</v>
      </c>
      <c r="BZ102" s="9">
        <v>0.0</v>
      </c>
      <c r="CA102" s="9">
        <v>0.0</v>
      </c>
      <c r="CB102" s="9">
        <v>0.0</v>
      </c>
      <c r="CC102" s="15" t="s">
        <v>89</v>
      </c>
      <c r="CD102" s="17"/>
    </row>
    <row r="103" ht="15.75" customHeight="1">
      <c r="A103" s="9">
        <v>102.0</v>
      </c>
      <c r="B103" s="10">
        <v>66.0</v>
      </c>
      <c r="C103" s="9" t="s">
        <v>86</v>
      </c>
      <c r="D103" s="11" t="s">
        <v>82</v>
      </c>
      <c r="E103" s="9" t="s">
        <v>93</v>
      </c>
      <c r="F103" s="12">
        <v>160.02</v>
      </c>
      <c r="G103" s="12">
        <v>68.0</v>
      </c>
      <c r="H103" s="12">
        <f t="shared" si="3"/>
        <v>26.55586062</v>
      </c>
      <c r="I103" s="9">
        <v>1.0</v>
      </c>
      <c r="J103" s="9">
        <v>4.0</v>
      </c>
      <c r="K103" s="9">
        <v>2.0</v>
      </c>
      <c r="L103" s="9">
        <v>0.0</v>
      </c>
      <c r="M103" s="9">
        <v>109.0</v>
      </c>
      <c r="N103" s="9">
        <v>0.0</v>
      </c>
      <c r="O103" s="9">
        <v>140.0</v>
      </c>
      <c r="P103" s="9">
        <v>0.0</v>
      </c>
      <c r="Q103" s="9">
        <v>22.0</v>
      </c>
      <c r="R103" s="9">
        <v>0.0</v>
      </c>
      <c r="S103" s="12">
        <v>98.0</v>
      </c>
      <c r="T103" s="9">
        <v>1.0</v>
      </c>
      <c r="U103" s="9" t="s">
        <v>84</v>
      </c>
      <c r="V103" s="9">
        <v>1.0</v>
      </c>
      <c r="W103" s="9">
        <v>0.0</v>
      </c>
      <c r="X103" s="9">
        <v>0.0</v>
      </c>
      <c r="Y103" s="9">
        <v>0.0</v>
      </c>
      <c r="Z103" s="9">
        <v>1.0</v>
      </c>
      <c r="AA103" s="9">
        <v>1.0</v>
      </c>
      <c r="AB103" s="9">
        <v>0.0</v>
      </c>
      <c r="AC103" s="9">
        <v>0.0</v>
      </c>
      <c r="AD103" s="9">
        <v>0.0</v>
      </c>
      <c r="AE103" s="9">
        <v>0.0</v>
      </c>
      <c r="AF103" s="9">
        <v>0.0</v>
      </c>
      <c r="AG103" s="9">
        <v>1.0</v>
      </c>
      <c r="AH103" s="9">
        <v>0.0</v>
      </c>
      <c r="AI103" s="9">
        <v>0.0</v>
      </c>
      <c r="AJ103" s="9">
        <v>0.0</v>
      </c>
      <c r="AK103" s="9">
        <v>0.0</v>
      </c>
      <c r="AL103" s="9">
        <v>0.0</v>
      </c>
      <c r="AM103" s="9">
        <v>0.0</v>
      </c>
      <c r="AN103" s="9">
        <v>0.0</v>
      </c>
      <c r="AO103" s="9" t="s">
        <v>84</v>
      </c>
      <c r="AP103" s="9" t="s">
        <v>84</v>
      </c>
      <c r="AQ103" s="9" t="s">
        <v>84</v>
      </c>
      <c r="AR103" s="9">
        <v>1.0</v>
      </c>
      <c r="AS103" s="9" t="s">
        <v>84</v>
      </c>
      <c r="AT103" s="9" t="s">
        <v>84</v>
      </c>
      <c r="AU103" s="9" t="s">
        <v>84</v>
      </c>
      <c r="AV103" s="9" t="s">
        <v>84</v>
      </c>
      <c r="AW103" s="9" t="s">
        <v>84</v>
      </c>
      <c r="AX103" s="13">
        <f>5/3.41</f>
        <v>1.46627566</v>
      </c>
      <c r="AY103" s="10">
        <v>0.0</v>
      </c>
      <c r="AZ103" s="10">
        <v>0.0</v>
      </c>
      <c r="BA103" s="10">
        <v>1.0</v>
      </c>
      <c r="BB103" s="13">
        <f>3.09/3.79</f>
        <v>0.8153034301</v>
      </c>
      <c r="BC103" s="10">
        <v>5.0</v>
      </c>
      <c r="BD103" s="10">
        <v>1.0</v>
      </c>
      <c r="BE103" s="10"/>
      <c r="BF103" s="9">
        <v>0.0</v>
      </c>
      <c r="BG103" s="9" t="s">
        <v>84</v>
      </c>
      <c r="BH103" s="9">
        <v>0.0</v>
      </c>
      <c r="BI103" s="9">
        <v>0.0</v>
      </c>
      <c r="BJ103" s="9">
        <v>0.0</v>
      </c>
      <c r="BK103" s="9">
        <v>0.0</v>
      </c>
      <c r="BL103" s="9">
        <v>0.0</v>
      </c>
      <c r="BM103" s="9">
        <v>0.0</v>
      </c>
      <c r="BN103" s="9">
        <v>0.0</v>
      </c>
      <c r="BO103" s="9">
        <v>0.0</v>
      </c>
      <c r="BP103" s="9" t="s">
        <v>84</v>
      </c>
      <c r="BQ103" s="9" t="s">
        <v>84</v>
      </c>
      <c r="BR103" s="9">
        <v>0.0</v>
      </c>
      <c r="BS103" s="9" t="s">
        <v>84</v>
      </c>
      <c r="BT103" s="9">
        <v>0.0</v>
      </c>
      <c r="BU103" s="9">
        <v>0.0</v>
      </c>
      <c r="BV103" s="9">
        <v>0.0</v>
      </c>
      <c r="BW103" s="10" t="s">
        <v>94</v>
      </c>
      <c r="BX103" s="14" t="s">
        <v>94</v>
      </c>
      <c r="BY103" s="9">
        <v>1.0</v>
      </c>
      <c r="BZ103" s="9">
        <v>1.0</v>
      </c>
      <c r="CA103" s="9">
        <v>0.0</v>
      </c>
      <c r="CB103" s="9">
        <v>0.0</v>
      </c>
      <c r="CC103" s="15" t="s">
        <v>104</v>
      </c>
      <c r="CD103" s="17"/>
    </row>
    <row r="104" ht="15.75" customHeight="1">
      <c r="A104" s="9">
        <v>103.0</v>
      </c>
      <c r="B104" s="10">
        <v>33.0</v>
      </c>
      <c r="C104" s="9" t="s">
        <v>86</v>
      </c>
      <c r="D104" s="11" t="s">
        <v>131</v>
      </c>
      <c r="E104" s="9" t="s">
        <v>132</v>
      </c>
      <c r="F104" s="12">
        <v>165.1</v>
      </c>
      <c r="G104" s="12">
        <v>94.4</v>
      </c>
      <c r="H104" s="12">
        <f t="shared" si="3"/>
        <v>34.63202193</v>
      </c>
      <c r="I104" s="9">
        <v>1.0</v>
      </c>
      <c r="J104" s="9">
        <v>1.0</v>
      </c>
      <c r="K104" s="9">
        <v>2.0</v>
      </c>
      <c r="L104" s="9">
        <v>1.0</v>
      </c>
      <c r="M104" s="9">
        <v>128.0</v>
      </c>
      <c r="N104" s="9">
        <v>0.0</v>
      </c>
      <c r="O104" s="9">
        <v>131.0</v>
      </c>
      <c r="P104" s="9">
        <v>0.0</v>
      </c>
      <c r="Q104" s="9">
        <v>22.0</v>
      </c>
      <c r="R104" s="9">
        <v>0.0</v>
      </c>
      <c r="S104" s="12">
        <v>97.6</v>
      </c>
      <c r="T104" s="9">
        <v>0.0</v>
      </c>
      <c r="U104" s="9">
        <v>98.0</v>
      </c>
      <c r="V104" s="9">
        <v>0.0</v>
      </c>
      <c r="W104" s="9">
        <v>0.0</v>
      </c>
      <c r="X104" s="9">
        <v>0.0</v>
      </c>
      <c r="Y104" s="9">
        <v>0.0</v>
      </c>
      <c r="Z104" s="9">
        <v>0.0</v>
      </c>
      <c r="AA104" s="9">
        <v>0.0</v>
      </c>
      <c r="AB104" s="9">
        <v>0.0</v>
      </c>
      <c r="AC104" s="9">
        <v>0.0</v>
      </c>
      <c r="AD104" s="9">
        <v>0.0</v>
      </c>
      <c r="AE104" s="9">
        <v>0.0</v>
      </c>
      <c r="AF104" s="9">
        <v>0.0</v>
      </c>
      <c r="AG104" s="9">
        <v>0.0</v>
      </c>
      <c r="AH104" s="9">
        <v>0.0</v>
      </c>
      <c r="AI104" s="9">
        <v>0.0</v>
      </c>
      <c r="AJ104" s="9">
        <v>0.0</v>
      </c>
      <c r="AK104" s="9">
        <v>0.0</v>
      </c>
      <c r="AL104" s="9">
        <v>0.0</v>
      </c>
      <c r="AM104" s="9">
        <v>0.0</v>
      </c>
      <c r="AN104" s="9">
        <v>0.0</v>
      </c>
      <c r="AO104" s="9" t="s">
        <v>84</v>
      </c>
      <c r="AP104" s="9" t="s">
        <v>84</v>
      </c>
      <c r="AQ104" s="9">
        <v>0.0</v>
      </c>
      <c r="AR104" s="9">
        <v>1.0</v>
      </c>
      <c r="AS104" s="9">
        <v>1.0</v>
      </c>
      <c r="AT104" s="9">
        <v>1.0</v>
      </c>
      <c r="AU104" s="9">
        <v>1.0</v>
      </c>
      <c r="AV104" s="9">
        <v>0.0</v>
      </c>
      <c r="AW104" s="9" t="s">
        <v>97</v>
      </c>
      <c r="AX104" s="13">
        <f>4.8/4.32</f>
        <v>1.111111111</v>
      </c>
      <c r="AY104" s="10">
        <v>0.0</v>
      </c>
      <c r="AZ104" s="10">
        <v>0.0</v>
      </c>
      <c r="BA104" s="10">
        <v>1.0</v>
      </c>
      <c r="BB104" s="13">
        <f>3.07/3.51</f>
        <v>0.8746438746</v>
      </c>
      <c r="BC104" s="10">
        <v>6.0</v>
      </c>
      <c r="BD104" s="10">
        <v>1.0</v>
      </c>
      <c r="BE104" s="10"/>
      <c r="BF104" s="9">
        <v>0.0</v>
      </c>
      <c r="BG104" s="9" t="s">
        <v>84</v>
      </c>
      <c r="BH104" s="9">
        <v>1.0</v>
      </c>
      <c r="BI104" s="9">
        <v>0.0</v>
      </c>
      <c r="BJ104" s="9">
        <v>0.0</v>
      </c>
      <c r="BK104" s="9">
        <v>0.0</v>
      </c>
      <c r="BL104" s="9">
        <v>0.0</v>
      </c>
      <c r="BM104" s="9">
        <v>0.0</v>
      </c>
      <c r="BN104" s="9">
        <v>0.0</v>
      </c>
      <c r="BO104" s="9">
        <v>1.0</v>
      </c>
      <c r="BP104" s="9">
        <v>0.0</v>
      </c>
      <c r="BQ104" s="9">
        <v>1.0</v>
      </c>
      <c r="BR104" s="9">
        <v>0.0</v>
      </c>
      <c r="BS104" s="9" t="s">
        <v>84</v>
      </c>
      <c r="BT104" s="9">
        <v>0.0</v>
      </c>
      <c r="BU104" s="9">
        <v>1.0</v>
      </c>
      <c r="BV104" s="9">
        <v>0.0</v>
      </c>
      <c r="BW104" s="10">
        <v>0.0</v>
      </c>
      <c r="BX104" s="14">
        <v>0.0</v>
      </c>
      <c r="BY104" s="9">
        <v>0.0</v>
      </c>
      <c r="BZ104" s="9">
        <v>0.0</v>
      </c>
      <c r="CA104" s="9">
        <v>0.0</v>
      </c>
      <c r="CB104" s="9">
        <v>0.0</v>
      </c>
      <c r="CC104" s="15" t="s">
        <v>102</v>
      </c>
      <c r="CD104" s="17"/>
    </row>
    <row r="105" ht="15.75" customHeight="1">
      <c r="A105" s="9">
        <v>104.0</v>
      </c>
      <c r="B105" s="10">
        <v>57.0</v>
      </c>
      <c r="C105" s="9" t="s">
        <v>81</v>
      </c>
      <c r="D105" s="11" t="s">
        <v>82</v>
      </c>
      <c r="E105" s="9" t="s">
        <v>103</v>
      </c>
      <c r="F105" s="12">
        <v>193.04</v>
      </c>
      <c r="G105" s="12">
        <v>113.4</v>
      </c>
      <c r="H105" s="12">
        <f t="shared" si="3"/>
        <v>30.43115505</v>
      </c>
      <c r="I105" s="9">
        <v>1.0</v>
      </c>
      <c r="J105" s="9">
        <v>3.0</v>
      </c>
      <c r="K105" s="9">
        <v>3.0</v>
      </c>
      <c r="L105" s="9">
        <v>1.0</v>
      </c>
      <c r="M105" s="9">
        <v>121.0</v>
      </c>
      <c r="N105" s="9">
        <v>0.0</v>
      </c>
      <c r="O105" s="9">
        <v>179.0</v>
      </c>
      <c r="P105" s="9">
        <v>0.0</v>
      </c>
      <c r="Q105" s="9">
        <v>24.0</v>
      </c>
      <c r="R105" s="9">
        <v>0.0</v>
      </c>
      <c r="S105" s="12">
        <v>97.8</v>
      </c>
      <c r="T105" s="9">
        <v>1.0</v>
      </c>
      <c r="U105" s="9">
        <v>77.0</v>
      </c>
      <c r="V105" s="9">
        <v>1.0</v>
      </c>
      <c r="W105" s="9">
        <v>0.0</v>
      </c>
      <c r="X105" s="9">
        <v>0.0</v>
      </c>
      <c r="Y105" s="9">
        <v>0.0</v>
      </c>
      <c r="Z105" s="9">
        <v>0.0</v>
      </c>
      <c r="AA105" s="9">
        <v>0.0</v>
      </c>
      <c r="AB105" s="9">
        <v>0.0</v>
      </c>
      <c r="AC105" s="9">
        <v>0.0</v>
      </c>
      <c r="AD105" s="9">
        <v>0.0</v>
      </c>
      <c r="AE105" s="9">
        <v>0.0</v>
      </c>
      <c r="AF105" s="9">
        <v>0.0</v>
      </c>
      <c r="AG105" s="9">
        <v>0.0</v>
      </c>
      <c r="AH105" s="9">
        <v>0.0</v>
      </c>
      <c r="AI105" s="9">
        <v>0.0</v>
      </c>
      <c r="AJ105" s="9">
        <v>0.0</v>
      </c>
      <c r="AK105" s="9">
        <v>0.0</v>
      </c>
      <c r="AL105" s="9">
        <v>0.0</v>
      </c>
      <c r="AM105" s="9">
        <v>0.0</v>
      </c>
      <c r="AN105" s="9">
        <v>0.0</v>
      </c>
      <c r="AO105" s="9">
        <v>1.0</v>
      </c>
      <c r="AP105" s="9">
        <v>1.0</v>
      </c>
      <c r="AQ105" s="9" t="s">
        <v>84</v>
      </c>
      <c r="AR105" s="9">
        <v>1.0</v>
      </c>
      <c r="AS105" s="9">
        <v>1.0</v>
      </c>
      <c r="AT105" s="9">
        <v>0.0</v>
      </c>
      <c r="AU105" s="9">
        <v>0.0</v>
      </c>
      <c r="AV105" s="9">
        <v>0.0</v>
      </c>
      <c r="AW105" s="9" t="s">
        <v>97</v>
      </c>
      <c r="AX105" s="13">
        <f>5.73/4.06</f>
        <v>1.411330049</v>
      </c>
      <c r="AY105" s="10">
        <v>0.0</v>
      </c>
      <c r="AZ105" s="10">
        <v>0.0</v>
      </c>
      <c r="BA105" s="10">
        <v>1.0</v>
      </c>
      <c r="BB105" s="13">
        <f>3.24/4.29</f>
        <v>0.7552447552</v>
      </c>
      <c r="BC105" s="10">
        <v>4.0</v>
      </c>
      <c r="BD105" s="10">
        <v>1.0</v>
      </c>
      <c r="BE105" s="10"/>
      <c r="BF105" s="9">
        <v>0.0</v>
      </c>
      <c r="BG105" s="9" t="s">
        <v>84</v>
      </c>
      <c r="BH105" s="9">
        <v>1.0</v>
      </c>
      <c r="BI105" s="9">
        <v>0.0</v>
      </c>
      <c r="BJ105" s="9">
        <v>0.0</v>
      </c>
      <c r="BK105" s="9">
        <v>0.0</v>
      </c>
      <c r="BL105" s="9">
        <v>0.0</v>
      </c>
      <c r="BM105" s="9">
        <v>1.0</v>
      </c>
      <c r="BN105" s="9">
        <v>0.0</v>
      </c>
      <c r="BO105" s="9">
        <v>1.0</v>
      </c>
      <c r="BP105" s="9">
        <v>1.0</v>
      </c>
      <c r="BQ105" s="9">
        <v>1.0</v>
      </c>
      <c r="BR105" s="9">
        <v>1.0</v>
      </c>
      <c r="BS105" s="9" t="s">
        <v>133</v>
      </c>
      <c r="BT105" s="9" t="s">
        <v>94</v>
      </c>
      <c r="BU105" s="9">
        <v>0.0</v>
      </c>
      <c r="BV105" s="9">
        <v>0.0</v>
      </c>
      <c r="BW105" s="10" t="s">
        <v>94</v>
      </c>
      <c r="BX105" s="14" t="s">
        <v>94</v>
      </c>
      <c r="BY105" s="9" t="s">
        <v>84</v>
      </c>
      <c r="BZ105" s="9" t="s">
        <v>84</v>
      </c>
      <c r="CA105" s="9">
        <v>0.0</v>
      </c>
      <c r="CB105" s="9">
        <v>0.0</v>
      </c>
      <c r="CC105" s="15" t="s">
        <v>101</v>
      </c>
      <c r="CD105" s="17"/>
    </row>
    <row r="106" ht="15.75" customHeight="1">
      <c r="A106" s="9">
        <v>105.0</v>
      </c>
      <c r="B106" s="10">
        <v>44.0</v>
      </c>
      <c r="C106" s="9" t="s">
        <v>81</v>
      </c>
      <c r="D106" s="11" t="s">
        <v>82</v>
      </c>
      <c r="E106" s="9" t="s">
        <v>134</v>
      </c>
      <c r="F106" s="12">
        <v>190.5</v>
      </c>
      <c r="G106" s="12">
        <v>158.0</v>
      </c>
      <c r="H106" s="12">
        <f t="shared" si="3"/>
        <v>43.53786485</v>
      </c>
      <c r="I106" s="9">
        <v>1.0</v>
      </c>
      <c r="J106" s="9">
        <v>2.0</v>
      </c>
      <c r="K106" s="9">
        <v>3.0</v>
      </c>
      <c r="L106" s="9">
        <v>1.0</v>
      </c>
      <c r="M106" s="9">
        <v>116.0</v>
      </c>
      <c r="N106" s="9">
        <v>0.0</v>
      </c>
      <c r="O106" s="9">
        <v>155.0</v>
      </c>
      <c r="P106" s="9">
        <v>0.0</v>
      </c>
      <c r="Q106" s="9">
        <v>19.0</v>
      </c>
      <c r="R106" s="9">
        <v>0.0</v>
      </c>
      <c r="S106" s="12">
        <v>97.9</v>
      </c>
      <c r="T106" s="9">
        <v>0.0</v>
      </c>
      <c r="U106" s="9">
        <v>98.0</v>
      </c>
      <c r="V106" s="9">
        <v>0.0</v>
      </c>
      <c r="W106" s="9">
        <v>0.0</v>
      </c>
      <c r="X106" s="9">
        <v>0.0</v>
      </c>
      <c r="Y106" s="9">
        <v>1.0</v>
      </c>
      <c r="Z106" s="9">
        <v>0.0</v>
      </c>
      <c r="AA106" s="9">
        <v>0.0</v>
      </c>
      <c r="AB106" s="9">
        <v>0.0</v>
      </c>
      <c r="AC106" s="9">
        <v>0.0</v>
      </c>
      <c r="AD106" s="9">
        <v>0.0</v>
      </c>
      <c r="AE106" s="9">
        <v>0.0</v>
      </c>
      <c r="AF106" s="9">
        <v>0.0</v>
      </c>
      <c r="AG106" s="9">
        <v>0.0</v>
      </c>
      <c r="AH106" s="9">
        <v>0.0</v>
      </c>
      <c r="AI106" s="9">
        <v>0.0</v>
      </c>
      <c r="AJ106" s="9">
        <v>0.0</v>
      </c>
      <c r="AK106" s="9">
        <v>1.0</v>
      </c>
      <c r="AL106" s="9">
        <v>0.0</v>
      </c>
      <c r="AM106" s="9">
        <v>0.0</v>
      </c>
      <c r="AN106" s="9">
        <v>0.0</v>
      </c>
      <c r="AO106" s="9">
        <v>1.0</v>
      </c>
      <c r="AP106" s="9">
        <v>1.0</v>
      </c>
      <c r="AQ106" s="9">
        <v>0.0</v>
      </c>
      <c r="AR106" s="9">
        <v>0.0</v>
      </c>
      <c r="AS106" s="9">
        <v>1.0</v>
      </c>
      <c r="AT106" s="9">
        <v>1.0</v>
      </c>
      <c r="AU106" s="9">
        <v>1.0</v>
      </c>
      <c r="AV106" s="9">
        <v>0.0</v>
      </c>
      <c r="AW106" s="9">
        <v>50.0</v>
      </c>
      <c r="AX106" s="13">
        <f>5.34/5.59</f>
        <v>0.9552772809</v>
      </c>
      <c r="AY106" s="10">
        <v>0.0</v>
      </c>
      <c r="AZ106" s="10">
        <v>0.0</v>
      </c>
      <c r="BA106" s="10">
        <v>1.0</v>
      </c>
      <c r="BB106" s="13">
        <f>3.37/3.52</f>
        <v>0.9573863636</v>
      </c>
      <c r="BC106" s="10">
        <v>1.0</v>
      </c>
      <c r="BD106" s="10">
        <v>0.0</v>
      </c>
      <c r="BE106" s="10"/>
      <c r="BF106" s="9">
        <v>0.0</v>
      </c>
      <c r="BG106" s="9" t="s">
        <v>84</v>
      </c>
      <c r="BH106" s="9">
        <v>1.0</v>
      </c>
      <c r="BI106" s="9">
        <v>0.0</v>
      </c>
      <c r="BJ106" s="9">
        <v>0.0</v>
      </c>
      <c r="BK106" s="9">
        <v>0.0</v>
      </c>
      <c r="BL106" s="9">
        <v>0.0</v>
      </c>
      <c r="BM106" s="9">
        <v>1.0</v>
      </c>
      <c r="BN106" s="9">
        <v>0.0</v>
      </c>
      <c r="BO106" s="9">
        <v>1.0</v>
      </c>
      <c r="BP106" s="9">
        <v>1.0</v>
      </c>
      <c r="BQ106" s="9">
        <v>1.0</v>
      </c>
      <c r="BR106" s="9">
        <v>0.0</v>
      </c>
      <c r="BS106" s="9" t="s">
        <v>84</v>
      </c>
      <c r="BT106" s="9">
        <v>0.0</v>
      </c>
      <c r="BU106" s="9">
        <v>1.0</v>
      </c>
      <c r="BV106" s="9">
        <v>0.0</v>
      </c>
      <c r="BW106" s="10">
        <v>0.0</v>
      </c>
      <c r="BX106" s="14">
        <v>0.0</v>
      </c>
      <c r="BY106" s="9">
        <v>0.0</v>
      </c>
      <c r="BZ106" s="9">
        <v>1.0</v>
      </c>
      <c r="CA106" s="9">
        <v>0.0</v>
      </c>
      <c r="CB106" s="9">
        <v>1.0</v>
      </c>
      <c r="CC106" s="15" t="s">
        <v>92</v>
      </c>
      <c r="CD106" s="17"/>
    </row>
    <row r="107" ht="15.75" customHeight="1">
      <c r="A107" s="9">
        <v>106.0</v>
      </c>
      <c r="B107" s="10">
        <v>76.0</v>
      </c>
      <c r="C107" s="9" t="s">
        <v>81</v>
      </c>
      <c r="D107" s="11" t="s">
        <v>88</v>
      </c>
      <c r="E107" s="9" t="s">
        <v>96</v>
      </c>
      <c r="F107" s="12">
        <v>180.34</v>
      </c>
      <c r="G107" s="12">
        <v>83.0</v>
      </c>
      <c r="H107" s="12">
        <f t="shared" si="3"/>
        <v>25.52078106</v>
      </c>
      <c r="I107" s="9">
        <v>0.0</v>
      </c>
      <c r="J107" s="9">
        <v>3.0</v>
      </c>
      <c r="K107" s="9">
        <v>2.0</v>
      </c>
      <c r="L107" s="9">
        <v>0.0</v>
      </c>
      <c r="M107" s="9">
        <v>84.0</v>
      </c>
      <c r="N107" s="9">
        <v>0.0</v>
      </c>
      <c r="O107" s="9">
        <v>119.0</v>
      </c>
      <c r="P107" s="9">
        <v>0.0</v>
      </c>
      <c r="Q107" s="9">
        <v>18.0</v>
      </c>
      <c r="R107" s="9">
        <v>0.0</v>
      </c>
      <c r="S107" s="12">
        <v>97.0</v>
      </c>
      <c r="T107" s="9">
        <v>0.0</v>
      </c>
      <c r="U107" s="9">
        <v>96.0</v>
      </c>
      <c r="V107" s="9">
        <v>0.0</v>
      </c>
      <c r="W107" s="9">
        <v>0.0</v>
      </c>
      <c r="X107" s="9">
        <v>0.0</v>
      </c>
      <c r="Y107" s="9">
        <v>0.0</v>
      </c>
      <c r="Z107" s="9">
        <v>0.0</v>
      </c>
      <c r="AA107" s="9">
        <v>0.0</v>
      </c>
      <c r="AB107" s="9">
        <v>0.0</v>
      </c>
      <c r="AC107" s="9">
        <v>0.0</v>
      </c>
      <c r="AD107" s="9">
        <v>0.0</v>
      </c>
      <c r="AE107" s="9">
        <v>0.0</v>
      </c>
      <c r="AF107" s="9">
        <v>0.0</v>
      </c>
      <c r="AG107" s="9">
        <v>0.0</v>
      </c>
      <c r="AH107" s="9">
        <v>0.0</v>
      </c>
      <c r="AI107" s="9">
        <v>1.0</v>
      </c>
      <c r="AJ107" s="9">
        <v>1.0</v>
      </c>
      <c r="AK107" s="9">
        <v>0.0</v>
      </c>
      <c r="AL107" s="9">
        <v>0.0</v>
      </c>
      <c r="AM107" s="9">
        <v>0.0</v>
      </c>
      <c r="AN107" s="9">
        <v>0.0</v>
      </c>
      <c r="AO107" s="9">
        <v>1.0</v>
      </c>
      <c r="AP107" s="9">
        <v>1.0</v>
      </c>
      <c r="AQ107" s="9">
        <v>1.0</v>
      </c>
      <c r="AR107" s="9">
        <v>0.0</v>
      </c>
      <c r="AS107" s="9">
        <v>1.0</v>
      </c>
      <c r="AT107" s="9">
        <v>1.0</v>
      </c>
      <c r="AU107" s="9">
        <v>1.0</v>
      </c>
      <c r="AV107" s="9">
        <v>0.0</v>
      </c>
      <c r="AW107" s="9">
        <v>27.0</v>
      </c>
      <c r="AX107" s="13">
        <f>5.26/4.25</f>
        <v>1.237647059</v>
      </c>
      <c r="AY107" s="10">
        <v>0.0</v>
      </c>
      <c r="AZ107" s="10">
        <v>0.0</v>
      </c>
      <c r="BA107" s="10">
        <v>1.0</v>
      </c>
      <c r="BB107" s="13">
        <f>2.91/3.26</f>
        <v>0.8926380368</v>
      </c>
      <c r="BC107" s="10">
        <v>4.0</v>
      </c>
      <c r="BD107" s="10">
        <v>1.0</v>
      </c>
      <c r="BE107" s="10"/>
      <c r="BF107" s="9">
        <v>0.0</v>
      </c>
      <c r="BG107" s="9" t="s">
        <v>84</v>
      </c>
      <c r="BH107" s="9">
        <v>1.0</v>
      </c>
      <c r="BI107" s="9">
        <v>0.0</v>
      </c>
      <c r="BJ107" s="9">
        <v>0.0</v>
      </c>
      <c r="BK107" s="9">
        <v>0.0</v>
      </c>
      <c r="BL107" s="9">
        <v>0.0</v>
      </c>
      <c r="BM107" s="9">
        <v>0.0</v>
      </c>
      <c r="BN107" s="9">
        <v>0.0</v>
      </c>
      <c r="BO107" s="9">
        <v>1.0</v>
      </c>
      <c r="BP107" s="9">
        <v>0.0</v>
      </c>
      <c r="BQ107" s="9">
        <v>1.0</v>
      </c>
      <c r="BR107" s="9">
        <v>0.0</v>
      </c>
      <c r="BS107" s="9" t="s">
        <v>84</v>
      </c>
      <c r="BT107" s="9">
        <v>0.0</v>
      </c>
      <c r="BU107" s="9">
        <v>0.0</v>
      </c>
      <c r="BV107" s="9">
        <v>0.0</v>
      </c>
      <c r="BW107" s="10">
        <v>0.0</v>
      </c>
      <c r="BX107" s="14">
        <v>0.0</v>
      </c>
      <c r="BY107" s="9">
        <v>0.0</v>
      </c>
      <c r="BZ107" s="9">
        <v>1.0</v>
      </c>
      <c r="CA107" s="9">
        <v>0.0</v>
      </c>
      <c r="CB107" s="9">
        <v>0.0</v>
      </c>
      <c r="CC107" s="15" t="s">
        <v>87</v>
      </c>
      <c r="CD107" s="17"/>
    </row>
    <row r="108" ht="15.75" customHeight="1">
      <c r="A108" s="9">
        <v>107.0</v>
      </c>
      <c r="B108" s="10">
        <v>61.0</v>
      </c>
      <c r="C108" s="9" t="s">
        <v>81</v>
      </c>
      <c r="D108" s="11" t="s">
        <v>82</v>
      </c>
      <c r="E108" s="9" t="s">
        <v>103</v>
      </c>
      <c r="F108" s="12">
        <v>187.96</v>
      </c>
      <c r="G108" s="12">
        <v>137.7</v>
      </c>
      <c r="H108" s="12">
        <f t="shared" si="3"/>
        <v>38.97652061</v>
      </c>
      <c r="I108" s="9">
        <v>0.0</v>
      </c>
      <c r="J108" s="9">
        <v>2.0</v>
      </c>
      <c r="K108" s="9">
        <v>2.0</v>
      </c>
      <c r="L108" s="9">
        <v>0.0</v>
      </c>
      <c r="M108" s="9">
        <v>103.0</v>
      </c>
      <c r="N108" s="9">
        <v>0.0</v>
      </c>
      <c r="O108" s="9">
        <v>132.0</v>
      </c>
      <c r="P108" s="9">
        <v>0.0</v>
      </c>
      <c r="Q108" s="9">
        <v>20.0</v>
      </c>
      <c r="R108" s="9">
        <v>0.0</v>
      </c>
      <c r="S108" s="12">
        <v>97.1</v>
      </c>
      <c r="T108" s="9">
        <v>0.0</v>
      </c>
      <c r="U108" s="9">
        <v>93.0</v>
      </c>
      <c r="V108" s="9">
        <v>1.0</v>
      </c>
      <c r="W108" s="9">
        <v>0.0</v>
      </c>
      <c r="X108" s="9">
        <v>0.0</v>
      </c>
      <c r="Y108" s="9">
        <v>0.0</v>
      </c>
      <c r="Z108" s="9">
        <v>0.0</v>
      </c>
      <c r="AA108" s="9">
        <v>0.0</v>
      </c>
      <c r="AB108" s="9">
        <v>0.0</v>
      </c>
      <c r="AC108" s="9">
        <v>1.0</v>
      </c>
      <c r="AD108" s="9">
        <v>0.0</v>
      </c>
      <c r="AE108" s="9">
        <v>0.0</v>
      </c>
      <c r="AF108" s="9">
        <v>0.0</v>
      </c>
      <c r="AG108" s="9">
        <v>1.0</v>
      </c>
      <c r="AH108" s="9">
        <v>0.0</v>
      </c>
      <c r="AI108" s="9">
        <v>0.0</v>
      </c>
      <c r="AJ108" s="9">
        <v>0.0</v>
      </c>
      <c r="AK108" s="9">
        <v>0.0</v>
      </c>
      <c r="AL108" s="9">
        <v>0.0</v>
      </c>
      <c r="AM108" s="9">
        <v>0.0</v>
      </c>
      <c r="AN108" s="9">
        <v>0.0</v>
      </c>
      <c r="AO108" s="9">
        <v>1.0</v>
      </c>
      <c r="AP108" s="9">
        <v>1.0</v>
      </c>
      <c r="AQ108" s="9">
        <v>0.0</v>
      </c>
      <c r="AR108" s="9">
        <v>1.0</v>
      </c>
      <c r="AS108" s="9">
        <v>1.0</v>
      </c>
      <c r="AT108" s="9">
        <v>1.0</v>
      </c>
      <c r="AU108" s="9">
        <v>1.0</v>
      </c>
      <c r="AV108" s="9">
        <v>0.0</v>
      </c>
      <c r="AW108" s="9" t="s">
        <v>97</v>
      </c>
      <c r="AX108" s="13">
        <f>4.55/5.93</f>
        <v>0.7672849916</v>
      </c>
      <c r="AY108" s="10">
        <v>0.0</v>
      </c>
      <c r="AZ108" s="10">
        <v>0.0</v>
      </c>
      <c r="BA108" s="10">
        <v>0.0</v>
      </c>
      <c r="BB108" s="13">
        <f>3.39/3.84</f>
        <v>0.8828125</v>
      </c>
      <c r="BC108" s="10">
        <v>1.0</v>
      </c>
      <c r="BD108" s="10">
        <v>0.0</v>
      </c>
      <c r="BE108" s="10"/>
      <c r="BF108" s="9">
        <v>0.0</v>
      </c>
      <c r="BG108" s="9" t="s">
        <v>84</v>
      </c>
      <c r="BH108" s="9">
        <v>1.0</v>
      </c>
      <c r="BI108" s="9">
        <v>0.0</v>
      </c>
      <c r="BJ108" s="9">
        <v>0.0</v>
      </c>
      <c r="BK108" s="9">
        <v>0.0</v>
      </c>
      <c r="BL108" s="9">
        <v>0.0</v>
      </c>
      <c r="BM108" s="9">
        <v>0.0</v>
      </c>
      <c r="BN108" s="9">
        <v>0.0</v>
      </c>
      <c r="BO108" s="9">
        <v>1.0</v>
      </c>
      <c r="BP108" s="9">
        <v>0.0</v>
      </c>
      <c r="BQ108" s="9">
        <v>1.0</v>
      </c>
      <c r="BR108" s="9">
        <v>0.0</v>
      </c>
      <c r="BS108" s="9" t="s">
        <v>84</v>
      </c>
      <c r="BT108" s="9">
        <v>0.0</v>
      </c>
      <c r="BU108" s="9">
        <v>1.0</v>
      </c>
      <c r="BV108" s="9">
        <v>0.0</v>
      </c>
      <c r="BW108" s="10">
        <v>0.0</v>
      </c>
      <c r="BX108" s="14">
        <v>0.0</v>
      </c>
      <c r="BY108" s="9">
        <v>0.0</v>
      </c>
      <c r="BZ108" s="9">
        <v>1.0</v>
      </c>
      <c r="CA108" s="9">
        <v>0.0</v>
      </c>
      <c r="CB108" s="9">
        <v>0.0</v>
      </c>
      <c r="CC108" s="15" t="s">
        <v>113</v>
      </c>
      <c r="CD108" s="17"/>
    </row>
    <row r="109" ht="15.75" customHeight="1">
      <c r="A109" s="9">
        <v>108.0</v>
      </c>
      <c r="B109" s="10">
        <v>54.0</v>
      </c>
      <c r="C109" s="9" t="s">
        <v>86</v>
      </c>
      <c r="D109" s="11" t="s">
        <v>88</v>
      </c>
      <c r="E109" s="9" t="s">
        <v>119</v>
      </c>
      <c r="F109" s="12">
        <v>157.48</v>
      </c>
      <c r="G109" s="12">
        <v>58.1</v>
      </c>
      <c r="H109" s="12">
        <f t="shared" si="3"/>
        <v>23.42746621</v>
      </c>
      <c r="I109" s="9">
        <v>1.0</v>
      </c>
      <c r="J109" s="9">
        <v>3.0</v>
      </c>
      <c r="K109" s="9">
        <v>1.0</v>
      </c>
      <c r="L109" s="9">
        <v>0.0</v>
      </c>
      <c r="M109" s="9">
        <v>107.0</v>
      </c>
      <c r="N109" s="9">
        <v>0.0</v>
      </c>
      <c r="O109" s="9">
        <v>112.0</v>
      </c>
      <c r="P109" s="9">
        <v>0.0</v>
      </c>
      <c r="Q109" s="9">
        <v>18.0</v>
      </c>
      <c r="R109" s="9">
        <v>0.0</v>
      </c>
      <c r="S109" s="12">
        <v>98.7</v>
      </c>
      <c r="T109" s="9">
        <v>0.0</v>
      </c>
      <c r="U109" s="9">
        <v>99.0</v>
      </c>
      <c r="V109" s="9">
        <v>0.0</v>
      </c>
      <c r="W109" s="9">
        <v>0.0</v>
      </c>
      <c r="X109" s="9">
        <v>0.0</v>
      </c>
      <c r="Y109" s="9">
        <v>0.0</v>
      </c>
      <c r="Z109" s="9">
        <v>1.0</v>
      </c>
      <c r="AA109" s="9">
        <v>0.0</v>
      </c>
      <c r="AB109" s="9">
        <v>0.0</v>
      </c>
      <c r="AC109" s="9">
        <v>0.0</v>
      </c>
      <c r="AD109" s="9">
        <v>0.0</v>
      </c>
      <c r="AE109" s="9">
        <v>0.0</v>
      </c>
      <c r="AF109" s="9">
        <v>0.0</v>
      </c>
      <c r="AG109" s="9">
        <v>0.0</v>
      </c>
      <c r="AH109" s="9">
        <v>0.0</v>
      </c>
      <c r="AI109" s="9">
        <v>0.0</v>
      </c>
      <c r="AJ109" s="9">
        <v>0.0</v>
      </c>
      <c r="AK109" s="9">
        <v>0.0</v>
      </c>
      <c r="AL109" s="9">
        <v>0.0</v>
      </c>
      <c r="AM109" s="9">
        <v>0.0</v>
      </c>
      <c r="AN109" s="9">
        <v>0.0</v>
      </c>
      <c r="AO109" s="9">
        <v>1.0</v>
      </c>
      <c r="AP109" s="9">
        <v>0.0</v>
      </c>
      <c r="AQ109" s="9" t="s">
        <v>84</v>
      </c>
      <c r="AR109" s="9">
        <v>0.0</v>
      </c>
      <c r="AS109" s="9" t="s">
        <v>84</v>
      </c>
      <c r="AT109" s="9" t="s">
        <v>84</v>
      </c>
      <c r="AU109" s="9" t="s">
        <v>84</v>
      </c>
      <c r="AV109" s="9" t="s">
        <v>84</v>
      </c>
      <c r="AW109" s="9" t="s">
        <v>84</v>
      </c>
      <c r="AX109" s="13">
        <f>3.45/3.35</f>
        <v>1.029850746</v>
      </c>
      <c r="AY109" s="10">
        <v>0.0</v>
      </c>
      <c r="AZ109" s="10">
        <v>0.0</v>
      </c>
      <c r="BA109" s="10">
        <v>1.0</v>
      </c>
      <c r="BB109" s="13">
        <f>2.66/3.12</f>
        <v>0.8525641026</v>
      </c>
      <c r="BC109" s="10">
        <v>1.0</v>
      </c>
      <c r="BD109" s="10">
        <v>0.0</v>
      </c>
      <c r="BE109" s="10"/>
      <c r="BF109" s="9">
        <v>0.0</v>
      </c>
      <c r="BG109" s="9" t="s">
        <v>84</v>
      </c>
      <c r="BH109" s="9">
        <v>0.0</v>
      </c>
      <c r="BI109" s="9">
        <v>0.0</v>
      </c>
      <c r="BJ109" s="9">
        <v>0.0</v>
      </c>
      <c r="BK109" s="9">
        <v>0.0</v>
      </c>
      <c r="BL109" s="9">
        <v>0.0</v>
      </c>
      <c r="BM109" s="9">
        <v>0.0</v>
      </c>
      <c r="BN109" s="9">
        <v>0.0</v>
      </c>
      <c r="BO109" s="9">
        <v>0.0</v>
      </c>
      <c r="BP109" s="9" t="s">
        <v>84</v>
      </c>
      <c r="BQ109" s="9" t="s">
        <v>84</v>
      </c>
      <c r="BR109" s="9">
        <v>0.0</v>
      </c>
      <c r="BS109" s="9" t="s">
        <v>84</v>
      </c>
      <c r="BT109" s="9">
        <v>0.0</v>
      </c>
      <c r="BU109" s="9">
        <v>0.0</v>
      </c>
      <c r="BV109" s="9">
        <v>0.0</v>
      </c>
      <c r="BW109" s="10">
        <v>0.0</v>
      </c>
      <c r="BX109" s="14">
        <v>1.0</v>
      </c>
      <c r="BY109" s="9">
        <v>0.0</v>
      </c>
      <c r="BZ109" s="9">
        <v>1.0</v>
      </c>
      <c r="CA109" s="9">
        <v>0.0</v>
      </c>
      <c r="CB109" s="9">
        <v>0.0</v>
      </c>
      <c r="CC109" s="15" t="s">
        <v>104</v>
      </c>
      <c r="CD109" s="17"/>
    </row>
    <row r="110" ht="15.75" customHeight="1">
      <c r="A110" s="9">
        <v>109.0</v>
      </c>
      <c r="B110" s="10">
        <v>65.0</v>
      </c>
      <c r="C110" s="9" t="s">
        <v>81</v>
      </c>
      <c r="D110" s="11" t="s">
        <v>88</v>
      </c>
      <c r="E110" s="9" t="s">
        <v>83</v>
      </c>
      <c r="F110" s="12">
        <v>185.42000000000002</v>
      </c>
      <c r="G110" s="12">
        <v>136.1</v>
      </c>
      <c r="H110" s="12">
        <f t="shared" si="3"/>
        <v>39.58630548</v>
      </c>
      <c r="I110" s="9">
        <v>0.0</v>
      </c>
      <c r="J110" s="9">
        <v>2.0</v>
      </c>
      <c r="K110" s="9">
        <v>1.0</v>
      </c>
      <c r="L110" s="9">
        <v>0.0</v>
      </c>
      <c r="M110" s="9">
        <v>99.0</v>
      </c>
      <c r="N110" s="9">
        <v>0.0</v>
      </c>
      <c r="O110" s="9">
        <v>140.0</v>
      </c>
      <c r="P110" s="9">
        <v>0.0</v>
      </c>
      <c r="Q110" s="9">
        <v>20.0</v>
      </c>
      <c r="R110" s="9">
        <v>0.0</v>
      </c>
      <c r="S110" s="12">
        <v>99.7</v>
      </c>
      <c r="T110" s="9">
        <v>0.0</v>
      </c>
      <c r="U110" s="9">
        <v>97.0</v>
      </c>
      <c r="V110" s="9">
        <v>1.0</v>
      </c>
      <c r="W110" s="9">
        <v>0.0</v>
      </c>
      <c r="X110" s="9">
        <v>0.0</v>
      </c>
      <c r="Y110" s="9">
        <v>1.0</v>
      </c>
      <c r="Z110" s="9">
        <v>0.0</v>
      </c>
      <c r="AA110" s="9">
        <v>0.0</v>
      </c>
      <c r="AB110" s="9">
        <v>0.0</v>
      </c>
      <c r="AC110" s="9">
        <v>0.0</v>
      </c>
      <c r="AD110" s="9">
        <v>0.0</v>
      </c>
      <c r="AE110" s="9">
        <v>0.0</v>
      </c>
      <c r="AF110" s="9">
        <v>0.0</v>
      </c>
      <c r="AG110" s="9">
        <v>0.0</v>
      </c>
      <c r="AH110" s="9">
        <v>0.0</v>
      </c>
      <c r="AI110" s="9">
        <v>0.0</v>
      </c>
      <c r="AJ110" s="9">
        <v>0.0</v>
      </c>
      <c r="AK110" s="9">
        <v>1.0</v>
      </c>
      <c r="AL110" s="9">
        <v>0.0</v>
      </c>
      <c r="AM110" s="9">
        <v>0.0</v>
      </c>
      <c r="AN110" s="9">
        <v>0.0</v>
      </c>
      <c r="AO110" s="9">
        <v>3.0</v>
      </c>
      <c r="AP110" s="9" t="s">
        <v>84</v>
      </c>
      <c r="AQ110" s="9" t="s">
        <v>84</v>
      </c>
      <c r="AR110" s="9">
        <v>0.0</v>
      </c>
      <c r="AS110" s="9">
        <v>0.0</v>
      </c>
      <c r="AT110" s="9">
        <v>0.0</v>
      </c>
      <c r="AU110" s="9">
        <v>0.0</v>
      </c>
      <c r="AV110" s="9">
        <v>0.0</v>
      </c>
      <c r="AW110" s="9">
        <v>24.0</v>
      </c>
      <c r="AX110" s="13">
        <f>4.22/5.26</f>
        <v>0.8022813688</v>
      </c>
      <c r="AY110" s="10">
        <v>0.0</v>
      </c>
      <c r="AZ110" s="10">
        <v>0.0</v>
      </c>
      <c r="BA110" s="10">
        <v>0.0</v>
      </c>
      <c r="BB110" s="13">
        <f>3.01/3.66</f>
        <v>0.8224043716</v>
      </c>
      <c r="BC110" s="10">
        <v>1.0</v>
      </c>
      <c r="BD110" s="10">
        <v>0.0</v>
      </c>
      <c r="BE110" s="10"/>
      <c r="BF110" s="9">
        <v>0.0</v>
      </c>
      <c r="BG110" s="9" t="s">
        <v>84</v>
      </c>
      <c r="BH110" s="9">
        <v>1.0</v>
      </c>
      <c r="BI110" s="9">
        <v>0.0</v>
      </c>
      <c r="BJ110" s="9">
        <v>0.0</v>
      </c>
      <c r="BK110" s="9">
        <v>0.0</v>
      </c>
      <c r="BL110" s="9">
        <v>0.0</v>
      </c>
      <c r="BM110" s="9">
        <v>0.0</v>
      </c>
      <c r="BN110" s="9">
        <v>0.0</v>
      </c>
      <c r="BO110" s="9">
        <v>0.0</v>
      </c>
      <c r="BP110" s="9" t="s">
        <v>84</v>
      </c>
      <c r="BQ110" s="9" t="s">
        <v>84</v>
      </c>
      <c r="BR110" s="9">
        <v>0.0</v>
      </c>
      <c r="BS110" s="9" t="s">
        <v>84</v>
      </c>
      <c r="BT110" s="9">
        <v>0.0</v>
      </c>
      <c r="BU110" s="9">
        <v>0.0</v>
      </c>
      <c r="BV110" s="9">
        <v>0.0</v>
      </c>
      <c r="BW110" s="10">
        <v>0.0</v>
      </c>
      <c r="BX110" s="14">
        <v>0.0</v>
      </c>
      <c r="BY110" s="9">
        <v>0.0</v>
      </c>
      <c r="BZ110" s="9">
        <v>0.0</v>
      </c>
      <c r="CA110" s="9">
        <v>0.0</v>
      </c>
      <c r="CB110" s="9">
        <v>0.0</v>
      </c>
      <c r="CC110" s="15" t="s">
        <v>92</v>
      </c>
      <c r="CD110" s="17"/>
    </row>
    <row r="111" ht="15.75" customHeight="1">
      <c r="A111" s="9">
        <v>110.0</v>
      </c>
      <c r="B111" s="10">
        <v>59.0</v>
      </c>
      <c r="C111" s="9" t="s">
        <v>86</v>
      </c>
      <c r="D111" s="11" t="s">
        <v>82</v>
      </c>
      <c r="E111" s="9" t="s">
        <v>83</v>
      </c>
      <c r="F111" s="12">
        <v>162.56</v>
      </c>
      <c r="G111" s="12">
        <v>68.0</v>
      </c>
      <c r="H111" s="12">
        <f t="shared" si="3"/>
        <v>25.73247334</v>
      </c>
      <c r="I111" s="9">
        <v>1.0</v>
      </c>
      <c r="J111" s="9">
        <v>2.0</v>
      </c>
      <c r="K111" s="9">
        <v>2.0</v>
      </c>
      <c r="L111" s="9">
        <v>1.0</v>
      </c>
      <c r="M111" s="9">
        <v>113.0</v>
      </c>
      <c r="N111" s="9">
        <v>0.0</v>
      </c>
      <c r="O111" s="9">
        <v>183.0</v>
      </c>
      <c r="P111" s="9">
        <v>0.0</v>
      </c>
      <c r="Q111" s="9">
        <v>22.0</v>
      </c>
      <c r="R111" s="9">
        <v>0.0</v>
      </c>
      <c r="S111" s="12">
        <v>97.3</v>
      </c>
      <c r="T111" s="9">
        <v>0.0</v>
      </c>
      <c r="U111" s="9">
        <v>96.0</v>
      </c>
      <c r="V111" s="9">
        <v>1.0</v>
      </c>
      <c r="W111" s="9">
        <v>0.0</v>
      </c>
      <c r="X111" s="9">
        <v>0.0</v>
      </c>
      <c r="Y111" s="9">
        <v>0.0</v>
      </c>
      <c r="Z111" s="9">
        <v>0.0</v>
      </c>
      <c r="AA111" s="9">
        <v>0.0</v>
      </c>
      <c r="AB111" s="9">
        <v>0.0</v>
      </c>
      <c r="AC111" s="9">
        <v>1.0</v>
      </c>
      <c r="AD111" s="9">
        <v>0.0</v>
      </c>
      <c r="AE111" s="9">
        <v>0.0</v>
      </c>
      <c r="AF111" s="9">
        <v>0.0</v>
      </c>
      <c r="AG111" s="9">
        <v>1.0</v>
      </c>
      <c r="AH111" s="9">
        <v>0.0</v>
      </c>
      <c r="AI111" s="9">
        <v>1.0</v>
      </c>
      <c r="AJ111" s="9">
        <v>0.0</v>
      </c>
      <c r="AK111" s="9">
        <v>0.0</v>
      </c>
      <c r="AL111" s="9">
        <v>0.0</v>
      </c>
      <c r="AM111" s="9">
        <v>0.0</v>
      </c>
      <c r="AN111" s="9">
        <v>0.0</v>
      </c>
      <c r="AO111" s="9">
        <v>3.0</v>
      </c>
      <c r="AP111" s="9" t="s">
        <v>84</v>
      </c>
      <c r="AQ111" s="9">
        <v>1.0</v>
      </c>
      <c r="AR111" s="9">
        <v>1.0</v>
      </c>
      <c r="AS111" s="9">
        <v>1.0</v>
      </c>
      <c r="AT111" s="9">
        <v>1.0</v>
      </c>
      <c r="AU111" s="9">
        <v>1.0</v>
      </c>
      <c r="AV111" s="9">
        <v>0.0</v>
      </c>
      <c r="AW111" s="9" t="s">
        <v>97</v>
      </c>
      <c r="AX111" s="13">
        <f>3.99/3.23</f>
        <v>1.235294118</v>
      </c>
      <c r="AY111" s="10">
        <v>0.0</v>
      </c>
      <c r="AZ111" s="10">
        <v>0.0</v>
      </c>
      <c r="BA111" s="10">
        <v>1.0</v>
      </c>
      <c r="BB111" s="13">
        <f>2.24/2.76</f>
        <v>0.8115942029</v>
      </c>
      <c r="BC111" s="10">
        <v>6.0</v>
      </c>
      <c r="BD111" s="10">
        <v>1.0</v>
      </c>
      <c r="BE111" s="10"/>
      <c r="BF111" s="9">
        <v>0.0</v>
      </c>
      <c r="BG111" s="9" t="s">
        <v>84</v>
      </c>
      <c r="BH111" s="9">
        <v>0.0</v>
      </c>
      <c r="BI111" s="9">
        <v>0.0</v>
      </c>
      <c r="BJ111" s="9">
        <v>0.0</v>
      </c>
      <c r="BK111" s="9">
        <v>0.0</v>
      </c>
      <c r="BL111" s="9">
        <v>0.0</v>
      </c>
      <c r="BM111" s="9">
        <v>0.0</v>
      </c>
      <c r="BN111" s="9">
        <v>0.0</v>
      </c>
      <c r="BO111" s="9">
        <v>0.0</v>
      </c>
      <c r="BP111" s="9" t="s">
        <v>84</v>
      </c>
      <c r="BQ111" s="9" t="s">
        <v>84</v>
      </c>
      <c r="BR111" s="9">
        <v>0.0</v>
      </c>
      <c r="BS111" s="9" t="s">
        <v>84</v>
      </c>
      <c r="BT111" s="9">
        <v>0.0</v>
      </c>
      <c r="BU111" s="9">
        <v>0.0</v>
      </c>
      <c r="BV111" s="9">
        <v>0.0</v>
      </c>
      <c r="BW111" s="10">
        <v>0.0</v>
      </c>
      <c r="BX111" s="14">
        <v>0.0</v>
      </c>
      <c r="BY111" s="9">
        <v>1.0</v>
      </c>
      <c r="BZ111" s="9">
        <v>1.0</v>
      </c>
      <c r="CA111" s="9">
        <v>0.0</v>
      </c>
      <c r="CB111" s="9">
        <v>0.0</v>
      </c>
      <c r="CC111" s="15" t="s">
        <v>87</v>
      </c>
      <c r="CD111" s="17"/>
    </row>
    <row r="112" ht="15.75" customHeight="1">
      <c r="A112" s="9">
        <v>111.0</v>
      </c>
      <c r="B112" s="10">
        <v>49.0</v>
      </c>
      <c r="C112" s="9" t="s">
        <v>86</v>
      </c>
      <c r="D112" s="11" t="s">
        <v>82</v>
      </c>
      <c r="E112" s="9" t="s">
        <v>135</v>
      </c>
      <c r="F112" s="12">
        <v>165.1</v>
      </c>
      <c r="G112" s="12">
        <v>63.5</v>
      </c>
      <c r="H112" s="12">
        <f t="shared" si="3"/>
        <v>23.29590458</v>
      </c>
      <c r="I112" s="9">
        <v>1.0</v>
      </c>
      <c r="J112" s="9">
        <v>2.0</v>
      </c>
      <c r="K112" s="9">
        <v>3.0</v>
      </c>
      <c r="L112" s="9">
        <v>1.0</v>
      </c>
      <c r="M112" s="9">
        <v>110.0</v>
      </c>
      <c r="N112" s="9">
        <v>0.0</v>
      </c>
      <c r="O112" s="9">
        <v>139.0</v>
      </c>
      <c r="P112" s="9">
        <v>0.0</v>
      </c>
      <c r="Q112" s="9">
        <v>20.0</v>
      </c>
      <c r="R112" s="9">
        <v>0.0</v>
      </c>
      <c r="S112" s="12">
        <v>98.0</v>
      </c>
      <c r="T112" s="9">
        <v>0.0</v>
      </c>
      <c r="U112" s="9">
        <v>97.0</v>
      </c>
      <c r="V112" s="9">
        <v>1.0</v>
      </c>
      <c r="W112" s="9">
        <v>0.0</v>
      </c>
      <c r="X112" s="9">
        <v>0.0</v>
      </c>
      <c r="Y112" s="9">
        <v>0.0</v>
      </c>
      <c r="Z112" s="9">
        <v>0.0</v>
      </c>
      <c r="AA112" s="9">
        <v>0.0</v>
      </c>
      <c r="AB112" s="9">
        <v>0.0</v>
      </c>
      <c r="AC112" s="9">
        <v>0.0</v>
      </c>
      <c r="AD112" s="9">
        <v>0.0</v>
      </c>
      <c r="AE112" s="9">
        <v>0.0</v>
      </c>
      <c r="AF112" s="9">
        <v>0.0</v>
      </c>
      <c r="AG112" s="9">
        <v>0.0</v>
      </c>
      <c r="AH112" s="9">
        <v>0.0</v>
      </c>
      <c r="AI112" s="9">
        <v>0.0</v>
      </c>
      <c r="AJ112" s="9">
        <v>0.0</v>
      </c>
      <c r="AK112" s="9">
        <v>0.0</v>
      </c>
      <c r="AL112" s="9">
        <v>0.0</v>
      </c>
      <c r="AM112" s="9">
        <v>0.0</v>
      </c>
      <c r="AN112" s="9">
        <v>1.0</v>
      </c>
      <c r="AO112" s="9">
        <v>0.0</v>
      </c>
      <c r="AP112" s="9" t="s">
        <v>84</v>
      </c>
      <c r="AQ112" s="9" t="s">
        <v>84</v>
      </c>
      <c r="AR112" s="9">
        <v>0.0</v>
      </c>
      <c r="AS112" s="9" t="s">
        <v>84</v>
      </c>
      <c r="AT112" s="9" t="s">
        <v>84</v>
      </c>
      <c r="AU112" s="9" t="s">
        <v>84</v>
      </c>
      <c r="AV112" s="9" t="s">
        <v>84</v>
      </c>
      <c r="AW112" s="9" t="s">
        <v>84</v>
      </c>
      <c r="AX112" s="13">
        <f>4.47/3.35</f>
        <v>1.334328358</v>
      </c>
      <c r="AY112" s="10">
        <v>0.0</v>
      </c>
      <c r="AZ112" s="10">
        <v>0.0</v>
      </c>
      <c r="BA112" s="10">
        <v>1.0</v>
      </c>
      <c r="BB112" s="13">
        <f>2.71/2.9</f>
        <v>0.9344827586</v>
      </c>
      <c r="BC112" s="10">
        <v>4.0</v>
      </c>
      <c r="BD112" s="10">
        <v>1.0</v>
      </c>
      <c r="BE112" s="10"/>
      <c r="BF112" s="9">
        <v>0.0</v>
      </c>
      <c r="BG112" s="9" t="s">
        <v>84</v>
      </c>
      <c r="BH112" s="9">
        <v>1.0</v>
      </c>
      <c r="BI112" s="9">
        <v>0.0</v>
      </c>
      <c r="BJ112" s="9">
        <v>0.0</v>
      </c>
      <c r="BK112" s="9">
        <v>1.0</v>
      </c>
      <c r="BL112" s="9">
        <v>0.0</v>
      </c>
      <c r="BM112" s="9">
        <v>0.0</v>
      </c>
      <c r="BN112" s="9">
        <v>0.0</v>
      </c>
      <c r="BO112" s="9">
        <v>0.0</v>
      </c>
      <c r="BP112" s="9" t="s">
        <v>84</v>
      </c>
      <c r="BQ112" s="9" t="s">
        <v>84</v>
      </c>
      <c r="BR112" s="9">
        <v>0.0</v>
      </c>
      <c r="BS112" s="9" t="s">
        <v>84</v>
      </c>
      <c r="BT112" s="9">
        <v>0.0</v>
      </c>
      <c r="BU112" s="9">
        <v>0.0</v>
      </c>
      <c r="BV112" s="9">
        <v>0.0</v>
      </c>
      <c r="BW112" s="10">
        <v>0.0</v>
      </c>
      <c r="BX112" s="14">
        <v>0.0</v>
      </c>
      <c r="BY112" s="9">
        <v>0.0</v>
      </c>
      <c r="BZ112" s="9">
        <v>1.0</v>
      </c>
      <c r="CA112" s="9">
        <v>0.0</v>
      </c>
      <c r="CB112" s="9">
        <v>0.0</v>
      </c>
      <c r="CC112" s="15" t="s">
        <v>101</v>
      </c>
      <c r="CD112" s="17"/>
    </row>
    <row r="113" ht="15.75" customHeight="1">
      <c r="A113" s="9">
        <v>112.0</v>
      </c>
      <c r="B113" s="10">
        <v>45.0</v>
      </c>
      <c r="C113" s="9" t="s">
        <v>86</v>
      </c>
      <c r="D113" s="11" t="s">
        <v>88</v>
      </c>
      <c r="E113" s="9" t="s">
        <v>103</v>
      </c>
      <c r="F113" s="12">
        <v>170.18</v>
      </c>
      <c r="G113" s="12">
        <v>158.8</v>
      </c>
      <c r="H113" s="12">
        <f t="shared" si="3"/>
        <v>54.83192076</v>
      </c>
      <c r="I113" s="9">
        <v>1.0</v>
      </c>
      <c r="J113" s="9">
        <v>2.0</v>
      </c>
      <c r="K113" s="9">
        <v>1.0</v>
      </c>
      <c r="L113" s="9">
        <v>1.0</v>
      </c>
      <c r="M113" s="9">
        <v>110.0</v>
      </c>
      <c r="N113" s="9">
        <v>0.0</v>
      </c>
      <c r="O113" s="9">
        <v>120.0</v>
      </c>
      <c r="P113" s="9">
        <v>0.0</v>
      </c>
      <c r="Q113" s="9">
        <v>20.0</v>
      </c>
      <c r="R113" s="9">
        <v>0.0</v>
      </c>
      <c r="S113" s="12">
        <v>98.4</v>
      </c>
      <c r="T113" s="9">
        <v>0.0</v>
      </c>
      <c r="U113" s="9">
        <v>98.0</v>
      </c>
      <c r="V113" s="9">
        <v>1.0</v>
      </c>
      <c r="W113" s="9">
        <v>0.0</v>
      </c>
      <c r="X113" s="9">
        <v>1.0</v>
      </c>
      <c r="Y113" s="9">
        <v>0.0</v>
      </c>
      <c r="Z113" s="9">
        <v>0.0</v>
      </c>
      <c r="AA113" s="9">
        <v>0.0</v>
      </c>
      <c r="AB113" s="9">
        <v>0.0</v>
      </c>
      <c r="AC113" s="9">
        <v>0.0</v>
      </c>
      <c r="AD113" s="9">
        <v>0.0</v>
      </c>
      <c r="AE113" s="9">
        <v>0.0</v>
      </c>
      <c r="AF113" s="9">
        <v>0.0</v>
      </c>
      <c r="AG113" s="9">
        <v>0.0</v>
      </c>
      <c r="AH113" s="9">
        <v>0.0</v>
      </c>
      <c r="AI113" s="9">
        <v>0.0</v>
      </c>
      <c r="AJ113" s="9">
        <v>0.0</v>
      </c>
      <c r="AK113" s="9">
        <v>0.0</v>
      </c>
      <c r="AL113" s="9">
        <v>0.0</v>
      </c>
      <c r="AM113" s="9">
        <v>0.0</v>
      </c>
      <c r="AN113" s="9">
        <v>0.0</v>
      </c>
      <c r="AO113" s="9">
        <v>1.0</v>
      </c>
      <c r="AP113" s="9">
        <v>1.0</v>
      </c>
      <c r="AQ113" s="9" t="s">
        <v>84</v>
      </c>
      <c r="AR113" s="9">
        <v>0.0</v>
      </c>
      <c r="AS113" s="9">
        <v>0.0</v>
      </c>
      <c r="AT113" s="9">
        <v>0.0</v>
      </c>
      <c r="AU113" s="9">
        <v>0.0</v>
      </c>
      <c r="AV113" s="9">
        <v>0.0</v>
      </c>
      <c r="AW113" s="9">
        <v>23.5</v>
      </c>
      <c r="AX113" s="13">
        <f>4.84/3.6</f>
        <v>1.344444444</v>
      </c>
      <c r="AY113" s="10">
        <v>0.0</v>
      </c>
      <c r="AZ113" s="10">
        <v>0.0</v>
      </c>
      <c r="BA113" s="10">
        <v>1.0</v>
      </c>
      <c r="BB113" s="13">
        <f>2.96/3.78</f>
        <v>0.7830687831</v>
      </c>
      <c r="BC113" s="10">
        <v>2.0</v>
      </c>
      <c r="BD113" s="10">
        <v>1.0</v>
      </c>
      <c r="BE113" s="10"/>
      <c r="BF113" s="9">
        <v>0.0</v>
      </c>
      <c r="BG113" s="9" t="s">
        <v>84</v>
      </c>
      <c r="BH113" s="9">
        <v>0.0</v>
      </c>
      <c r="BI113" s="9">
        <v>0.0</v>
      </c>
      <c r="BJ113" s="9">
        <v>0.0</v>
      </c>
      <c r="BK113" s="9">
        <v>0.0</v>
      </c>
      <c r="BL113" s="9">
        <v>0.0</v>
      </c>
      <c r="BM113" s="9">
        <v>0.0</v>
      </c>
      <c r="BN113" s="9">
        <v>0.0</v>
      </c>
      <c r="BO113" s="9">
        <v>0.0</v>
      </c>
      <c r="BP113" s="9" t="s">
        <v>84</v>
      </c>
      <c r="BQ113" s="9" t="s">
        <v>84</v>
      </c>
      <c r="BR113" s="9">
        <v>0.0</v>
      </c>
      <c r="BS113" s="9" t="s">
        <v>84</v>
      </c>
      <c r="BT113" s="9">
        <v>0.0</v>
      </c>
      <c r="BU113" s="9">
        <v>0.0</v>
      </c>
      <c r="BV113" s="9">
        <v>0.0</v>
      </c>
      <c r="BW113" s="10" t="s">
        <v>94</v>
      </c>
      <c r="BX113" s="14" t="s">
        <v>94</v>
      </c>
      <c r="BY113" s="9">
        <v>0.0</v>
      </c>
      <c r="BZ113" s="9">
        <v>1.0</v>
      </c>
      <c r="CA113" s="9">
        <v>0.0</v>
      </c>
      <c r="CB113" s="9">
        <v>0.0</v>
      </c>
      <c r="CC113" s="15" t="s">
        <v>101</v>
      </c>
      <c r="CD113" s="17"/>
    </row>
    <row r="114" ht="15.75" customHeight="1">
      <c r="A114" s="9">
        <v>113.0</v>
      </c>
      <c r="B114" s="10">
        <v>63.0</v>
      </c>
      <c r="C114" s="9" t="s">
        <v>81</v>
      </c>
      <c r="D114" s="11" t="s">
        <v>82</v>
      </c>
      <c r="E114" s="9" t="s">
        <v>116</v>
      </c>
      <c r="F114" s="12">
        <v>180.34</v>
      </c>
      <c r="G114" s="12">
        <v>102.1</v>
      </c>
      <c r="H114" s="12">
        <f t="shared" si="3"/>
        <v>31.39363549</v>
      </c>
      <c r="I114" s="9">
        <v>1.0</v>
      </c>
      <c r="J114" s="9">
        <v>4.0</v>
      </c>
      <c r="K114" s="19">
        <v>2.0</v>
      </c>
      <c r="L114" s="9">
        <v>1.0</v>
      </c>
      <c r="M114" s="9">
        <v>127.0</v>
      </c>
      <c r="N114" s="9">
        <v>1.0</v>
      </c>
      <c r="O114" s="9">
        <v>76.0</v>
      </c>
      <c r="P114" s="9">
        <v>0.0</v>
      </c>
      <c r="Q114" s="9">
        <v>28.0</v>
      </c>
      <c r="R114" s="9">
        <v>0.0</v>
      </c>
      <c r="S114" s="12">
        <v>96.8</v>
      </c>
      <c r="T114" s="9">
        <v>1.0</v>
      </c>
      <c r="U114" s="9" t="s">
        <v>84</v>
      </c>
      <c r="V114" s="9">
        <v>1.0</v>
      </c>
      <c r="W114" s="9">
        <v>1.0</v>
      </c>
      <c r="X114" s="9">
        <v>0.0</v>
      </c>
      <c r="Y114" s="9">
        <v>0.0</v>
      </c>
      <c r="Z114" s="9">
        <v>0.0</v>
      </c>
      <c r="AA114" s="9">
        <v>0.0</v>
      </c>
      <c r="AB114" s="9">
        <v>0.0</v>
      </c>
      <c r="AC114" s="9">
        <v>0.0</v>
      </c>
      <c r="AD114" s="9">
        <v>0.0</v>
      </c>
      <c r="AE114" s="9">
        <v>0.0</v>
      </c>
      <c r="AF114" s="9">
        <v>0.0</v>
      </c>
      <c r="AG114" s="9">
        <v>1.0</v>
      </c>
      <c r="AH114" s="9">
        <v>0.0</v>
      </c>
      <c r="AI114" s="9">
        <v>0.0</v>
      </c>
      <c r="AJ114" s="9">
        <v>0.0</v>
      </c>
      <c r="AK114" s="9">
        <v>0.0</v>
      </c>
      <c r="AL114" s="9">
        <v>1.0</v>
      </c>
      <c r="AM114" s="9">
        <v>0.0</v>
      </c>
      <c r="AN114" s="9">
        <v>0.0</v>
      </c>
      <c r="AO114" s="9">
        <v>1.0</v>
      </c>
      <c r="AP114" s="9">
        <v>0.0</v>
      </c>
      <c r="AQ114" s="9" t="s">
        <v>84</v>
      </c>
      <c r="AR114" s="9">
        <v>1.0</v>
      </c>
      <c r="AS114" s="9">
        <v>1.0</v>
      </c>
      <c r="AT114" s="9">
        <v>0.0</v>
      </c>
      <c r="AU114" s="9">
        <v>0.0</v>
      </c>
      <c r="AV114" s="9">
        <v>0.0</v>
      </c>
      <c r="AW114" s="9">
        <v>49.0</v>
      </c>
      <c r="AX114" s="13">
        <f>4.33/3.11</f>
        <v>1.392282958</v>
      </c>
      <c r="AY114" s="10">
        <v>0.0</v>
      </c>
      <c r="AZ114" s="10">
        <v>0.0</v>
      </c>
      <c r="BA114" s="10">
        <v>1.0</v>
      </c>
      <c r="BB114" s="13">
        <f>2.79/3.07</f>
        <v>0.9087947883</v>
      </c>
      <c r="BC114" s="10">
        <v>5.0</v>
      </c>
      <c r="BD114" s="10">
        <v>1.0</v>
      </c>
      <c r="BE114" s="10"/>
      <c r="BF114" s="9">
        <v>1.0</v>
      </c>
      <c r="BG114" s="15" t="s">
        <v>136</v>
      </c>
      <c r="BH114" s="9">
        <v>1.0</v>
      </c>
      <c r="BI114" s="9">
        <v>1.0</v>
      </c>
      <c r="BJ114" s="9">
        <v>0.0</v>
      </c>
      <c r="BK114" s="9">
        <v>0.0</v>
      </c>
      <c r="BL114" s="9">
        <v>0.0</v>
      </c>
      <c r="BM114" s="9">
        <v>0.0</v>
      </c>
      <c r="BN114" s="9">
        <v>0.0</v>
      </c>
      <c r="BO114" s="9">
        <v>0.0</v>
      </c>
      <c r="BP114" s="9" t="s">
        <v>84</v>
      </c>
      <c r="BQ114" s="9" t="s">
        <v>84</v>
      </c>
      <c r="BR114" s="9">
        <v>0.0</v>
      </c>
      <c r="BS114" s="9" t="s">
        <v>84</v>
      </c>
      <c r="BT114" s="9">
        <v>0.0</v>
      </c>
      <c r="BU114" s="9">
        <v>0.0</v>
      </c>
      <c r="BV114" s="9">
        <v>0.0</v>
      </c>
      <c r="BW114" s="10" t="s">
        <v>94</v>
      </c>
      <c r="BX114" s="14" t="s">
        <v>94</v>
      </c>
      <c r="BY114" s="9">
        <v>0.0</v>
      </c>
      <c r="BZ114" s="9">
        <v>1.0</v>
      </c>
      <c r="CA114" s="9">
        <v>0.0</v>
      </c>
      <c r="CB114" s="9">
        <v>0.0</v>
      </c>
      <c r="CC114" s="15" t="s">
        <v>137</v>
      </c>
      <c r="CD114" s="17"/>
    </row>
    <row r="115" ht="15.75" customHeight="1">
      <c r="A115" s="9">
        <v>114.0</v>
      </c>
      <c r="B115" s="10">
        <v>77.0</v>
      </c>
      <c r="C115" s="9" t="s">
        <v>86</v>
      </c>
      <c r="D115" s="11" t="s">
        <v>88</v>
      </c>
      <c r="E115" s="9" t="s">
        <v>132</v>
      </c>
      <c r="F115" s="12">
        <v>172.72</v>
      </c>
      <c r="G115" s="12">
        <v>83.9</v>
      </c>
      <c r="H115" s="12">
        <f t="shared" si="3"/>
        <v>28.12397493</v>
      </c>
      <c r="I115" s="9">
        <v>1.0</v>
      </c>
      <c r="J115" s="9">
        <v>5.0</v>
      </c>
      <c r="K115" s="9">
        <v>3.0</v>
      </c>
      <c r="L115" s="9">
        <v>1.0</v>
      </c>
      <c r="M115" s="9">
        <v>134.0</v>
      </c>
      <c r="N115" s="9">
        <v>1.0</v>
      </c>
      <c r="O115" s="9">
        <v>94.0</v>
      </c>
      <c r="P115" s="9">
        <v>0.0</v>
      </c>
      <c r="Q115" s="9">
        <v>14.0</v>
      </c>
      <c r="R115" s="9">
        <v>0.0</v>
      </c>
      <c r="S115" s="12">
        <v>97.9</v>
      </c>
      <c r="T115" s="9">
        <v>0.0</v>
      </c>
      <c r="U115" s="9">
        <v>98.0</v>
      </c>
      <c r="V115" s="9">
        <v>1.0</v>
      </c>
      <c r="W115" s="9">
        <v>0.0</v>
      </c>
      <c r="X115" s="9">
        <v>1.0</v>
      </c>
      <c r="Y115" s="9">
        <v>0.0</v>
      </c>
      <c r="Z115" s="9">
        <v>0.0</v>
      </c>
      <c r="AA115" s="9">
        <v>0.0</v>
      </c>
      <c r="AB115" s="9">
        <v>0.0</v>
      </c>
      <c r="AC115" s="9">
        <v>0.0</v>
      </c>
      <c r="AD115" s="9">
        <v>0.0</v>
      </c>
      <c r="AE115" s="9">
        <v>1.0</v>
      </c>
      <c r="AF115" s="9">
        <v>0.0</v>
      </c>
      <c r="AG115" s="9">
        <v>0.0</v>
      </c>
      <c r="AH115" s="9">
        <v>0.0</v>
      </c>
      <c r="AI115" s="9">
        <v>0.0</v>
      </c>
      <c r="AJ115" s="9">
        <v>0.0</v>
      </c>
      <c r="AK115" s="9">
        <v>0.0</v>
      </c>
      <c r="AL115" s="9">
        <v>0.0</v>
      </c>
      <c r="AM115" s="9">
        <v>0.0</v>
      </c>
      <c r="AN115" s="9">
        <v>0.0</v>
      </c>
      <c r="AO115" s="9">
        <v>0.0</v>
      </c>
      <c r="AP115" s="9" t="s">
        <v>84</v>
      </c>
      <c r="AQ115" s="9" t="s">
        <v>84</v>
      </c>
      <c r="AR115" s="9">
        <v>0.0</v>
      </c>
      <c r="AS115" s="9">
        <v>0.0</v>
      </c>
      <c r="AT115" s="9">
        <v>0.0</v>
      </c>
      <c r="AU115" s="9">
        <v>0.0</v>
      </c>
      <c r="AV115" s="9">
        <v>0.0</v>
      </c>
      <c r="AW115" s="9" t="s">
        <v>97</v>
      </c>
      <c r="AX115" s="13">
        <f>4.58/3.55</f>
        <v>1.290140845</v>
      </c>
      <c r="AY115" s="10">
        <v>0.0</v>
      </c>
      <c r="AZ115" s="10">
        <v>0.0</v>
      </c>
      <c r="BA115" s="10">
        <v>1.0</v>
      </c>
      <c r="BB115" s="13">
        <f>3.18/3.58</f>
        <v>0.8882681564</v>
      </c>
      <c r="BC115" s="10">
        <v>6.0</v>
      </c>
      <c r="BD115" s="10">
        <v>1.0</v>
      </c>
      <c r="BE115" s="10"/>
      <c r="BF115" s="9">
        <v>1.0</v>
      </c>
      <c r="BG115" s="15" t="s">
        <v>138</v>
      </c>
      <c r="BH115" s="9">
        <v>1.0</v>
      </c>
      <c r="BI115" s="9">
        <v>0.0</v>
      </c>
      <c r="BJ115" s="9">
        <v>0.0</v>
      </c>
      <c r="BK115" s="9">
        <v>0.0</v>
      </c>
      <c r="BL115" s="9">
        <v>1.0</v>
      </c>
      <c r="BM115" s="9">
        <v>0.0</v>
      </c>
      <c r="BN115" s="9">
        <v>0.0</v>
      </c>
      <c r="BO115" s="9">
        <v>0.0</v>
      </c>
      <c r="BP115" s="9" t="s">
        <v>84</v>
      </c>
      <c r="BQ115" s="9" t="s">
        <v>84</v>
      </c>
      <c r="BR115" s="9">
        <v>0.0</v>
      </c>
      <c r="BS115" s="9" t="s">
        <v>84</v>
      </c>
      <c r="BT115" s="9">
        <v>0.0</v>
      </c>
      <c r="BU115" s="9">
        <v>0.0</v>
      </c>
      <c r="BV115" s="9">
        <v>0.0</v>
      </c>
      <c r="BW115" s="10">
        <v>0.0</v>
      </c>
      <c r="BX115" s="14">
        <v>0.0</v>
      </c>
      <c r="BY115" s="9">
        <v>0.0</v>
      </c>
      <c r="BZ115" s="9">
        <v>1.0</v>
      </c>
      <c r="CA115" s="9">
        <v>0.0</v>
      </c>
      <c r="CB115" s="9">
        <v>0.0</v>
      </c>
      <c r="CC115" s="15" t="s">
        <v>101</v>
      </c>
      <c r="CD115" s="17"/>
    </row>
    <row r="116" ht="15.75" customHeight="1">
      <c r="A116" s="9">
        <v>115.0</v>
      </c>
      <c r="B116" s="10">
        <v>36.0</v>
      </c>
      <c r="C116" s="9" t="s">
        <v>81</v>
      </c>
      <c r="D116" s="11" t="s">
        <v>88</v>
      </c>
      <c r="E116" s="9" t="s">
        <v>108</v>
      </c>
      <c r="F116" s="12">
        <v>182.88</v>
      </c>
      <c r="G116" s="12">
        <v>134.0</v>
      </c>
      <c r="H116" s="12">
        <f t="shared" si="3"/>
        <v>40.06566655</v>
      </c>
      <c r="I116" s="9">
        <v>1.0</v>
      </c>
      <c r="J116" s="9">
        <v>4.0</v>
      </c>
      <c r="K116" s="19">
        <v>3.0</v>
      </c>
      <c r="L116" s="9">
        <v>1.0</v>
      </c>
      <c r="M116" s="9">
        <v>118.0</v>
      </c>
      <c r="N116" s="9">
        <v>1.0</v>
      </c>
      <c r="O116" s="9">
        <v>86.0</v>
      </c>
      <c r="P116" s="9">
        <v>1.0</v>
      </c>
      <c r="Q116" s="9">
        <v>36.0</v>
      </c>
      <c r="R116" s="9">
        <v>0.0</v>
      </c>
      <c r="S116" s="12">
        <v>97.4</v>
      </c>
      <c r="T116" s="9">
        <v>0.0</v>
      </c>
      <c r="U116" s="9">
        <v>90.0</v>
      </c>
      <c r="V116" s="9">
        <v>1.0</v>
      </c>
      <c r="W116" s="9">
        <v>0.0</v>
      </c>
      <c r="X116" s="9">
        <v>0.0</v>
      </c>
      <c r="Y116" s="9">
        <v>0.0</v>
      </c>
      <c r="Z116" s="9">
        <v>0.0</v>
      </c>
      <c r="AA116" s="9">
        <v>0.0</v>
      </c>
      <c r="AB116" s="9">
        <v>0.0</v>
      </c>
      <c r="AC116" s="9">
        <v>0.0</v>
      </c>
      <c r="AD116" s="9">
        <v>0.0</v>
      </c>
      <c r="AE116" s="9">
        <v>0.0</v>
      </c>
      <c r="AF116" s="9">
        <v>0.0</v>
      </c>
      <c r="AG116" s="9">
        <v>0.0</v>
      </c>
      <c r="AH116" s="9">
        <v>0.0</v>
      </c>
      <c r="AI116" s="9">
        <v>0.0</v>
      </c>
      <c r="AJ116" s="9">
        <v>0.0</v>
      </c>
      <c r="AK116" s="9">
        <v>1.0</v>
      </c>
      <c r="AL116" s="9">
        <v>0.0</v>
      </c>
      <c r="AM116" s="9">
        <v>0.0</v>
      </c>
      <c r="AN116" s="9">
        <v>0.0</v>
      </c>
      <c r="AO116" s="9">
        <v>1.0</v>
      </c>
      <c r="AP116" s="9">
        <v>1.0</v>
      </c>
      <c r="AQ116" s="9">
        <v>1.0</v>
      </c>
      <c r="AR116" s="9">
        <v>0.0</v>
      </c>
      <c r="AS116" s="9">
        <v>1.0</v>
      </c>
      <c r="AT116" s="9">
        <v>1.0</v>
      </c>
      <c r="AU116" s="9">
        <v>1.0</v>
      </c>
      <c r="AV116" s="9">
        <v>0.0</v>
      </c>
      <c r="AW116" s="9">
        <v>59.0</v>
      </c>
      <c r="AX116" s="13">
        <f>5.47/3.96</f>
        <v>1.381313131</v>
      </c>
      <c r="AY116" s="10">
        <v>0.0</v>
      </c>
      <c r="AZ116" s="10">
        <v>0.0</v>
      </c>
      <c r="BA116" s="10">
        <v>1.0</v>
      </c>
      <c r="BB116" s="13">
        <f>3.28/3.02</f>
        <v>1.086092715</v>
      </c>
      <c r="BC116" s="10">
        <v>4.0</v>
      </c>
      <c r="BD116" s="10">
        <v>1.0</v>
      </c>
      <c r="BE116" s="10"/>
      <c r="BF116" s="9">
        <v>0.0</v>
      </c>
      <c r="BG116" s="9" t="s">
        <v>84</v>
      </c>
      <c r="BH116" s="9">
        <v>1.0</v>
      </c>
      <c r="BI116" s="9">
        <v>1.0</v>
      </c>
      <c r="BJ116" s="9">
        <v>0.0</v>
      </c>
      <c r="BK116" s="9">
        <v>1.0</v>
      </c>
      <c r="BL116" s="9">
        <v>0.0</v>
      </c>
      <c r="BM116" s="9">
        <v>1.0</v>
      </c>
      <c r="BN116" s="9">
        <v>1.0</v>
      </c>
      <c r="BO116" s="9">
        <v>0.0</v>
      </c>
      <c r="BP116" s="9">
        <v>1.0</v>
      </c>
      <c r="BQ116" s="9">
        <v>1.0</v>
      </c>
      <c r="BR116" s="9">
        <v>0.0</v>
      </c>
      <c r="BS116" s="9" t="s">
        <v>84</v>
      </c>
      <c r="BT116" s="9">
        <v>0.0</v>
      </c>
      <c r="BU116" s="9">
        <v>1.0</v>
      </c>
      <c r="BV116" s="9">
        <v>0.0</v>
      </c>
      <c r="BW116" s="10">
        <v>0.0</v>
      </c>
      <c r="BX116" s="14">
        <v>0.0</v>
      </c>
      <c r="BY116" s="9">
        <v>0.0</v>
      </c>
      <c r="BZ116" s="9">
        <v>1.0</v>
      </c>
      <c r="CA116" s="9">
        <v>0.0</v>
      </c>
      <c r="CB116" s="9">
        <v>0.0</v>
      </c>
      <c r="CC116" s="15" t="s">
        <v>92</v>
      </c>
      <c r="CD116" s="16"/>
    </row>
    <row r="117" ht="15.75" customHeight="1">
      <c r="A117" s="9">
        <v>116.0</v>
      </c>
      <c r="B117" s="10">
        <v>73.0</v>
      </c>
      <c r="C117" s="9" t="s">
        <v>86</v>
      </c>
      <c r="D117" s="11" t="s">
        <v>82</v>
      </c>
      <c r="E117" s="9" t="s">
        <v>99</v>
      </c>
      <c r="F117" s="12">
        <v>160.02</v>
      </c>
      <c r="G117" s="12">
        <v>84.4</v>
      </c>
      <c r="H117" s="12">
        <f t="shared" si="3"/>
        <v>32.96050936</v>
      </c>
      <c r="I117" s="9">
        <v>1.0</v>
      </c>
      <c r="J117" s="9">
        <v>3.0</v>
      </c>
      <c r="K117" s="9">
        <v>2.0</v>
      </c>
      <c r="L117" s="9">
        <v>1.0</v>
      </c>
      <c r="M117" s="9">
        <v>128.0</v>
      </c>
      <c r="N117" s="9">
        <v>0.0</v>
      </c>
      <c r="O117" s="9">
        <v>118.0</v>
      </c>
      <c r="P117" s="9">
        <v>0.0</v>
      </c>
      <c r="Q117" s="9">
        <v>20.0</v>
      </c>
      <c r="R117" s="9">
        <v>0.0</v>
      </c>
      <c r="S117" s="12">
        <v>97.4</v>
      </c>
      <c r="T117" s="9">
        <v>0.0</v>
      </c>
      <c r="U117" s="9">
        <v>90.0</v>
      </c>
      <c r="V117" s="9">
        <v>1.0</v>
      </c>
      <c r="W117" s="9">
        <v>0.0</v>
      </c>
      <c r="X117" s="9">
        <v>0.0</v>
      </c>
      <c r="Y117" s="9">
        <v>0.0</v>
      </c>
      <c r="Z117" s="9">
        <v>0.0</v>
      </c>
      <c r="AA117" s="9">
        <v>0.0</v>
      </c>
      <c r="AB117" s="9">
        <v>0.0</v>
      </c>
      <c r="AC117" s="9">
        <v>0.0</v>
      </c>
      <c r="AD117" s="9">
        <v>0.0</v>
      </c>
      <c r="AE117" s="9">
        <v>0.0</v>
      </c>
      <c r="AF117" s="9">
        <v>0.0</v>
      </c>
      <c r="AG117" s="9">
        <v>0.0</v>
      </c>
      <c r="AH117" s="9">
        <v>0.0</v>
      </c>
      <c r="AI117" s="9">
        <v>0.0</v>
      </c>
      <c r="AJ117" s="9">
        <v>0.0</v>
      </c>
      <c r="AK117" s="9">
        <v>0.0</v>
      </c>
      <c r="AL117" s="9">
        <v>0.0</v>
      </c>
      <c r="AM117" s="9">
        <v>0.0</v>
      </c>
      <c r="AN117" s="9">
        <v>0.0</v>
      </c>
      <c r="AO117" s="9">
        <v>1.0</v>
      </c>
      <c r="AP117" s="9">
        <v>1.0</v>
      </c>
      <c r="AQ117" s="9">
        <v>1.0</v>
      </c>
      <c r="AR117" s="9">
        <v>1.0</v>
      </c>
      <c r="AS117" s="9">
        <v>0.0</v>
      </c>
      <c r="AT117" s="9">
        <v>0.0</v>
      </c>
      <c r="AU117" s="9">
        <v>0.0</v>
      </c>
      <c r="AV117" s="9">
        <v>0.0</v>
      </c>
      <c r="AW117" s="9">
        <v>12.4</v>
      </c>
      <c r="AX117" s="13">
        <f>4.04/3.83</f>
        <v>1.054830287</v>
      </c>
      <c r="AY117" s="10">
        <v>0.0</v>
      </c>
      <c r="AZ117" s="10">
        <v>0.0</v>
      </c>
      <c r="BA117" s="10">
        <v>1.0</v>
      </c>
      <c r="BB117" s="13">
        <f>3.32/3.11</f>
        <v>1.067524116</v>
      </c>
      <c r="BC117" s="10">
        <v>2.0</v>
      </c>
      <c r="BD117" s="10">
        <v>1.0</v>
      </c>
      <c r="BE117" s="10"/>
      <c r="BF117" s="9">
        <v>0.0</v>
      </c>
      <c r="BG117" s="9" t="s">
        <v>84</v>
      </c>
      <c r="BH117" s="9">
        <v>1.0</v>
      </c>
      <c r="BI117" s="9">
        <v>0.0</v>
      </c>
      <c r="BJ117" s="9">
        <v>0.0</v>
      </c>
      <c r="BK117" s="9">
        <v>0.0</v>
      </c>
      <c r="BL117" s="9">
        <v>0.0</v>
      </c>
      <c r="BM117" s="9">
        <v>0.0</v>
      </c>
      <c r="BN117" s="9">
        <v>0.0</v>
      </c>
      <c r="BO117" s="9">
        <v>1.0</v>
      </c>
      <c r="BP117" s="9">
        <v>0.0</v>
      </c>
      <c r="BQ117" s="9">
        <v>1.0</v>
      </c>
      <c r="BR117" s="9">
        <v>1.0</v>
      </c>
      <c r="BS117" s="9" t="s">
        <v>114</v>
      </c>
      <c r="BT117" s="9">
        <v>0.0</v>
      </c>
      <c r="BU117" s="9">
        <v>0.0</v>
      </c>
      <c r="BV117" s="9">
        <v>0.0</v>
      </c>
      <c r="BW117" s="10">
        <v>0.0</v>
      </c>
      <c r="BX117" s="14">
        <v>0.0</v>
      </c>
      <c r="BY117" s="9">
        <v>0.0</v>
      </c>
      <c r="BZ117" s="9">
        <v>0.0</v>
      </c>
      <c r="CA117" s="9">
        <v>0.0</v>
      </c>
      <c r="CB117" s="9">
        <v>0.0</v>
      </c>
      <c r="CC117" s="15" t="s">
        <v>101</v>
      </c>
      <c r="CD117" s="17"/>
    </row>
    <row r="118" ht="15.75" customHeight="1">
      <c r="A118" s="9">
        <v>117.0</v>
      </c>
      <c r="B118" s="10">
        <v>71.0</v>
      </c>
      <c r="C118" s="9" t="s">
        <v>86</v>
      </c>
      <c r="D118" s="11" t="s">
        <v>88</v>
      </c>
      <c r="E118" s="9" t="s">
        <v>129</v>
      </c>
      <c r="F118" s="12">
        <v>167.64000000000001</v>
      </c>
      <c r="G118" s="12">
        <v>115.7</v>
      </c>
      <c r="H118" s="12">
        <f t="shared" si="3"/>
        <v>41.1697334</v>
      </c>
      <c r="I118" s="9">
        <v>1.0</v>
      </c>
      <c r="J118" s="9">
        <v>4.0</v>
      </c>
      <c r="K118" s="9">
        <v>3.0</v>
      </c>
      <c r="L118" s="9">
        <v>1.0</v>
      </c>
      <c r="M118" s="9">
        <v>143.0</v>
      </c>
      <c r="N118" s="9">
        <v>0.0</v>
      </c>
      <c r="O118" s="9">
        <v>108.0</v>
      </c>
      <c r="P118" s="9">
        <v>0.0</v>
      </c>
      <c r="Q118" s="9">
        <v>26.0</v>
      </c>
      <c r="R118" s="9">
        <v>0.0</v>
      </c>
      <c r="S118" s="12">
        <v>97.5</v>
      </c>
      <c r="T118" s="9">
        <v>1.0</v>
      </c>
      <c r="U118" s="9" t="s">
        <v>84</v>
      </c>
      <c r="V118" s="9">
        <v>1.0</v>
      </c>
      <c r="W118" s="9">
        <v>0.0</v>
      </c>
      <c r="X118" s="9">
        <v>0.0</v>
      </c>
      <c r="Y118" s="9">
        <v>0.0</v>
      </c>
      <c r="Z118" s="9">
        <v>1.0</v>
      </c>
      <c r="AA118" s="9">
        <v>0.0</v>
      </c>
      <c r="AB118" s="9">
        <v>0.0</v>
      </c>
      <c r="AC118" s="9">
        <v>0.0</v>
      </c>
      <c r="AD118" s="9">
        <v>0.0</v>
      </c>
      <c r="AE118" s="9">
        <v>1.0</v>
      </c>
      <c r="AF118" s="9">
        <v>0.0</v>
      </c>
      <c r="AG118" s="9">
        <v>0.0</v>
      </c>
      <c r="AH118" s="9">
        <v>0.0</v>
      </c>
      <c r="AI118" s="9">
        <v>0.0</v>
      </c>
      <c r="AJ118" s="9">
        <v>0.0</v>
      </c>
      <c r="AK118" s="9">
        <v>0.0</v>
      </c>
      <c r="AL118" s="9">
        <v>0.0</v>
      </c>
      <c r="AM118" s="9">
        <v>0.0</v>
      </c>
      <c r="AN118" s="9">
        <v>0.0</v>
      </c>
      <c r="AO118" s="9" t="s">
        <v>84</v>
      </c>
      <c r="AP118" s="9" t="s">
        <v>84</v>
      </c>
      <c r="AQ118" s="9">
        <v>1.0</v>
      </c>
      <c r="AR118" s="9">
        <v>1.0</v>
      </c>
      <c r="AS118" s="9">
        <v>1.0</v>
      </c>
      <c r="AT118" s="9">
        <v>1.0</v>
      </c>
      <c r="AU118" s="9">
        <v>1.0</v>
      </c>
      <c r="AV118" s="9">
        <v>0.0</v>
      </c>
      <c r="AW118" s="9">
        <v>46.0</v>
      </c>
      <c r="AX118" s="13">
        <f>5.11/3.77</f>
        <v>1.355437666</v>
      </c>
      <c r="AY118" s="10">
        <v>0.0</v>
      </c>
      <c r="AZ118" s="10">
        <v>0.0</v>
      </c>
      <c r="BA118" s="10">
        <v>1.0</v>
      </c>
      <c r="BB118" s="13">
        <f>3.36/3.71</f>
        <v>0.9056603774</v>
      </c>
      <c r="BC118" s="10">
        <v>5.0</v>
      </c>
      <c r="BD118" s="10">
        <v>1.0</v>
      </c>
      <c r="BE118" s="10"/>
      <c r="BF118" s="9">
        <v>0.0</v>
      </c>
      <c r="BG118" s="9" t="s">
        <v>84</v>
      </c>
      <c r="BH118" s="9">
        <v>1.0</v>
      </c>
      <c r="BI118" s="9">
        <v>0.0</v>
      </c>
      <c r="BJ118" s="9">
        <v>0.0</v>
      </c>
      <c r="BK118" s="9">
        <v>1.0</v>
      </c>
      <c r="BL118" s="9">
        <v>0.0</v>
      </c>
      <c r="BM118" s="9">
        <v>1.0</v>
      </c>
      <c r="BN118" s="9">
        <v>1.0</v>
      </c>
      <c r="BO118" s="9">
        <v>0.0</v>
      </c>
      <c r="BP118" s="9">
        <v>1.0</v>
      </c>
      <c r="BQ118" s="9">
        <v>1.0</v>
      </c>
      <c r="BR118" s="9">
        <v>1.0</v>
      </c>
      <c r="BS118" s="16" t="s">
        <v>139</v>
      </c>
      <c r="BT118" s="9">
        <v>1.0</v>
      </c>
      <c r="BU118" s="9">
        <v>0.0</v>
      </c>
      <c r="BV118" s="9">
        <v>0.0</v>
      </c>
      <c r="BW118" s="10">
        <v>0.0</v>
      </c>
      <c r="BX118" s="14">
        <v>0.0</v>
      </c>
      <c r="BY118" s="9">
        <v>0.0</v>
      </c>
      <c r="BZ118" s="9">
        <v>0.0</v>
      </c>
      <c r="CA118" s="9">
        <v>0.0</v>
      </c>
      <c r="CB118" s="9">
        <v>0.0</v>
      </c>
      <c r="CC118" s="15" t="s">
        <v>104</v>
      </c>
      <c r="CD118" s="16"/>
    </row>
    <row r="119" ht="15.75" customHeight="1">
      <c r="A119" s="9">
        <v>118.0</v>
      </c>
      <c r="B119" s="10">
        <v>50.0</v>
      </c>
      <c r="C119" s="9" t="s">
        <v>86</v>
      </c>
      <c r="D119" s="11" t="s">
        <v>82</v>
      </c>
      <c r="E119" s="9" t="s">
        <v>83</v>
      </c>
      <c r="F119" s="12">
        <v>167.64000000000001</v>
      </c>
      <c r="G119" s="12">
        <v>81.1</v>
      </c>
      <c r="H119" s="12">
        <f t="shared" si="3"/>
        <v>28.85795487</v>
      </c>
      <c r="I119" s="9">
        <v>1.0</v>
      </c>
      <c r="J119" s="9">
        <v>2.0</v>
      </c>
      <c r="K119" s="9">
        <v>1.0</v>
      </c>
      <c r="L119" s="9">
        <v>0.0</v>
      </c>
      <c r="M119" s="9">
        <v>96.0</v>
      </c>
      <c r="N119" s="9">
        <v>0.0</v>
      </c>
      <c r="O119" s="9">
        <v>108.0</v>
      </c>
      <c r="P119" s="9">
        <v>0.0</v>
      </c>
      <c r="Q119" s="9">
        <v>12.0</v>
      </c>
      <c r="R119" s="9">
        <v>0.0</v>
      </c>
      <c r="S119" s="12">
        <v>98.4</v>
      </c>
      <c r="T119" s="9">
        <v>0.0</v>
      </c>
      <c r="U119" s="9">
        <v>98.0</v>
      </c>
      <c r="V119" s="9">
        <v>0.0</v>
      </c>
      <c r="W119" s="9">
        <v>0.0</v>
      </c>
      <c r="X119" s="9">
        <v>0.0</v>
      </c>
      <c r="Y119" s="9">
        <v>0.0</v>
      </c>
      <c r="Z119" s="9">
        <v>1.0</v>
      </c>
      <c r="AA119" s="9">
        <v>0.0</v>
      </c>
      <c r="AB119" s="9">
        <v>0.0</v>
      </c>
      <c r="AC119" s="9">
        <v>0.0</v>
      </c>
      <c r="AD119" s="9">
        <v>0.0</v>
      </c>
      <c r="AE119" s="9">
        <v>0.0</v>
      </c>
      <c r="AF119" s="9">
        <v>0.0</v>
      </c>
      <c r="AG119" s="9">
        <v>0.0</v>
      </c>
      <c r="AH119" s="9">
        <v>0.0</v>
      </c>
      <c r="AI119" s="9">
        <v>0.0</v>
      </c>
      <c r="AJ119" s="9">
        <v>0.0</v>
      </c>
      <c r="AK119" s="9">
        <v>0.0</v>
      </c>
      <c r="AL119" s="9">
        <v>0.0</v>
      </c>
      <c r="AM119" s="9">
        <v>0.0</v>
      </c>
      <c r="AN119" s="9">
        <v>0.0</v>
      </c>
      <c r="AO119" s="9">
        <v>1.0</v>
      </c>
      <c r="AP119" s="9">
        <v>1.0</v>
      </c>
      <c r="AQ119" s="9">
        <v>0.0</v>
      </c>
      <c r="AR119" s="9">
        <v>0.0</v>
      </c>
      <c r="AS119" s="9">
        <v>0.0</v>
      </c>
      <c r="AT119" s="9">
        <v>0.0</v>
      </c>
      <c r="AU119" s="9">
        <v>0.0</v>
      </c>
      <c r="AV119" s="9">
        <v>0.0</v>
      </c>
      <c r="AW119" s="9" t="s">
        <v>97</v>
      </c>
      <c r="AX119" s="13">
        <f>2.86/4.46</f>
        <v>0.6412556054</v>
      </c>
      <c r="AY119" s="10">
        <v>0.0</v>
      </c>
      <c r="AZ119" s="10">
        <v>0.0</v>
      </c>
      <c r="BA119" s="10">
        <v>0.0</v>
      </c>
      <c r="BB119" s="13">
        <f>2.47/2.77</f>
        <v>0.8916967509</v>
      </c>
      <c r="BC119" s="10">
        <v>2.0</v>
      </c>
      <c r="BD119" s="10">
        <v>0.0</v>
      </c>
      <c r="BE119" s="10"/>
      <c r="BF119" s="9">
        <v>0.0</v>
      </c>
      <c r="BG119" s="9" t="s">
        <v>84</v>
      </c>
      <c r="BH119" s="9">
        <v>1.0</v>
      </c>
      <c r="BI119" s="9">
        <v>0.0</v>
      </c>
      <c r="BJ119" s="9">
        <v>0.0</v>
      </c>
      <c r="BK119" s="9">
        <v>0.0</v>
      </c>
      <c r="BL119" s="9">
        <v>0.0</v>
      </c>
      <c r="BM119" s="9">
        <v>0.0</v>
      </c>
      <c r="BN119" s="9">
        <v>0.0</v>
      </c>
      <c r="BO119" s="9">
        <v>0.0</v>
      </c>
      <c r="BP119" s="9" t="s">
        <v>84</v>
      </c>
      <c r="BQ119" s="9" t="s">
        <v>84</v>
      </c>
      <c r="BR119" s="9">
        <v>0.0</v>
      </c>
      <c r="BS119" s="9" t="s">
        <v>84</v>
      </c>
      <c r="BT119" s="9">
        <v>0.0</v>
      </c>
      <c r="BU119" s="9">
        <v>0.0</v>
      </c>
      <c r="BV119" s="9">
        <v>0.0</v>
      </c>
      <c r="BW119" s="10">
        <v>0.0</v>
      </c>
      <c r="BX119" s="14">
        <v>0.0</v>
      </c>
      <c r="BY119" s="9">
        <v>0.0</v>
      </c>
      <c r="BZ119" s="9">
        <v>0.0</v>
      </c>
      <c r="CA119" s="9">
        <v>0.0</v>
      </c>
      <c r="CB119" s="9">
        <v>0.0</v>
      </c>
      <c r="CC119" s="15" t="s">
        <v>104</v>
      </c>
      <c r="CD119" s="17"/>
    </row>
    <row r="120" ht="15.75" customHeight="1">
      <c r="A120" s="9">
        <v>119.0</v>
      </c>
      <c r="B120" s="10">
        <v>39.0</v>
      </c>
      <c r="C120" s="9" t="s">
        <v>81</v>
      </c>
      <c r="D120" s="11" t="s">
        <v>88</v>
      </c>
      <c r="E120" s="9" t="s">
        <v>103</v>
      </c>
      <c r="F120" s="12">
        <v>182.88</v>
      </c>
      <c r="G120" s="12">
        <v>137.4</v>
      </c>
      <c r="H120" s="12">
        <f t="shared" si="3"/>
        <v>41.08225809</v>
      </c>
      <c r="I120" s="9">
        <v>1.0</v>
      </c>
      <c r="J120" s="9">
        <v>3.0</v>
      </c>
      <c r="K120" s="9">
        <v>2.0</v>
      </c>
      <c r="L120" s="9">
        <v>1.0</v>
      </c>
      <c r="M120" s="9">
        <v>118.0</v>
      </c>
      <c r="N120" s="9">
        <v>0.0</v>
      </c>
      <c r="O120" s="9">
        <v>108.0</v>
      </c>
      <c r="P120" s="9">
        <v>0.0</v>
      </c>
      <c r="Q120" s="9">
        <v>20.0</v>
      </c>
      <c r="R120" s="9">
        <v>0.0</v>
      </c>
      <c r="S120" s="12">
        <v>98.1</v>
      </c>
      <c r="T120" s="9">
        <v>1.0</v>
      </c>
      <c r="U120" s="9" t="s">
        <v>84</v>
      </c>
      <c r="V120" s="9">
        <v>1.0</v>
      </c>
      <c r="W120" s="9">
        <v>0.0</v>
      </c>
      <c r="X120" s="9">
        <v>1.0</v>
      </c>
      <c r="Y120" s="9">
        <v>0.0</v>
      </c>
      <c r="Z120" s="9">
        <v>0.0</v>
      </c>
      <c r="AA120" s="9">
        <v>0.0</v>
      </c>
      <c r="AB120" s="9">
        <v>0.0</v>
      </c>
      <c r="AC120" s="9">
        <v>0.0</v>
      </c>
      <c r="AD120" s="9">
        <v>0.0</v>
      </c>
      <c r="AE120" s="9">
        <v>1.0</v>
      </c>
      <c r="AF120" s="9">
        <v>0.0</v>
      </c>
      <c r="AG120" s="9">
        <v>0.0</v>
      </c>
      <c r="AH120" s="9">
        <v>0.0</v>
      </c>
      <c r="AI120" s="9">
        <v>0.0</v>
      </c>
      <c r="AJ120" s="9">
        <v>0.0</v>
      </c>
      <c r="AK120" s="9">
        <v>1.0</v>
      </c>
      <c r="AL120" s="9">
        <v>0.0</v>
      </c>
      <c r="AM120" s="9">
        <v>0.0</v>
      </c>
      <c r="AN120" s="9">
        <v>0.0</v>
      </c>
      <c r="AO120" s="9">
        <v>1.0</v>
      </c>
      <c r="AP120" s="9">
        <v>1.0</v>
      </c>
      <c r="AQ120" s="9" t="s">
        <v>84</v>
      </c>
      <c r="AR120" s="9">
        <v>0.0</v>
      </c>
      <c r="AS120" s="9">
        <v>1.0</v>
      </c>
      <c r="AT120" s="9">
        <v>1.0</v>
      </c>
      <c r="AU120" s="9">
        <v>1.0</v>
      </c>
      <c r="AV120" s="9">
        <v>0.0</v>
      </c>
      <c r="AW120" s="9" t="s">
        <v>97</v>
      </c>
      <c r="AX120" s="13">
        <f>5.99/3.57</f>
        <v>1.677871148</v>
      </c>
      <c r="AY120" s="10">
        <v>0.0</v>
      </c>
      <c r="AZ120" s="10">
        <v>0.0</v>
      </c>
      <c r="BA120" s="10">
        <v>1.0</v>
      </c>
      <c r="BB120" s="13">
        <f>3.28/3.11</f>
        <v>1.054662379</v>
      </c>
      <c r="BC120" s="10">
        <v>3.0</v>
      </c>
      <c r="BD120" s="10">
        <v>1.0</v>
      </c>
      <c r="BE120" s="10"/>
      <c r="BF120" s="9">
        <v>0.0</v>
      </c>
      <c r="BG120" s="9" t="s">
        <v>84</v>
      </c>
      <c r="BH120" s="9">
        <v>1.0</v>
      </c>
      <c r="BI120" s="9">
        <v>0.0</v>
      </c>
      <c r="BJ120" s="9">
        <v>0.0</v>
      </c>
      <c r="BK120" s="9">
        <v>0.0</v>
      </c>
      <c r="BL120" s="9">
        <v>0.0</v>
      </c>
      <c r="BM120" s="9">
        <v>0.0</v>
      </c>
      <c r="BN120" s="9">
        <v>0.0</v>
      </c>
      <c r="BO120" s="9">
        <v>1.0</v>
      </c>
      <c r="BP120" s="9">
        <v>1.0</v>
      </c>
      <c r="BQ120" s="9">
        <v>1.0</v>
      </c>
      <c r="BR120" s="9">
        <v>0.0</v>
      </c>
      <c r="BS120" s="9" t="s">
        <v>84</v>
      </c>
      <c r="BT120" s="9">
        <v>0.0</v>
      </c>
      <c r="BU120" s="9">
        <v>0.0</v>
      </c>
      <c r="BV120" s="9">
        <v>0.0</v>
      </c>
      <c r="BW120" s="10" t="s">
        <v>94</v>
      </c>
      <c r="BX120" s="14" t="s">
        <v>94</v>
      </c>
      <c r="BY120" s="9">
        <v>0.0</v>
      </c>
      <c r="BZ120" s="9">
        <v>1.0</v>
      </c>
      <c r="CA120" s="9">
        <v>0.0</v>
      </c>
      <c r="CB120" s="9">
        <v>0.0</v>
      </c>
      <c r="CC120" s="15" t="s">
        <v>92</v>
      </c>
      <c r="CD120" s="16"/>
    </row>
    <row r="121" ht="15.75" customHeight="1">
      <c r="A121" s="9">
        <v>120.0</v>
      </c>
      <c r="B121" s="10">
        <v>45.0</v>
      </c>
      <c r="C121" s="9" t="s">
        <v>86</v>
      </c>
      <c r="D121" s="11" t="s">
        <v>82</v>
      </c>
      <c r="E121" s="9" t="s">
        <v>103</v>
      </c>
      <c r="F121" s="12">
        <v>175.26</v>
      </c>
      <c r="G121" s="12">
        <v>89.5</v>
      </c>
      <c r="H121" s="12">
        <f t="shared" si="3"/>
        <v>29.13784446</v>
      </c>
      <c r="I121" s="9">
        <v>1.0</v>
      </c>
      <c r="J121" s="9">
        <v>1.0</v>
      </c>
      <c r="K121" s="9">
        <v>1.0</v>
      </c>
      <c r="L121" s="9">
        <v>1.0</v>
      </c>
      <c r="M121" s="9">
        <v>117.0</v>
      </c>
      <c r="N121" s="9">
        <v>0.0</v>
      </c>
      <c r="O121" s="9">
        <v>134.0</v>
      </c>
      <c r="P121" s="9">
        <v>0.0</v>
      </c>
      <c r="Q121" s="9">
        <v>18.0</v>
      </c>
      <c r="R121" s="9">
        <v>0.0</v>
      </c>
      <c r="S121" s="12">
        <v>97.8</v>
      </c>
      <c r="T121" s="9">
        <v>0.0</v>
      </c>
      <c r="U121" s="9">
        <v>100.0</v>
      </c>
      <c r="V121" s="9">
        <v>0.0</v>
      </c>
      <c r="W121" s="9">
        <v>0.0</v>
      </c>
      <c r="X121" s="9">
        <v>0.0</v>
      </c>
      <c r="Y121" s="9">
        <v>1.0</v>
      </c>
      <c r="Z121" s="9">
        <v>0.0</v>
      </c>
      <c r="AA121" s="9">
        <v>0.0</v>
      </c>
      <c r="AB121" s="9">
        <v>0.0</v>
      </c>
      <c r="AC121" s="9">
        <v>0.0</v>
      </c>
      <c r="AD121" s="9">
        <v>0.0</v>
      </c>
      <c r="AE121" s="9">
        <v>0.0</v>
      </c>
      <c r="AF121" s="9">
        <v>0.0</v>
      </c>
      <c r="AG121" s="9">
        <v>0.0</v>
      </c>
      <c r="AH121" s="9">
        <v>0.0</v>
      </c>
      <c r="AI121" s="9">
        <v>0.0</v>
      </c>
      <c r="AJ121" s="9">
        <v>0.0</v>
      </c>
      <c r="AK121" s="9">
        <v>0.0</v>
      </c>
      <c r="AL121" s="9">
        <v>0.0</v>
      </c>
      <c r="AM121" s="9">
        <v>0.0</v>
      </c>
      <c r="AN121" s="9">
        <v>0.0</v>
      </c>
      <c r="AO121" s="9">
        <v>1.0</v>
      </c>
      <c r="AP121" s="9">
        <v>1.0</v>
      </c>
      <c r="AQ121" s="9">
        <v>0.0</v>
      </c>
      <c r="AR121" s="9">
        <v>0.0</v>
      </c>
      <c r="AS121" s="9">
        <v>0.0</v>
      </c>
      <c r="AT121" s="9">
        <v>0.0</v>
      </c>
      <c r="AU121" s="9">
        <v>0.0</v>
      </c>
      <c r="AV121" s="9">
        <v>0.0</v>
      </c>
      <c r="AW121" s="9" t="s">
        <v>97</v>
      </c>
      <c r="AX121" s="13">
        <f>3.53/4.82</f>
        <v>0.7323651452</v>
      </c>
      <c r="AY121" s="10">
        <v>0.0</v>
      </c>
      <c r="AZ121" s="10">
        <v>0.0</v>
      </c>
      <c r="BA121" s="10">
        <v>0.0</v>
      </c>
      <c r="BB121" s="13">
        <f>2.59/2.62</f>
        <v>0.9885496183</v>
      </c>
      <c r="BC121" s="10">
        <v>1.0</v>
      </c>
      <c r="BD121" s="10">
        <v>0.0</v>
      </c>
      <c r="BE121" s="10"/>
      <c r="BF121" s="9">
        <v>0.0</v>
      </c>
      <c r="BG121" s="9" t="s">
        <v>84</v>
      </c>
      <c r="BH121" s="9">
        <v>0.0</v>
      </c>
      <c r="BI121" s="9">
        <v>0.0</v>
      </c>
      <c r="BJ121" s="9">
        <v>0.0</v>
      </c>
      <c r="BK121" s="9">
        <v>0.0</v>
      </c>
      <c r="BL121" s="9">
        <v>0.0</v>
      </c>
      <c r="BM121" s="9">
        <v>0.0</v>
      </c>
      <c r="BN121" s="9">
        <v>0.0</v>
      </c>
      <c r="BO121" s="9">
        <v>0.0</v>
      </c>
      <c r="BP121" s="9" t="s">
        <v>84</v>
      </c>
      <c r="BQ121" s="9" t="s">
        <v>84</v>
      </c>
      <c r="BR121" s="9">
        <v>0.0</v>
      </c>
      <c r="BS121" s="9" t="s">
        <v>84</v>
      </c>
      <c r="BT121" s="9">
        <v>0.0</v>
      </c>
      <c r="BU121" s="9">
        <v>0.0</v>
      </c>
      <c r="BV121" s="9">
        <v>0.0</v>
      </c>
      <c r="BW121" s="10">
        <v>0.0</v>
      </c>
      <c r="BX121" s="14">
        <v>0.0</v>
      </c>
      <c r="BY121" s="9">
        <v>0.0</v>
      </c>
      <c r="BZ121" s="9">
        <v>0.0</v>
      </c>
      <c r="CA121" s="9">
        <v>0.0</v>
      </c>
      <c r="CB121" s="9">
        <v>0.0</v>
      </c>
      <c r="CC121" s="15" t="s">
        <v>102</v>
      </c>
      <c r="CD121" s="17"/>
    </row>
    <row r="122" ht="15.75" customHeight="1">
      <c r="A122" s="9">
        <v>121.0</v>
      </c>
      <c r="B122" s="10">
        <v>38.0</v>
      </c>
      <c r="C122" s="9" t="s">
        <v>86</v>
      </c>
      <c r="D122" s="11" t="s">
        <v>82</v>
      </c>
      <c r="E122" s="9" t="s">
        <v>103</v>
      </c>
      <c r="F122" s="12">
        <v>175.26</v>
      </c>
      <c r="G122" s="12">
        <v>108.9</v>
      </c>
      <c r="H122" s="12">
        <f t="shared" si="3"/>
        <v>35.45375711</v>
      </c>
      <c r="I122" s="9">
        <v>1.0</v>
      </c>
      <c r="J122" s="9">
        <v>1.0</v>
      </c>
      <c r="K122" s="9">
        <v>2.0</v>
      </c>
      <c r="L122" s="9">
        <v>1.0</v>
      </c>
      <c r="M122" s="9">
        <v>122.0</v>
      </c>
      <c r="N122" s="9">
        <v>0.0</v>
      </c>
      <c r="O122" s="9">
        <v>177.0</v>
      </c>
      <c r="P122" s="9">
        <v>0.0</v>
      </c>
      <c r="Q122" s="9">
        <v>17.0</v>
      </c>
      <c r="R122" s="9">
        <v>0.0</v>
      </c>
      <c r="S122" s="12">
        <v>98.1</v>
      </c>
      <c r="T122" s="9">
        <v>0.0</v>
      </c>
      <c r="U122" s="9">
        <v>98.0</v>
      </c>
      <c r="V122" s="9">
        <v>0.0</v>
      </c>
      <c r="W122" s="9">
        <v>0.0</v>
      </c>
      <c r="X122" s="9">
        <v>0.0</v>
      </c>
      <c r="Y122" s="9">
        <v>0.0</v>
      </c>
      <c r="Z122" s="9">
        <v>0.0</v>
      </c>
      <c r="AA122" s="9">
        <v>0.0</v>
      </c>
      <c r="AB122" s="9">
        <v>0.0</v>
      </c>
      <c r="AC122" s="9">
        <v>0.0</v>
      </c>
      <c r="AD122" s="9">
        <v>0.0</v>
      </c>
      <c r="AE122" s="9">
        <v>1.0</v>
      </c>
      <c r="AF122" s="9">
        <v>0.0</v>
      </c>
      <c r="AG122" s="9">
        <v>0.0</v>
      </c>
      <c r="AH122" s="9">
        <v>0.0</v>
      </c>
      <c r="AI122" s="9">
        <v>0.0</v>
      </c>
      <c r="AJ122" s="9">
        <v>0.0</v>
      </c>
      <c r="AK122" s="9">
        <v>0.0</v>
      </c>
      <c r="AL122" s="9">
        <v>0.0</v>
      </c>
      <c r="AM122" s="9">
        <v>0.0</v>
      </c>
      <c r="AN122" s="9">
        <v>0.0</v>
      </c>
      <c r="AO122" s="9">
        <v>1.0</v>
      </c>
      <c r="AP122" s="9">
        <v>1.0</v>
      </c>
      <c r="AQ122" s="9">
        <v>1.0</v>
      </c>
      <c r="AR122" s="9">
        <v>0.0</v>
      </c>
      <c r="AS122" s="9">
        <v>0.0</v>
      </c>
      <c r="AT122" s="9">
        <v>0.0</v>
      </c>
      <c r="AU122" s="9">
        <v>0.0</v>
      </c>
      <c r="AV122" s="9">
        <v>1.0</v>
      </c>
      <c r="AW122" s="9" t="s">
        <v>97</v>
      </c>
      <c r="AX122" s="13">
        <f>3.88/4.12</f>
        <v>0.9417475728</v>
      </c>
      <c r="AY122" s="10">
        <v>0.0</v>
      </c>
      <c r="AZ122" s="10">
        <v>1.0</v>
      </c>
      <c r="BA122" s="10">
        <v>0.0</v>
      </c>
      <c r="BB122" s="13">
        <f>3.14/2.87</f>
        <v>1.094076655</v>
      </c>
      <c r="BC122" s="10">
        <v>4.0</v>
      </c>
      <c r="BD122" s="10">
        <v>0.0</v>
      </c>
      <c r="BE122" s="10"/>
      <c r="BF122" s="9">
        <v>0.0</v>
      </c>
      <c r="BG122" s="9" t="s">
        <v>84</v>
      </c>
      <c r="BH122" s="9">
        <v>0.0</v>
      </c>
      <c r="BI122" s="9">
        <v>0.0</v>
      </c>
      <c r="BJ122" s="9">
        <v>0.0</v>
      </c>
      <c r="BK122" s="9">
        <v>0.0</v>
      </c>
      <c r="BL122" s="9">
        <v>0.0</v>
      </c>
      <c r="BM122" s="9">
        <v>0.0</v>
      </c>
      <c r="BN122" s="9">
        <v>0.0</v>
      </c>
      <c r="BO122" s="9">
        <v>0.0</v>
      </c>
      <c r="BP122" s="9" t="s">
        <v>84</v>
      </c>
      <c r="BQ122" s="9" t="s">
        <v>84</v>
      </c>
      <c r="BR122" s="9">
        <v>0.0</v>
      </c>
      <c r="BS122" s="9" t="s">
        <v>84</v>
      </c>
      <c r="BT122" s="9">
        <v>0.0</v>
      </c>
      <c r="BU122" s="9">
        <v>0.0</v>
      </c>
      <c r="BV122" s="9">
        <v>0.0</v>
      </c>
      <c r="BW122" s="10">
        <v>0.0</v>
      </c>
      <c r="BX122" s="14">
        <v>0.0</v>
      </c>
      <c r="BY122" s="9">
        <v>0.0</v>
      </c>
      <c r="BZ122" s="9">
        <v>0.0</v>
      </c>
      <c r="CA122" s="9">
        <v>0.0</v>
      </c>
      <c r="CB122" s="9">
        <v>0.0</v>
      </c>
      <c r="CC122" s="15" t="s">
        <v>102</v>
      </c>
      <c r="CD122" s="16"/>
    </row>
    <row r="123" ht="15.75" customHeight="1">
      <c r="A123" s="9">
        <v>122.0</v>
      </c>
      <c r="B123" s="10">
        <v>65.0</v>
      </c>
      <c r="C123" s="9" t="s">
        <v>81</v>
      </c>
      <c r="D123" s="11" t="s">
        <v>82</v>
      </c>
      <c r="E123" s="9" t="s">
        <v>83</v>
      </c>
      <c r="F123" s="12">
        <v>172.72</v>
      </c>
      <c r="G123" s="12">
        <v>90.7</v>
      </c>
      <c r="H123" s="12">
        <f t="shared" si="3"/>
        <v>30.40339126</v>
      </c>
      <c r="I123" s="9">
        <v>1.0</v>
      </c>
      <c r="J123" s="9">
        <v>3.0</v>
      </c>
      <c r="K123" s="19">
        <v>3.0</v>
      </c>
      <c r="L123" s="9">
        <v>0.0</v>
      </c>
      <c r="M123" s="9">
        <v>60.0</v>
      </c>
      <c r="N123" s="9">
        <v>1.0</v>
      </c>
      <c r="O123" s="9">
        <v>87.0</v>
      </c>
      <c r="P123" s="9">
        <v>0.0</v>
      </c>
      <c r="Q123" s="9">
        <v>22.0</v>
      </c>
      <c r="R123" s="9">
        <v>0.0</v>
      </c>
      <c r="S123" s="12">
        <v>98.5</v>
      </c>
      <c r="T123" s="9">
        <v>1.0</v>
      </c>
      <c r="U123" s="9">
        <v>88.0</v>
      </c>
      <c r="V123" s="9">
        <v>1.0</v>
      </c>
      <c r="W123" s="9">
        <v>0.0</v>
      </c>
      <c r="X123" s="9">
        <v>1.0</v>
      </c>
      <c r="Y123" s="9">
        <v>1.0</v>
      </c>
      <c r="Z123" s="9">
        <v>0.0</v>
      </c>
      <c r="AA123" s="9">
        <v>0.0</v>
      </c>
      <c r="AB123" s="9">
        <v>0.0</v>
      </c>
      <c r="AC123" s="9">
        <v>0.0</v>
      </c>
      <c r="AD123" s="9">
        <v>0.0</v>
      </c>
      <c r="AE123" s="9">
        <v>0.0</v>
      </c>
      <c r="AF123" s="9">
        <v>0.0</v>
      </c>
      <c r="AG123" s="9">
        <v>1.0</v>
      </c>
      <c r="AH123" s="9">
        <v>0.0</v>
      </c>
      <c r="AI123" s="9">
        <v>1.0</v>
      </c>
      <c r="AJ123" s="9">
        <v>0.0</v>
      </c>
      <c r="AK123" s="9">
        <v>1.0</v>
      </c>
      <c r="AL123" s="9">
        <v>0.0</v>
      </c>
      <c r="AM123" s="9">
        <v>0.0</v>
      </c>
      <c r="AN123" s="9">
        <v>0.0</v>
      </c>
      <c r="AO123" s="9">
        <v>1.0</v>
      </c>
      <c r="AP123" s="9">
        <v>1.0</v>
      </c>
      <c r="AQ123" s="9">
        <v>0.0</v>
      </c>
      <c r="AR123" s="9">
        <v>1.0</v>
      </c>
      <c r="AS123" s="9">
        <v>1.0</v>
      </c>
      <c r="AT123" s="9">
        <v>1.0</v>
      </c>
      <c r="AU123" s="9">
        <v>1.0</v>
      </c>
      <c r="AV123" s="9">
        <v>0.0</v>
      </c>
      <c r="AW123" s="9">
        <v>50.0</v>
      </c>
      <c r="AX123" s="13">
        <f>3.98/3.89</f>
        <v>1.023136247</v>
      </c>
      <c r="AY123" s="10">
        <v>0.0</v>
      </c>
      <c r="AZ123" s="10">
        <v>0.0</v>
      </c>
      <c r="BA123" s="10">
        <v>1.0</v>
      </c>
      <c r="BB123" s="13">
        <f>2.97/3.06</f>
        <v>0.9705882353</v>
      </c>
      <c r="BC123" s="10">
        <v>4.0</v>
      </c>
      <c r="BD123" s="10">
        <v>1.0</v>
      </c>
      <c r="BE123" s="10"/>
      <c r="BF123" s="9">
        <v>0.0</v>
      </c>
      <c r="BG123" s="9" t="s">
        <v>84</v>
      </c>
      <c r="BH123" s="9">
        <v>1.0</v>
      </c>
      <c r="BI123" s="9">
        <v>1.0</v>
      </c>
      <c r="BJ123" s="9">
        <v>0.0</v>
      </c>
      <c r="BK123" s="9">
        <v>0.0</v>
      </c>
      <c r="BL123" s="9">
        <v>0.0</v>
      </c>
      <c r="BM123" s="9">
        <v>0.0</v>
      </c>
      <c r="BN123" s="9">
        <v>0.0</v>
      </c>
      <c r="BO123" s="9">
        <v>0.0</v>
      </c>
      <c r="BP123" s="9" t="s">
        <v>84</v>
      </c>
      <c r="BQ123" s="9" t="s">
        <v>84</v>
      </c>
      <c r="BR123" s="9">
        <v>0.0</v>
      </c>
      <c r="BS123" s="9" t="s">
        <v>84</v>
      </c>
      <c r="BT123" s="9">
        <v>0.0</v>
      </c>
      <c r="BU123" s="9">
        <v>0.0</v>
      </c>
      <c r="BV123" s="9">
        <v>0.0</v>
      </c>
      <c r="BW123" s="10">
        <v>0.0</v>
      </c>
      <c r="BX123" s="14">
        <v>0.0</v>
      </c>
      <c r="BY123" s="9">
        <v>0.0</v>
      </c>
      <c r="BZ123" s="9">
        <v>1.0</v>
      </c>
      <c r="CA123" s="9">
        <v>0.0</v>
      </c>
      <c r="CB123" s="9">
        <v>0.0</v>
      </c>
      <c r="CC123" s="15" t="s">
        <v>92</v>
      </c>
      <c r="CD123" s="16"/>
    </row>
    <row r="124" ht="15.75" customHeight="1">
      <c r="A124" s="9">
        <v>123.0</v>
      </c>
      <c r="B124" s="10">
        <v>38.0</v>
      </c>
      <c r="C124" s="9" t="s">
        <v>86</v>
      </c>
      <c r="D124" s="11" t="s">
        <v>82</v>
      </c>
      <c r="E124" s="9" t="s">
        <v>109</v>
      </c>
      <c r="F124" s="12">
        <v>172.72</v>
      </c>
      <c r="G124" s="12">
        <v>89.0</v>
      </c>
      <c r="H124" s="12">
        <f t="shared" si="3"/>
        <v>29.83353718</v>
      </c>
      <c r="I124" s="9">
        <v>0.0</v>
      </c>
      <c r="J124" s="9">
        <v>1.0</v>
      </c>
      <c r="K124" s="9">
        <v>1.0</v>
      </c>
      <c r="L124" s="9">
        <v>0.0</v>
      </c>
      <c r="M124" s="9">
        <v>96.0</v>
      </c>
      <c r="N124" s="9">
        <v>0.0</v>
      </c>
      <c r="O124" s="9">
        <v>145.0</v>
      </c>
      <c r="P124" s="9">
        <v>0.0</v>
      </c>
      <c r="Q124" s="9">
        <v>20.0</v>
      </c>
      <c r="R124" s="9">
        <v>0.0</v>
      </c>
      <c r="S124" s="12">
        <v>99.1</v>
      </c>
      <c r="T124" s="9">
        <v>0.0</v>
      </c>
      <c r="U124" s="9">
        <v>97.0</v>
      </c>
      <c r="V124" s="9">
        <v>1.0</v>
      </c>
      <c r="W124" s="9">
        <v>0.0</v>
      </c>
      <c r="X124" s="9">
        <v>0.0</v>
      </c>
      <c r="Y124" s="9">
        <v>0.0</v>
      </c>
      <c r="Z124" s="9">
        <v>0.0</v>
      </c>
      <c r="AA124" s="9">
        <v>0.0</v>
      </c>
      <c r="AB124" s="9">
        <v>0.0</v>
      </c>
      <c r="AC124" s="9">
        <v>0.0</v>
      </c>
      <c r="AD124" s="9">
        <v>0.0</v>
      </c>
      <c r="AE124" s="9">
        <v>0.0</v>
      </c>
      <c r="AF124" s="9">
        <v>0.0</v>
      </c>
      <c r="AG124" s="9">
        <v>1.0</v>
      </c>
      <c r="AH124" s="9">
        <v>0.0</v>
      </c>
      <c r="AI124" s="9">
        <v>1.0</v>
      </c>
      <c r="AJ124" s="9">
        <v>0.0</v>
      </c>
      <c r="AK124" s="9">
        <v>0.0</v>
      </c>
      <c r="AL124" s="9">
        <v>0.0</v>
      </c>
      <c r="AM124" s="9">
        <v>0.0</v>
      </c>
      <c r="AN124" s="9">
        <v>0.0</v>
      </c>
      <c r="AO124" s="9">
        <v>0.0</v>
      </c>
      <c r="AP124" s="9" t="s">
        <v>84</v>
      </c>
      <c r="AQ124" s="9">
        <v>0.0</v>
      </c>
      <c r="AR124" s="9">
        <v>0.0</v>
      </c>
      <c r="AS124" s="9">
        <v>0.0</v>
      </c>
      <c r="AT124" s="9">
        <v>0.0</v>
      </c>
      <c r="AU124" s="9">
        <v>0.0</v>
      </c>
      <c r="AV124" s="9">
        <v>0.0</v>
      </c>
      <c r="AW124" s="9">
        <v>27.4</v>
      </c>
      <c r="AX124" s="13">
        <f>4.04/4.34</f>
        <v>0.930875576</v>
      </c>
      <c r="AY124" s="10">
        <v>0.0</v>
      </c>
      <c r="AZ124" s="10">
        <v>1.0</v>
      </c>
      <c r="BA124" s="10">
        <v>0.0</v>
      </c>
      <c r="BB124" s="13">
        <f>2.85/3.13</f>
        <v>0.910543131</v>
      </c>
      <c r="BC124" s="10">
        <v>3.0</v>
      </c>
      <c r="BD124" s="10">
        <v>0.0</v>
      </c>
      <c r="BE124" s="10"/>
      <c r="BF124" s="9">
        <v>0.0</v>
      </c>
      <c r="BG124" s="9" t="s">
        <v>84</v>
      </c>
      <c r="BH124" s="9">
        <v>1.0</v>
      </c>
      <c r="BI124" s="9">
        <v>0.0</v>
      </c>
      <c r="BJ124" s="9">
        <v>0.0</v>
      </c>
      <c r="BK124" s="9">
        <v>0.0</v>
      </c>
      <c r="BL124" s="9">
        <v>0.0</v>
      </c>
      <c r="BM124" s="9">
        <v>0.0</v>
      </c>
      <c r="BN124" s="9">
        <v>0.0</v>
      </c>
      <c r="BO124" s="9">
        <v>0.0</v>
      </c>
      <c r="BP124" s="9" t="s">
        <v>84</v>
      </c>
      <c r="BQ124" s="9" t="s">
        <v>84</v>
      </c>
      <c r="BR124" s="9">
        <v>0.0</v>
      </c>
      <c r="BS124" s="9" t="s">
        <v>84</v>
      </c>
      <c r="BT124" s="9">
        <v>0.0</v>
      </c>
      <c r="BU124" s="9">
        <v>0.0</v>
      </c>
      <c r="BV124" s="9">
        <v>0.0</v>
      </c>
      <c r="BW124" s="10">
        <v>0.0</v>
      </c>
      <c r="BX124" s="14">
        <v>0.0</v>
      </c>
      <c r="BY124" s="9">
        <v>0.0</v>
      </c>
      <c r="BZ124" s="9">
        <v>1.0</v>
      </c>
      <c r="CA124" s="9">
        <v>0.0</v>
      </c>
      <c r="CB124" s="9">
        <v>0.0</v>
      </c>
      <c r="CC124" s="15" t="s">
        <v>87</v>
      </c>
      <c r="CD124" s="16"/>
    </row>
    <row r="125" ht="15.75" customHeight="1">
      <c r="A125" s="9">
        <v>124.0</v>
      </c>
      <c r="B125" s="10">
        <v>78.0</v>
      </c>
      <c r="C125" s="9" t="s">
        <v>86</v>
      </c>
      <c r="D125" s="11" t="s">
        <v>82</v>
      </c>
      <c r="E125" s="9" t="s">
        <v>119</v>
      </c>
      <c r="F125" s="12">
        <v>172.72</v>
      </c>
      <c r="G125" s="12">
        <v>86.2</v>
      </c>
      <c r="H125" s="12">
        <f t="shared" si="3"/>
        <v>28.89495398</v>
      </c>
      <c r="I125" s="9">
        <v>0.0</v>
      </c>
      <c r="J125" s="9">
        <v>2.0</v>
      </c>
      <c r="K125" s="9">
        <v>2.0</v>
      </c>
      <c r="L125" s="9">
        <v>0.0</v>
      </c>
      <c r="M125" s="9">
        <v>86.0</v>
      </c>
      <c r="N125" s="9">
        <v>0.0</v>
      </c>
      <c r="O125" s="9">
        <v>113.0</v>
      </c>
      <c r="P125" s="9">
        <v>0.0</v>
      </c>
      <c r="Q125" s="9">
        <v>18.0</v>
      </c>
      <c r="R125" s="9">
        <v>0.0</v>
      </c>
      <c r="S125" s="12">
        <v>98.5</v>
      </c>
      <c r="T125" s="9">
        <v>0.0</v>
      </c>
      <c r="U125" s="9">
        <v>91.0</v>
      </c>
      <c r="V125" s="9">
        <v>1.0</v>
      </c>
      <c r="W125" s="9">
        <v>0.0</v>
      </c>
      <c r="X125" s="9">
        <v>0.0</v>
      </c>
      <c r="Y125" s="9">
        <v>0.0</v>
      </c>
      <c r="Z125" s="9">
        <v>0.0</v>
      </c>
      <c r="AA125" s="9">
        <v>0.0</v>
      </c>
      <c r="AB125" s="9">
        <v>0.0</v>
      </c>
      <c r="AC125" s="9">
        <v>0.0</v>
      </c>
      <c r="AD125" s="9">
        <v>0.0</v>
      </c>
      <c r="AE125" s="9">
        <v>0.0</v>
      </c>
      <c r="AF125" s="9">
        <v>0.0</v>
      </c>
      <c r="AG125" s="9">
        <v>0.0</v>
      </c>
      <c r="AH125" s="9">
        <v>0.0</v>
      </c>
      <c r="AI125" s="9">
        <v>0.0</v>
      </c>
      <c r="AJ125" s="9">
        <v>0.0</v>
      </c>
      <c r="AK125" s="9">
        <v>1.0</v>
      </c>
      <c r="AL125" s="9">
        <v>1.0</v>
      </c>
      <c r="AM125" s="9">
        <v>0.0</v>
      </c>
      <c r="AN125" s="9">
        <v>0.0</v>
      </c>
      <c r="AO125" s="9" t="s">
        <v>84</v>
      </c>
      <c r="AP125" s="9" t="s">
        <v>84</v>
      </c>
      <c r="AQ125" s="9">
        <v>0.0</v>
      </c>
      <c r="AR125" s="9">
        <v>0.0</v>
      </c>
      <c r="AS125" s="9">
        <v>1.0</v>
      </c>
      <c r="AT125" s="9">
        <v>1.0</v>
      </c>
      <c r="AU125" s="9">
        <v>1.0</v>
      </c>
      <c r="AV125" s="9">
        <v>0.0</v>
      </c>
      <c r="AW125" s="9">
        <v>40.9</v>
      </c>
      <c r="AX125" s="13">
        <f>4.5/3.65</f>
        <v>1.232876712</v>
      </c>
      <c r="AY125" s="10">
        <v>0.0</v>
      </c>
      <c r="AZ125" s="10">
        <v>0.0</v>
      </c>
      <c r="BA125" s="10">
        <v>1.0</v>
      </c>
      <c r="BB125" s="13">
        <f>2.78/3.15</f>
        <v>0.8825396825</v>
      </c>
      <c r="BC125" s="10">
        <v>1.0</v>
      </c>
      <c r="BD125" s="10">
        <v>1.0</v>
      </c>
      <c r="BE125" s="10"/>
      <c r="BF125" s="9">
        <v>0.0</v>
      </c>
      <c r="BG125" s="9" t="s">
        <v>84</v>
      </c>
      <c r="BH125" s="9">
        <v>1.0</v>
      </c>
      <c r="BI125" s="9">
        <v>0.0</v>
      </c>
      <c r="BJ125" s="9">
        <v>0.0</v>
      </c>
      <c r="BK125" s="9">
        <v>0.0</v>
      </c>
      <c r="BL125" s="9">
        <v>0.0</v>
      </c>
      <c r="BM125" s="9">
        <v>0.0</v>
      </c>
      <c r="BN125" s="9">
        <v>0.0</v>
      </c>
      <c r="BO125" s="9">
        <v>1.0</v>
      </c>
      <c r="BP125" s="9">
        <v>0.0</v>
      </c>
      <c r="BQ125" s="9">
        <v>1.0</v>
      </c>
      <c r="BR125" s="9">
        <v>0.0</v>
      </c>
      <c r="BS125" s="9" t="s">
        <v>84</v>
      </c>
      <c r="BT125" s="9">
        <v>0.0</v>
      </c>
      <c r="BU125" s="9">
        <v>0.0</v>
      </c>
      <c r="BV125" s="9">
        <v>0.0</v>
      </c>
      <c r="BW125" s="10">
        <v>0.0</v>
      </c>
      <c r="BX125" s="14">
        <v>0.0</v>
      </c>
      <c r="BY125" s="9">
        <v>0.0</v>
      </c>
      <c r="BZ125" s="9">
        <v>1.0</v>
      </c>
      <c r="CA125" s="9">
        <v>0.0</v>
      </c>
      <c r="CB125" s="9">
        <v>0.0</v>
      </c>
      <c r="CC125" s="15" t="s">
        <v>92</v>
      </c>
      <c r="CD125" s="16"/>
    </row>
    <row r="126" ht="15.75" customHeight="1">
      <c r="A126" s="9">
        <v>125.0</v>
      </c>
      <c r="B126" s="10">
        <v>80.0</v>
      </c>
      <c r="C126" s="9" t="s">
        <v>81</v>
      </c>
      <c r="D126" s="11" t="s">
        <v>88</v>
      </c>
      <c r="E126" s="9" t="s">
        <v>109</v>
      </c>
      <c r="F126" s="12" t="s">
        <v>84</v>
      </c>
      <c r="G126" s="12">
        <v>65.3</v>
      </c>
      <c r="H126" s="12">
        <v>21.27</v>
      </c>
      <c r="I126" s="9">
        <v>1.0</v>
      </c>
      <c r="J126" s="9">
        <v>5.0</v>
      </c>
      <c r="K126" s="9">
        <v>1.0</v>
      </c>
      <c r="L126" s="9">
        <v>0.0</v>
      </c>
      <c r="M126" s="9">
        <v>98.0</v>
      </c>
      <c r="N126" s="9">
        <v>0.0</v>
      </c>
      <c r="O126" s="9">
        <v>169.0</v>
      </c>
      <c r="P126" s="9">
        <v>0.0</v>
      </c>
      <c r="Q126" s="9">
        <v>18.0</v>
      </c>
      <c r="R126" s="9">
        <v>1.0</v>
      </c>
      <c r="S126" s="12">
        <v>95.7</v>
      </c>
      <c r="T126" s="9">
        <v>0.0</v>
      </c>
      <c r="U126" s="9">
        <v>99.0</v>
      </c>
      <c r="V126" s="9">
        <v>1.0</v>
      </c>
      <c r="W126" s="9">
        <v>0.0</v>
      </c>
      <c r="X126" s="9">
        <v>0.0</v>
      </c>
      <c r="Y126" s="9">
        <v>0.0</v>
      </c>
      <c r="Z126" s="9">
        <v>1.0</v>
      </c>
      <c r="AA126" s="9">
        <v>0.0</v>
      </c>
      <c r="AB126" s="9">
        <v>0.0</v>
      </c>
      <c r="AC126" s="9">
        <v>0.0</v>
      </c>
      <c r="AD126" s="9">
        <v>0.0</v>
      </c>
      <c r="AE126" s="9">
        <v>1.0</v>
      </c>
      <c r="AF126" s="9">
        <v>0.0</v>
      </c>
      <c r="AG126" s="9">
        <v>0.0</v>
      </c>
      <c r="AH126" s="9">
        <v>0.0</v>
      </c>
      <c r="AI126" s="9">
        <v>0.0</v>
      </c>
      <c r="AJ126" s="9">
        <v>0.0</v>
      </c>
      <c r="AK126" s="9">
        <v>0.0</v>
      </c>
      <c r="AL126" s="9">
        <v>0.0</v>
      </c>
      <c r="AM126" s="9">
        <v>0.0</v>
      </c>
      <c r="AN126" s="9">
        <v>0.0</v>
      </c>
      <c r="AO126" s="9" t="s">
        <v>84</v>
      </c>
      <c r="AP126" s="9" t="s">
        <v>84</v>
      </c>
      <c r="AQ126" s="9" t="s">
        <v>84</v>
      </c>
      <c r="AR126" s="9">
        <v>0.0</v>
      </c>
      <c r="AS126" s="9" t="s">
        <v>84</v>
      </c>
      <c r="AT126" s="9" t="s">
        <v>84</v>
      </c>
      <c r="AU126" s="9" t="s">
        <v>84</v>
      </c>
      <c r="AV126" s="9" t="s">
        <v>84</v>
      </c>
      <c r="AW126" s="9" t="s">
        <v>84</v>
      </c>
      <c r="AX126" s="13">
        <f>5.52/4.59</f>
        <v>1.202614379</v>
      </c>
      <c r="AY126" s="10">
        <v>0.0</v>
      </c>
      <c r="AZ126" s="10">
        <v>0.0</v>
      </c>
      <c r="BA126" s="10">
        <v>1.0</v>
      </c>
      <c r="BB126" s="13">
        <f>3.22/3.38</f>
        <v>0.9526627219</v>
      </c>
      <c r="BC126" s="10">
        <v>2.0</v>
      </c>
      <c r="BD126" s="10">
        <v>1.0</v>
      </c>
      <c r="BE126" s="10"/>
      <c r="BF126" s="9">
        <v>0.0</v>
      </c>
      <c r="BG126" s="9" t="s">
        <v>84</v>
      </c>
      <c r="BH126" s="9" t="s">
        <v>84</v>
      </c>
      <c r="BI126" s="9">
        <v>0.0</v>
      </c>
      <c r="BJ126" s="9" t="s">
        <v>84</v>
      </c>
      <c r="BK126" s="9" t="s">
        <v>84</v>
      </c>
      <c r="BL126" s="9" t="s">
        <v>84</v>
      </c>
      <c r="BM126" s="9" t="s">
        <v>84</v>
      </c>
      <c r="BN126" s="9" t="s">
        <v>84</v>
      </c>
      <c r="BO126" s="9" t="s">
        <v>84</v>
      </c>
      <c r="BP126" s="9" t="s">
        <v>84</v>
      </c>
      <c r="BQ126" s="9" t="s">
        <v>84</v>
      </c>
      <c r="BR126" s="9" t="s">
        <v>84</v>
      </c>
      <c r="BS126" s="9" t="s">
        <v>84</v>
      </c>
      <c r="BT126" s="9" t="s">
        <v>84</v>
      </c>
      <c r="BU126" s="9" t="s">
        <v>84</v>
      </c>
      <c r="BV126" s="9">
        <v>0.0</v>
      </c>
      <c r="BW126" s="10" t="s">
        <v>94</v>
      </c>
      <c r="BX126" s="14" t="s">
        <v>94</v>
      </c>
      <c r="BY126" s="9" t="s">
        <v>84</v>
      </c>
      <c r="BZ126" s="9" t="s">
        <v>84</v>
      </c>
      <c r="CA126" s="9">
        <v>0.0</v>
      </c>
      <c r="CB126" s="9">
        <v>0.0</v>
      </c>
      <c r="CC126" s="15" t="s">
        <v>104</v>
      </c>
      <c r="CD126" s="16"/>
    </row>
    <row r="127" ht="15.75" customHeight="1">
      <c r="A127" s="9">
        <v>126.0</v>
      </c>
      <c r="B127" s="10">
        <v>58.0</v>
      </c>
      <c r="C127" s="9" t="s">
        <v>81</v>
      </c>
      <c r="D127" s="11" t="s">
        <v>88</v>
      </c>
      <c r="E127" s="9" t="s">
        <v>103</v>
      </c>
      <c r="F127" s="12">
        <v>182.88</v>
      </c>
      <c r="G127" s="12">
        <v>108.0</v>
      </c>
      <c r="H127" s="12">
        <f t="shared" ref="H127:H181" si="4">G127/((F127/100)^2)</f>
        <v>32.29173125</v>
      </c>
      <c r="I127" s="9">
        <v>1.0</v>
      </c>
      <c r="J127" s="9">
        <v>2.0</v>
      </c>
      <c r="K127" s="9">
        <v>1.0</v>
      </c>
      <c r="L127" s="9">
        <v>1.0</v>
      </c>
      <c r="M127" s="9">
        <v>113.0</v>
      </c>
      <c r="N127" s="9">
        <v>0.0</v>
      </c>
      <c r="O127" s="9">
        <v>144.0</v>
      </c>
      <c r="P127" s="9">
        <v>0.0</v>
      </c>
      <c r="Q127" s="9">
        <v>18.0</v>
      </c>
      <c r="R127" s="9">
        <v>0.0</v>
      </c>
      <c r="S127" s="12">
        <v>97.7</v>
      </c>
      <c r="T127" s="9">
        <v>0.0</v>
      </c>
      <c r="U127" s="9">
        <v>98.0</v>
      </c>
      <c r="V127" s="9">
        <v>1.0</v>
      </c>
      <c r="W127" s="9">
        <v>0.0</v>
      </c>
      <c r="X127" s="9">
        <v>0.0</v>
      </c>
      <c r="Y127" s="9">
        <v>0.0</v>
      </c>
      <c r="Z127" s="9">
        <v>0.0</v>
      </c>
      <c r="AA127" s="9">
        <v>0.0</v>
      </c>
      <c r="AB127" s="9">
        <v>0.0</v>
      </c>
      <c r="AC127" s="9">
        <v>0.0</v>
      </c>
      <c r="AD127" s="9">
        <v>0.0</v>
      </c>
      <c r="AE127" s="9">
        <v>0.0</v>
      </c>
      <c r="AF127" s="9">
        <v>1.0</v>
      </c>
      <c r="AG127" s="9">
        <v>1.0</v>
      </c>
      <c r="AH127" s="9">
        <v>0.0</v>
      </c>
      <c r="AI127" s="9">
        <v>0.0</v>
      </c>
      <c r="AJ127" s="9">
        <v>0.0</v>
      </c>
      <c r="AK127" s="9">
        <v>0.0</v>
      </c>
      <c r="AL127" s="9">
        <v>0.0</v>
      </c>
      <c r="AM127" s="9">
        <v>0.0</v>
      </c>
      <c r="AN127" s="9">
        <v>0.0</v>
      </c>
      <c r="AO127" s="9">
        <v>1.0</v>
      </c>
      <c r="AP127" s="9">
        <v>1.0</v>
      </c>
      <c r="AQ127" s="9">
        <v>0.0</v>
      </c>
      <c r="AR127" s="9">
        <v>0.0</v>
      </c>
      <c r="AS127" s="9">
        <v>0.0</v>
      </c>
      <c r="AT127" s="9">
        <v>0.0</v>
      </c>
      <c r="AU127" s="9">
        <v>0.0</v>
      </c>
      <c r="AV127" s="9">
        <v>0.0</v>
      </c>
      <c r="AW127" s="9">
        <v>56.4</v>
      </c>
      <c r="AX127" s="13">
        <f>4.16/4.57</f>
        <v>0.9102844639</v>
      </c>
      <c r="AY127" s="10">
        <v>0.0</v>
      </c>
      <c r="AZ127" s="10">
        <v>1.0</v>
      </c>
      <c r="BA127" s="10">
        <v>0.0</v>
      </c>
      <c r="BB127" s="13">
        <f>3.12/3.16</f>
        <v>0.9873417722</v>
      </c>
      <c r="BC127" s="10">
        <v>2.0</v>
      </c>
      <c r="BD127" s="10">
        <v>1.0</v>
      </c>
      <c r="BE127" s="10"/>
      <c r="BF127" s="9">
        <v>0.0</v>
      </c>
      <c r="BG127" s="9" t="s">
        <v>84</v>
      </c>
      <c r="BH127" s="9">
        <v>1.0</v>
      </c>
      <c r="BI127" s="9">
        <v>0.0</v>
      </c>
      <c r="BJ127" s="9">
        <v>0.0</v>
      </c>
      <c r="BK127" s="9">
        <v>0.0</v>
      </c>
      <c r="BL127" s="9">
        <v>0.0</v>
      </c>
      <c r="BM127" s="9">
        <v>0.0</v>
      </c>
      <c r="BN127" s="9">
        <v>0.0</v>
      </c>
      <c r="BO127" s="9">
        <v>1.0</v>
      </c>
      <c r="BP127" s="9">
        <v>0.0</v>
      </c>
      <c r="BQ127" s="9">
        <v>1.0</v>
      </c>
      <c r="BR127" s="9">
        <v>0.0</v>
      </c>
      <c r="BS127" s="9" t="s">
        <v>84</v>
      </c>
      <c r="BT127" s="9">
        <v>0.0</v>
      </c>
      <c r="BU127" s="9">
        <v>0.0</v>
      </c>
      <c r="BV127" s="9">
        <v>0.0</v>
      </c>
      <c r="BW127" s="10">
        <v>0.0</v>
      </c>
      <c r="BX127" s="14">
        <v>0.0</v>
      </c>
      <c r="BY127" s="9">
        <v>0.0</v>
      </c>
      <c r="BZ127" s="9">
        <v>1.0</v>
      </c>
      <c r="CA127" s="9">
        <v>0.0</v>
      </c>
      <c r="CB127" s="9">
        <v>0.0</v>
      </c>
      <c r="CC127" s="15" t="s">
        <v>89</v>
      </c>
      <c r="CD127" s="16"/>
    </row>
    <row r="128" ht="15.75" customHeight="1">
      <c r="A128" s="9">
        <v>127.0</v>
      </c>
      <c r="B128" s="10">
        <v>66.0</v>
      </c>
      <c r="C128" s="9" t="s">
        <v>86</v>
      </c>
      <c r="D128" s="11" t="s">
        <v>88</v>
      </c>
      <c r="E128" s="9" t="s">
        <v>96</v>
      </c>
      <c r="F128" s="12">
        <v>170.18</v>
      </c>
      <c r="G128" s="12">
        <v>105.7</v>
      </c>
      <c r="H128" s="12">
        <f t="shared" si="4"/>
        <v>36.49706564</v>
      </c>
      <c r="I128" s="9">
        <v>1.0</v>
      </c>
      <c r="J128" s="9">
        <v>3.0</v>
      </c>
      <c r="K128" s="9">
        <v>1.0</v>
      </c>
      <c r="L128" s="9">
        <v>1.0</v>
      </c>
      <c r="M128" s="9">
        <v>122.0</v>
      </c>
      <c r="N128" s="9">
        <v>0.0</v>
      </c>
      <c r="O128" s="9">
        <v>137.0</v>
      </c>
      <c r="P128" s="9">
        <v>0.0</v>
      </c>
      <c r="Q128" s="9">
        <v>28.0</v>
      </c>
      <c r="R128" s="9">
        <v>0.0</v>
      </c>
      <c r="S128" s="12">
        <v>98.0</v>
      </c>
      <c r="T128" s="9">
        <v>0.0</v>
      </c>
      <c r="U128" s="9">
        <v>91.0</v>
      </c>
      <c r="V128" s="9">
        <v>1.0</v>
      </c>
      <c r="W128" s="9">
        <v>1.0</v>
      </c>
      <c r="X128" s="9">
        <v>0.0</v>
      </c>
      <c r="Y128" s="9">
        <v>0.0</v>
      </c>
      <c r="Z128" s="9">
        <v>0.0</v>
      </c>
      <c r="AA128" s="9">
        <v>0.0</v>
      </c>
      <c r="AB128" s="9">
        <v>0.0</v>
      </c>
      <c r="AC128" s="9">
        <v>0.0</v>
      </c>
      <c r="AD128" s="9">
        <v>0.0</v>
      </c>
      <c r="AE128" s="9">
        <v>0.0</v>
      </c>
      <c r="AF128" s="9">
        <v>0.0</v>
      </c>
      <c r="AG128" s="9">
        <v>1.0</v>
      </c>
      <c r="AH128" s="9">
        <v>0.0</v>
      </c>
      <c r="AI128" s="9">
        <v>1.0</v>
      </c>
      <c r="AJ128" s="9">
        <v>0.0</v>
      </c>
      <c r="AK128" s="9">
        <v>1.0</v>
      </c>
      <c r="AL128" s="9">
        <v>0.0</v>
      </c>
      <c r="AM128" s="9">
        <v>0.0</v>
      </c>
      <c r="AN128" s="9">
        <v>0.0</v>
      </c>
      <c r="AO128" s="9">
        <v>1.0</v>
      </c>
      <c r="AP128" s="9">
        <v>1.0</v>
      </c>
      <c r="AQ128" s="9">
        <v>0.0</v>
      </c>
      <c r="AR128" s="9">
        <v>0.0</v>
      </c>
      <c r="AS128" s="9">
        <v>0.0</v>
      </c>
      <c r="AT128" s="9">
        <v>0.0</v>
      </c>
      <c r="AU128" s="9">
        <v>0.0</v>
      </c>
      <c r="AV128" s="9">
        <v>0.0</v>
      </c>
      <c r="AW128" s="9" t="s">
        <v>97</v>
      </c>
      <c r="AX128" s="13">
        <f>4.47/3.98</f>
        <v>1.123115578</v>
      </c>
      <c r="AY128" s="10">
        <v>0.0</v>
      </c>
      <c r="AZ128" s="10">
        <v>0.0</v>
      </c>
      <c r="BA128" s="10">
        <v>1.0</v>
      </c>
      <c r="BB128" s="13">
        <f>2.59/3.03</f>
        <v>0.8547854785</v>
      </c>
      <c r="BC128" s="10">
        <v>2.0</v>
      </c>
      <c r="BD128" s="10">
        <v>1.0</v>
      </c>
      <c r="BE128" s="10"/>
      <c r="BF128" s="9">
        <v>0.0</v>
      </c>
      <c r="BG128" s="9" t="s">
        <v>84</v>
      </c>
      <c r="BH128" s="9">
        <v>1.0</v>
      </c>
      <c r="BI128" s="9">
        <v>0.0</v>
      </c>
      <c r="BJ128" s="9">
        <v>0.0</v>
      </c>
      <c r="BK128" s="9">
        <v>0.0</v>
      </c>
      <c r="BL128" s="9">
        <v>0.0</v>
      </c>
      <c r="BM128" s="9">
        <v>0.0</v>
      </c>
      <c r="BN128" s="9">
        <v>0.0</v>
      </c>
      <c r="BO128" s="9">
        <v>1.0</v>
      </c>
      <c r="BP128" s="9">
        <v>0.0</v>
      </c>
      <c r="BQ128" s="9">
        <v>1.0</v>
      </c>
      <c r="BR128" s="9">
        <v>1.0</v>
      </c>
      <c r="BS128" s="15" t="s">
        <v>140</v>
      </c>
      <c r="BT128" s="9">
        <v>0.0</v>
      </c>
      <c r="BU128" s="9">
        <v>1.0</v>
      </c>
      <c r="BV128" s="9">
        <v>0.0</v>
      </c>
      <c r="BW128" s="10" t="s">
        <v>94</v>
      </c>
      <c r="BX128" s="14" t="s">
        <v>94</v>
      </c>
      <c r="BY128" s="9">
        <v>0.0</v>
      </c>
      <c r="BZ128" s="9">
        <v>1.0</v>
      </c>
      <c r="CA128" s="9">
        <v>0.0</v>
      </c>
      <c r="CB128" s="9">
        <v>0.0</v>
      </c>
      <c r="CC128" s="15" t="s">
        <v>92</v>
      </c>
      <c r="CD128" s="16"/>
    </row>
    <row r="129" ht="15.75" customHeight="1">
      <c r="A129" s="9">
        <v>128.0</v>
      </c>
      <c r="B129" s="10">
        <v>50.0</v>
      </c>
      <c r="C129" s="9" t="s">
        <v>81</v>
      </c>
      <c r="D129" s="11" t="s">
        <v>88</v>
      </c>
      <c r="E129" s="9" t="s">
        <v>96</v>
      </c>
      <c r="F129" s="12">
        <v>193.04</v>
      </c>
      <c r="G129" s="12">
        <v>128.8</v>
      </c>
      <c r="H129" s="12">
        <f t="shared" si="4"/>
        <v>34.56378104</v>
      </c>
      <c r="I129" s="9">
        <v>1.0</v>
      </c>
      <c r="J129" s="9">
        <v>5.0</v>
      </c>
      <c r="K129" s="9">
        <v>2.0</v>
      </c>
      <c r="L129" s="9">
        <v>1.0</v>
      </c>
      <c r="M129" s="9">
        <v>111.0</v>
      </c>
      <c r="N129" s="9">
        <v>1.0</v>
      </c>
      <c r="O129" s="9">
        <v>98.0</v>
      </c>
      <c r="P129" s="9">
        <v>0.0</v>
      </c>
      <c r="Q129" s="9">
        <v>24.0</v>
      </c>
      <c r="R129" s="9">
        <v>0.0</v>
      </c>
      <c r="S129" s="12">
        <v>97.5</v>
      </c>
      <c r="T129" s="9">
        <v>0.0</v>
      </c>
      <c r="U129" s="9">
        <v>93.0</v>
      </c>
      <c r="V129" s="9">
        <v>1.0</v>
      </c>
      <c r="W129" s="9">
        <v>0.0</v>
      </c>
      <c r="X129" s="9">
        <v>1.0</v>
      </c>
      <c r="Y129" s="9">
        <v>0.0</v>
      </c>
      <c r="Z129" s="9">
        <v>0.0</v>
      </c>
      <c r="AA129" s="9">
        <v>0.0</v>
      </c>
      <c r="AB129" s="9">
        <v>0.0</v>
      </c>
      <c r="AC129" s="9">
        <v>0.0</v>
      </c>
      <c r="AD129" s="9">
        <v>0.0</v>
      </c>
      <c r="AE129" s="9">
        <v>0.0</v>
      </c>
      <c r="AF129" s="9">
        <v>0.0</v>
      </c>
      <c r="AG129" s="9">
        <v>1.0</v>
      </c>
      <c r="AH129" s="9">
        <v>0.0</v>
      </c>
      <c r="AI129" s="9">
        <v>0.0</v>
      </c>
      <c r="AJ129" s="9">
        <v>0.0</v>
      </c>
      <c r="AK129" s="9">
        <v>0.0</v>
      </c>
      <c r="AL129" s="9">
        <v>1.0</v>
      </c>
      <c r="AM129" s="9">
        <v>0.0</v>
      </c>
      <c r="AN129" s="9">
        <v>0.0</v>
      </c>
      <c r="AO129" s="9">
        <v>0.0</v>
      </c>
      <c r="AP129" s="9" t="s">
        <v>84</v>
      </c>
      <c r="AQ129" s="9">
        <v>0.0</v>
      </c>
      <c r="AR129" s="9">
        <v>1.0</v>
      </c>
      <c r="AS129" s="9">
        <v>0.0</v>
      </c>
      <c r="AT129" s="9">
        <v>0.0</v>
      </c>
      <c r="AU129" s="9">
        <v>0.0</v>
      </c>
      <c r="AV129" s="9">
        <v>0.0</v>
      </c>
      <c r="AW129" s="9" t="s">
        <v>97</v>
      </c>
      <c r="AX129" s="13">
        <f>6.5/3.7</f>
        <v>1.756756757</v>
      </c>
      <c r="AY129" s="10">
        <v>0.0</v>
      </c>
      <c r="AZ129" s="10">
        <v>0.0</v>
      </c>
      <c r="BA129" s="10">
        <v>1.0</v>
      </c>
      <c r="BB129" s="13">
        <f>2.88/3.82</f>
        <v>0.7539267016</v>
      </c>
      <c r="BC129" s="10">
        <v>3.0</v>
      </c>
      <c r="BD129" s="10">
        <v>1.0</v>
      </c>
      <c r="BE129" s="10"/>
      <c r="BF129" s="9">
        <v>0.0</v>
      </c>
      <c r="BG129" s="9" t="s">
        <v>84</v>
      </c>
      <c r="BH129" s="9">
        <v>1.0</v>
      </c>
      <c r="BI129" s="9">
        <v>0.0</v>
      </c>
      <c r="BJ129" s="9">
        <v>0.0</v>
      </c>
      <c r="BK129" s="9">
        <v>0.0</v>
      </c>
      <c r="BL129" s="9">
        <v>0.0</v>
      </c>
      <c r="BM129" s="9">
        <v>0.0</v>
      </c>
      <c r="BN129" s="9">
        <v>1.0</v>
      </c>
      <c r="BO129" s="9">
        <v>0.0</v>
      </c>
      <c r="BP129" s="9">
        <v>1.0</v>
      </c>
      <c r="BQ129" s="9">
        <v>1.0</v>
      </c>
      <c r="BR129" s="9">
        <v>1.0</v>
      </c>
      <c r="BS129" s="15" t="s">
        <v>141</v>
      </c>
      <c r="BT129" s="9">
        <v>0.0</v>
      </c>
      <c r="BU129" s="9">
        <v>0.0</v>
      </c>
      <c r="BV129" s="9">
        <v>0.0</v>
      </c>
      <c r="BW129" s="10" t="s">
        <v>94</v>
      </c>
      <c r="BX129" s="14" t="s">
        <v>94</v>
      </c>
      <c r="BY129" s="9">
        <v>0.0</v>
      </c>
      <c r="BZ129" s="9">
        <v>1.0</v>
      </c>
      <c r="CA129" s="9">
        <v>0.0</v>
      </c>
      <c r="CB129" s="9">
        <v>0.0</v>
      </c>
      <c r="CC129" s="15" t="s">
        <v>89</v>
      </c>
      <c r="CD129" s="16"/>
    </row>
    <row r="130" ht="15.75" customHeight="1">
      <c r="A130" s="9">
        <v>129.0</v>
      </c>
      <c r="B130" s="10">
        <v>70.0</v>
      </c>
      <c r="C130" s="9" t="s">
        <v>81</v>
      </c>
      <c r="D130" s="11" t="s">
        <v>88</v>
      </c>
      <c r="E130" s="9" t="s">
        <v>119</v>
      </c>
      <c r="F130" s="12">
        <v>177.8</v>
      </c>
      <c r="G130" s="12">
        <v>93.5</v>
      </c>
      <c r="H130" s="12">
        <f t="shared" si="4"/>
        <v>29.57658977</v>
      </c>
      <c r="I130" s="9">
        <v>1.0</v>
      </c>
      <c r="J130" s="9">
        <v>5.0</v>
      </c>
      <c r="K130" s="9">
        <v>2.0</v>
      </c>
      <c r="L130" s="9">
        <v>1.0</v>
      </c>
      <c r="M130" s="9">
        <v>121.0</v>
      </c>
      <c r="N130" s="9">
        <v>0.0</v>
      </c>
      <c r="O130" s="9">
        <v>102.0</v>
      </c>
      <c r="P130" s="9">
        <v>0.0</v>
      </c>
      <c r="Q130" s="9">
        <v>15.0</v>
      </c>
      <c r="R130" s="9">
        <v>0.0</v>
      </c>
      <c r="S130" s="12">
        <v>97.6</v>
      </c>
      <c r="T130" s="9">
        <v>1.0</v>
      </c>
      <c r="U130" s="9" t="s">
        <v>84</v>
      </c>
      <c r="V130" s="9">
        <v>1.0</v>
      </c>
      <c r="W130" s="9">
        <v>1.0</v>
      </c>
      <c r="X130" s="9">
        <v>0.0</v>
      </c>
      <c r="Y130" s="9">
        <v>0.0</v>
      </c>
      <c r="Z130" s="9">
        <v>1.0</v>
      </c>
      <c r="AA130" s="9">
        <v>0.0</v>
      </c>
      <c r="AB130" s="9">
        <v>0.0</v>
      </c>
      <c r="AC130" s="9">
        <v>0.0</v>
      </c>
      <c r="AD130" s="9">
        <v>0.0</v>
      </c>
      <c r="AE130" s="9">
        <v>0.0</v>
      </c>
      <c r="AF130" s="9">
        <v>0.0</v>
      </c>
      <c r="AG130" s="9">
        <v>0.0</v>
      </c>
      <c r="AH130" s="9">
        <v>0.0</v>
      </c>
      <c r="AI130" s="9">
        <v>0.0</v>
      </c>
      <c r="AJ130" s="9">
        <v>1.0</v>
      </c>
      <c r="AK130" s="9">
        <v>0.0</v>
      </c>
      <c r="AL130" s="9">
        <v>0.0</v>
      </c>
      <c r="AM130" s="9">
        <v>0.0</v>
      </c>
      <c r="AN130" s="9">
        <v>0.0</v>
      </c>
      <c r="AO130" s="9">
        <v>1.0</v>
      </c>
      <c r="AP130" s="9">
        <v>1.0</v>
      </c>
      <c r="AQ130" s="9" t="s">
        <v>84</v>
      </c>
      <c r="AR130" s="9">
        <v>0.0</v>
      </c>
      <c r="AS130" s="9">
        <v>1.0</v>
      </c>
      <c r="AT130" s="9">
        <v>1.0</v>
      </c>
      <c r="AU130" s="9">
        <v>1.0</v>
      </c>
      <c r="AV130" s="9">
        <v>0.0</v>
      </c>
      <c r="AW130" s="9">
        <v>39.0</v>
      </c>
      <c r="AX130" s="13">
        <f>5.51/4.22</f>
        <v>1.305687204</v>
      </c>
      <c r="AY130" s="10">
        <v>0.0</v>
      </c>
      <c r="AZ130" s="10">
        <v>0.0</v>
      </c>
      <c r="BA130" s="10">
        <v>1.0</v>
      </c>
      <c r="BB130" s="13">
        <f>3.54/3.5</f>
        <v>1.011428571</v>
      </c>
      <c r="BC130" s="10">
        <v>3.0</v>
      </c>
      <c r="BD130" s="10">
        <v>1.0</v>
      </c>
      <c r="BE130" s="10"/>
      <c r="BF130" s="9">
        <v>0.0</v>
      </c>
      <c r="BG130" s="9" t="s">
        <v>84</v>
      </c>
      <c r="BH130" s="9">
        <v>1.0</v>
      </c>
      <c r="BI130" s="9">
        <v>0.0</v>
      </c>
      <c r="BJ130" s="9">
        <v>0.0</v>
      </c>
      <c r="BK130" s="9">
        <v>0.0</v>
      </c>
      <c r="BL130" s="9">
        <v>0.0</v>
      </c>
      <c r="BM130" s="9">
        <v>0.0</v>
      </c>
      <c r="BN130" s="9">
        <v>0.0</v>
      </c>
      <c r="BO130" s="9">
        <v>0.0</v>
      </c>
      <c r="BP130" s="9" t="s">
        <v>84</v>
      </c>
      <c r="BQ130" s="9" t="s">
        <v>84</v>
      </c>
      <c r="BR130" s="9">
        <v>0.0</v>
      </c>
      <c r="BS130" s="9" t="s">
        <v>84</v>
      </c>
      <c r="BT130" s="9">
        <v>0.0</v>
      </c>
      <c r="BU130" s="9">
        <v>0.0</v>
      </c>
      <c r="BV130" s="9">
        <v>0.0</v>
      </c>
      <c r="BW130" s="10">
        <v>0.0</v>
      </c>
      <c r="BX130" s="14">
        <v>0.0</v>
      </c>
      <c r="BY130" s="9">
        <v>1.0</v>
      </c>
      <c r="BZ130" s="9">
        <v>0.0</v>
      </c>
      <c r="CA130" s="9">
        <v>0.0</v>
      </c>
      <c r="CB130" s="9">
        <v>0.0</v>
      </c>
      <c r="CC130" s="15" t="s">
        <v>104</v>
      </c>
      <c r="CD130" s="16"/>
    </row>
    <row r="131" ht="15.75" customHeight="1">
      <c r="A131" s="9">
        <v>130.0</v>
      </c>
      <c r="B131" s="10">
        <v>74.0</v>
      </c>
      <c r="C131" s="9" t="s">
        <v>86</v>
      </c>
      <c r="D131" s="11" t="s">
        <v>82</v>
      </c>
      <c r="E131" s="9" t="s">
        <v>93</v>
      </c>
      <c r="F131" s="12">
        <v>152.4</v>
      </c>
      <c r="G131" s="12">
        <v>95.9</v>
      </c>
      <c r="H131" s="12">
        <f t="shared" si="4"/>
        <v>41.29036036</v>
      </c>
      <c r="I131" s="9">
        <v>1.0</v>
      </c>
      <c r="J131" s="9">
        <v>4.0</v>
      </c>
      <c r="K131" s="9">
        <v>2.0</v>
      </c>
      <c r="L131" s="9">
        <v>1.0</v>
      </c>
      <c r="M131" s="9">
        <v>115.0</v>
      </c>
      <c r="N131" s="9">
        <v>0.0</v>
      </c>
      <c r="O131" s="9">
        <v>145.0</v>
      </c>
      <c r="P131" s="9">
        <v>0.0</v>
      </c>
      <c r="Q131" s="9">
        <v>22.0</v>
      </c>
      <c r="R131" s="9">
        <v>0.0</v>
      </c>
      <c r="S131" s="12">
        <v>98.2</v>
      </c>
      <c r="T131" s="9">
        <v>1.0</v>
      </c>
      <c r="U131" s="9">
        <v>89.0</v>
      </c>
      <c r="V131" s="9">
        <v>1.0</v>
      </c>
      <c r="W131" s="9">
        <v>0.0</v>
      </c>
      <c r="X131" s="9">
        <v>1.0</v>
      </c>
      <c r="Y131" s="9">
        <v>0.0</v>
      </c>
      <c r="Z131" s="9">
        <v>0.0</v>
      </c>
      <c r="AA131" s="9">
        <v>0.0</v>
      </c>
      <c r="AB131" s="9">
        <v>0.0</v>
      </c>
      <c r="AC131" s="9">
        <v>0.0</v>
      </c>
      <c r="AD131" s="9">
        <v>0.0</v>
      </c>
      <c r="AE131" s="9">
        <v>0.0</v>
      </c>
      <c r="AF131" s="9">
        <v>0.0</v>
      </c>
      <c r="AG131" s="9">
        <v>0.0</v>
      </c>
      <c r="AH131" s="9">
        <v>0.0</v>
      </c>
      <c r="AI131" s="9">
        <v>0.0</v>
      </c>
      <c r="AJ131" s="9">
        <v>0.0</v>
      </c>
      <c r="AK131" s="9">
        <v>0.0</v>
      </c>
      <c r="AL131" s="9">
        <v>0.0</v>
      </c>
      <c r="AM131" s="9">
        <v>0.0</v>
      </c>
      <c r="AN131" s="9">
        <v>0.0</v>
      </c>
      <c r="AO131" s="9">
        <v>1.0</v>
      </c>
      <c r="AP131" s="9">
        <v>1.0</v>
      </c>
      <c r="AQ131" s="9">
        <v>1.0</v>
      </c>
      <c r="AR131" s="9">
        <v>1.0</v>
      </c>
      <c r="AS131" s="9">
        <v>1.0</v>
      </c>
      <c r="AT131" s="9">
        <v>1.0</v>
      </c>
      <c r="AU131" s="9">
        <v>1.0</v>
      </c>
      <c r="AV131" s="9">
        <v>0.0</v>
      </c>
      <c r="AW131" s="9">
        <v>21.0</v>
      </c>
      <c r="AX131" s="13">
        <f>4.64/3.36</f>
        <v>1.380952381</v>
      </c>
      <c r="AY131" s="10">
        <v>0.0</v>
      </c>
      <c r="AZ131" s="10">
        <v>0.0</v>
      </c>
      <c r="BA131" s="10">
        <v>1.0</v>
      </c>
      <c r="BB131" s="13">
        <f>2.82/2.43</f>
        <v>1.160493827</v>
      </c>
      <c r="BC131" s="10">
        <v>5.0</v>
      </c>
      <c r="BD131" s="10">
        <v>1.0</v>
      </c>
      <c r="BE131" s="10"/>
      <c r="BF131" s="9">
        <v>0.0</v>
      </c>
      <c r="BG131" s="9" t="s">
        <v>84</v>
      </c>
      <c r="BH131" s="9">
        <v>1.0</v>
      </c>
      <c r="BI131" s="9">
        <v>0.0</v>
      </c>
      <c r="BJ131" s="9">
        <v>0.0</v>
      </c>
      <c r="BK131" s="9">
        <v>0.0</v>
      </c>
      <c r="BL131" s="9">
        <v>0.0</v>
      </c>
      <c r="BM131" s="9">
        <v>0.0</v>
      </c>
      <c r="BN131" s="9">
        <v>0.0</v>
      </c>
      <c r="BO131" s="9">
        <v>1.0</v>
      </c>
      <c r="BP131" s="9">
        <v>0.0</v>
      </c>
      <c r="BQ131" s="9">
        <v>0.0</v>
      </c>
      <c r="BR131" s="9">
        <v>0.0</v>
      </c>
      <c r="BS131" s="9" t="s">
        <v>84</v>
      </c>
      <c r="BT131" s="9">
        <v>0.0</v>
      </c>
      <c r="BU131" s="9">
        <v>0.0</v>
      </c>
      <c r="BV131" s="9">
        <v>0.0</v>
      </c>
      <c r="BW131" s="10">
        <v>0.0</v>
      </c>
      <c r="BX131" s="14">
        <v>0.0</v>
      </c>
      <c r="BY131" s="9">
        <v>0.0</v>
      </c>
      <c r="BZ131" s="9">
        <v>1.0</v>
      </c>
      <c r="CA131" s="9">
        <v>0.0</v>
      </c>
      <c r="CB131" s="9">
        <v>0.0</v>
      </c>
      <c r="CC131" s="15" t="s">
        <v>101</v>
      </c>
      <c r="CD131" s="16"/>
    </row>
    <row r="132" ht="15.75" customHeight="1">
      <c r="A132" s="9">
        <v>131.0</v>
      </c>
      <c r="B132" s="22">
        <v>64.0</v>
      </c>
      <c r="C132" s="23" t="s">
        <v>86</v>
      </c>
      <c r="D132" s="23" t="s">
        <v>88</v>
      </c>
      <c r="E132" s="23" t="s">
        <v>83</v>
      </c>
      <c r="F132" s="12">
        <v>160.02</v>
      </c>
      <c r="G132" s="12">
        <v>88.5</v>
      </c>
      <c r="H132" s="12">
        <f t="shared" si="4"/>
        <v>34.56167154</v>
      </c>
      <c r="I132" s="9">
        <v>1.0</v>
      </c>
      <c r="J132" s="9">
        <v>2.0</v>
      </c>
      <c r="K132" s="9">
        <v>2.0</v>
      </c>
      <c r="L132" s="9">
        <v>1.0</v>
      </c>
      <c r="M132" s="9">
        <v>110.0</v>
      </c>
      <c r="N132" s="9">
        <v>0.0</v>
      </c>
      <c r="O132" s="9">
        <v>113.0</v>
      </c>
      <c r="P132" s="9">
        <v>0.0</v>
      </c>
      <c r="Q132" s="9">
        <v>18.0</v>
      </c>
      <c r="R132" s="9">
        <v>0.0</v>
      </c>
      <c r="S132" s="12">
        <v>97.7</v>
      </c>
      <c r="T132" s="9">
        <v>0.0</v>
      </c>
      <c r="U132" s="9">
        <v>99.0</v>
      </c>
      <c r="V132" s="9">
        <v>0.0</v>
      </c>
      <c r="W132" s="9">
        <v>0.0</v>
      </c>
      <c r="X132" s="9">
        <v>0.0</v>
      </c>
      <c r="Y132" s="9">
        <v>0.0</v>
      </c>
      <c r="Z132" s="9">
        <v>0.0</v>
      </c>
      <c r="AA132" s="9">
        <v>0.0</v>
      </c>
      <c r="AB132" s="9">
        <v>0.0</v>
      </c>
      <c r="AC132" s="9">
        <v>0.0</v>
      </c>
      <c r="AD132" s="9">
        <v>0.0</v>
      </c>
      <c r="AE132" s="9">
        <v>0.0</v>
      </c>
      <c r="AF132" s="9">
        <v>0.0</v>
      </c>
      <c r="AG132" s="9">
        <v>1.0</v>
      </c>
      <c r="AH132" s="9">
        <v>1.0</v>
      </c>
      <c r="AI132" s="9">
        <v>1.0</v>
      </c>
      <c r="AJ132" s="9">
        <v>0.0</v>
      </c>
      <c r="AK132" s="9">
        <v>0.0</v>
      </c>
      <c r="AL132" s="9">
        <v>1.0</v>
      </c>
      <c r="AM132" s="9">
        <v>0.0</v>
      </c>
      <c r="AN132" s="9">
        <v>0.0</v>
      </c>
      <c r="AO132" s="9" t="s">
        <v>84</v>
      </c>
      <c r="AP132" s="9" t="s">
        <v>84</v>
      </c>
      <c r="AQ132" s="9">
        <v>1.0</v>
      </c>
      <c r="AR132" s="9">
        <v>1.0</v>
      </c>
      <c r="AS132" s="9" t="s">
        <v>84</v>
      </c>
      <c r="AT132" s="9" t="s">
        <v>84</v>
      </c>
      <c r="AU132" s="9" t="s">
        <v>84</v>
      </c>
      <c r="AV132" s="9" t="s">
        <v>84</v>
      </c>
      <c r="AW132" s="9" t="s">
        <v>84</v>
      </c>
      <c r="AX132" s="24">
        <f>4.34/3.54</f>
        <v>1.225988701</v>
      </c>
      <c r="AY132" s="10">
        <v>0.0</v>
      </c>
      <c r="AZ132" s="10">
        <v>0.0</v>
      </c>
      <c r="BA132" s="10">
        <v>1.0</v>
      </c>
      <c r="BB132" s="24">
        <f>3.31/3.19</f>
        <v>1.037617555</v>
      </c>
      <c r="BC132" s="22">
        <v>5.0</v>
      </c>
      <c r="BD132" s="22">
        <v>1.0</v>
      </c>
      <c r="BE132" s="22"/>
      <c r="BF132" s="9">
        <v>0.0</v>
      </c>
      <c r="BG132" s="9" t="s">
        <v>84</v>
      </c>
      <c r="BH132" s="9">
        <v>1.0</v>
      </c>
      <c r="BI132" s="9">
        <v>0.0</v>
      </c>
      <c r="BJ132" s="9">
        <v>0.0</v>
      </c>
      <c r="BK132" s="9">
        <v>0.0</v>
      </c>
      <c r="BL132" s="9">
        <v>0.0</v>
      </c>
      <c r="BM132" s="9">
        <v>0.0</v>
      </c>
      <c r="BN132" s="9">
        <v>1.0</v>
      </c>
      <c r="BO132" s="9">
        <v>0.0</v>
      </c>
      <c r="BP132" s="9">
        <v>1.0</v>
      </c>
      <c r="BQ132" s="9">
        <v>1.0</v>
      </c>
      <c r="BR132" s="9">
        <v>0.0</v>
      </c>
      <c r="BS132" s="9" t="s">
        <v>84</v>
      </c>
      <c r="BT132" s="9">
        <v>0.0</v>
      </c>
      <c r="BU132" s="9">
        <v>0.0</v>
      </c>
      <c r="BV132" s="9">
        <v>0.0</v>
      </c>
      <c r="BW132" s="22">
        <v>0.0</v>
      </c>
      <c r="BX132" s="25">
        <v>0.0</v>
      </c>
      <c r="BY132" s="9">
        <v>0.0</v>
      </c>
      <c r="BZ132" s="9">
        <v>0.0</v>
      </c>
      <c r="CA132" s="9">
        <v>0.0</v>
      </c>
      <c r="CB132" s="9">
        <v>0.0</v>
      </c>
      <c r="CC132" s="15" t="s">
        <v>87</v>
      </c>
      <c r="CD132" s="16"/>
    </row>
    <row r="133" ht="15.75" customHeight="1">
      <c r="A133" s="9">
        <v>132.0</v>
      </c>
      <c r="B133" s="22">
        <v>46.0</v>
      </c>
      <c r="C133" s="23" t="s">
        <v>81</v>
      </c>
      <c r="D133" s="23" t="s">
        <v>88</v>
      </c>
      <c r="E133" s="23" t="s">
        <v>83</v>
      </c>
      <c r="F133" s="12">
        <v>187.96</v>
      </c>
      <c r="G133" s="12">
        <v>116.2</v>
      </c>
      <c r="H133" s="12">
        <f t="shared" si="4"/>
        <v>32.89086198</v>
      </c>
      <c r="I133" s="9">
        <v>0.0</v>
      </c>
      <c r="J133" s="9">
        <v>1.0</v>
      </c>
      <c r="K133" s="9">
        <v>2.0</v>
      </c>
      <c r="L133" s="9">
        <v>0.0</v>
      </c>
      <c r="M133" s="9">
        <v>99.0</v>
      </c>
      <c r="N133" s="9">
        <v>0.0</v>
      </c>
      <c r="O133" s="9">
        <v>147.0</v>
      </c>
      <c r="P133" s="9">
        <v>0.0</v>
      </c>
      <c r="Q133" s="9">
        <v>18.0</v>
      </c>
      <c r="R133" s="9">
        <v>0.0</v>
      </c>
      <c r="S133" s="12">
        <v>100.2</v>
      </c>
      <c r="T133" s="9">
        <v>0.0</v>
      </c>
      <c r="U133" s="9">
        <v>97.0</v>
      </c>
      <c r="V133" s="9">
        <v>1.0</v>
      </c>
      <c r="W133" s="9">
        <v>0.0</v>
      </c>
      <c r="X133" s="9">
        <v>0.0</v>
      </c>
      <c r="Y133" s="9">
        <v>0.0</v>
      </c>
      <c r="Z133" s="9">
        <v>0.0</v>
      </c>
      <c r="AA133" s="9">
        <v>0.0</v>
      </c>
      <c r="AB133" s="9">
        <v>0.0</v>
      </c>
      <c r="AC133" s="9">
        <v>0.0</v>
      </c>
      <c r="AD133" s="9">
        <v>0.0</v>
      </c>
      <c r="AE133" s="9">
        <v>0.0</v>
      </c>
      <c r="AF133" s="9">
        <v>0.0</v>
      </c>
      <c r="AG133" s="9">
        <v>0.0</v>
      </c>
      <c r="AH133" s="9">
        <v>0.0</v>
      </c>
      <c r="AI133" s="9">
        <v>0.0</v>
      </c>
      <c r="AJ133" s="9">
        <v>0.0</v>
      </c>
      <c r="AK133" s="9">
        <v>0.0</v>
      </c>
      <c r="AL133" s="9">
        <v>1.0</v>
      </c>
      <c r="AM133" s="9">
        <v>0.0</v>
      </c>
      <c r="AN133" s="9">
        <v>0.0</v>
      </c>
      <c r="AO133" s="9">
        <v>1.0</v>
      </c>
      <c r="AP133" s="9">
        <v>1.0</v>
      </c>
      <c r="AQ133" s="9">
        <v>0.0</v>
      </c>
      <c r="AR133" s="9">
        <v>0.0</v>
      </c>
      <c r="AS133" s="9">
        <v>1.0</v>
      </c>
      <c r="AT133" s="9">
        <v>1.0</v>
      </c>
      <c r="AU133" s="9">
        <v>1.0</v>
      </c>
      <c r="AV133" s="9">
        <v>0.0</v>
      </c>
      <c r="AW133" s="9" t="s">
        <v>97</v>
      </c>
      <c r="AX133" s="24">
        <f>4.32/4.69</f>
        <v>0.921108742</v>
      </c>
      <c r="AY133" s="10">
        <v>0.0</v>
      </c>
      <c r="AZ133" s="10">
        <v>1.0</v>
      </c>
      <c r="BA133" s="10">
        <v>0.0</v>
      </c>
      <c r="BB133" s="24">
        <f>3.7/3.01</f>
        <v>1.22923588</v>
      </c>
      <c r="BC133" s="22">
        <v>1.0</v>
      </c>
      <c r="BD133" s="22">
        <v>0.0</v>
      </c>
      <c r="BE133" s="22"/>
      <c r="BF133" s="9">
        <v>0.0</v>
      </c>
      <c r="BG133" s="9" t="s">
        <v>84</v>
      </c>
      <c r="BH133" s="9">
        <v>0.0</v>
      </c>
      <c r="BI133" s="9">
        <v>0.0</v>
      </c>
      <c r="BJ133" s="9">
        <v>0.0</v>
      </c>
      <c r="BK133" s="9">
        <v>0.0</v>
      </c>
      <c r="BL133" s="9">
        <v>0.0</v>
      </c>
      <c r="BM133" s="9">
        <v>0.0</v>
      </c>
      <c r="BN133" s="9">
        <v>0.0</v>
      </c>
      <c r="BO133" s="9">
        <v>0.0</v>
      </c>
      <c r="BP133" s="9" t="s">
        <v>84</v>
      </c>
      <c r="BQ133" s="9" t="s">
        <v>84</v>
      </c>
      <c r="BR133" s="9">
        <v>0.0</v>
      </c>
      <c r="BS133" s="9" t="s">
        <v>84</v>
      </c>
      <c r="BT133" s="9">
        <v>0.0</v>
      </c>
      <c r="BU133" s="9">
        <v>0.0</v>
      </c>
      <c r="BV133" s="9">
        <v>0.0</v>
      </c>
      <c r="BW133" s="22">
        <v>0.0</v>
      </c>
      <c r="BX133" s="25">
        <v>0.0</v>
      </c>
      <c r="BY133" s="9">
        <v>0.0</v>
      </c>
      <c r="BZ133" s="9">
        <v>1.0</v>
      </c>
      <c r="CA133" s="9">
        <v>0.0</v>
      </c>
      <c r="CB133" s="9">
        <v>0.0</v>
      </c>
      <c r="CC133" s="15" t="s">
        <v>101</v>
      </c>
      <c r="CD133" s="16"/>
    </row>
    <row r="134" ht="15.75" customHeight="1">
      <c r="A134" s="9">
        <v>133.0</v>
      </c>
      <c r="B134" s="22">
        <v>75.0</v>
      </c>
      <c r="C134" s="23" t="s">
        <v>86</v>
      </c>
      <c r="D134" s="23" t="s">
        <v>82</v>
      </c>
      <c r="E134" s="23" t="s">
        <v>99</v>
      </c>
      <c r="F134" s="12">
        <v>165.1</v>
      </c>
      <c r="G134" s="12">
        <v>63.0</v>
      </c>
      <c r="H134" s="12">
        <f t="shared" si="4"/>
        <v>23.11247226</v>
      </c>
      <c r="I134" s="10">
        <v>1.0</v>
      </c>
      <c r="J134" s="9">
        <v>4.0</v>
      </c>
      <c r="K134" s="19">
        <v>2.0</v>
      </c>
      <c r="L134" s="9">
        <v>0.0</v>
      </c>
      <c r="M134" s="9">
        <v>103.0</v>
      </c>
      <c r="N134" s="9">
        <v>0.0</v>
      </c>
      <c r="O134" s="9">
        <v>132.0</v>
      </c>
      <c r="P134" s="9">
        <v>0.0</v>
      </c>
      <c r="Q134" s="9">
        <v>18.0</v>
      </c>
      <c r="R134" s="9">
        <v>0.0</v>
      </c>
      <c r="S134" s="12">
        <v>98.3</v>
      </c>
      <c r="T134" s="9">
        <v>1.0</v>
      </c>
      <c r="U134" s="9">
        <v>85.0</v>
      </c>
      <c r="V134" s="9">
        <v>1.0</v>
      </c>
      <c r="W134" s="9">
        <v>0.0</v>
      </c>
      <c r="X134" s="9">
        <v>0.0</v>
      </c>
      <c r="Y134" s="9">
        <v>0.0</v>
      </c>
      <c r="Z134" s="9">
        <v>1.0</v>
      </c>
      <c r="AA134" s="9">
        <v>0.0</v>
      </c>
      <c r="AB134" s="9">
        <v>0.0</v>
      </c>
      <c r="AC134" s="9">
        <v>0.0</v>
      </c>
      <c r="AD134" s="9">
        <v>0.0</v>
      </c>
      <c r="AE134" s="9">
        <v>0.0</v>
      </c>
      <c r="AF134" s="9">
        <v>0.0</v>
      </c>
      <c r="AG134" s="9">
        <v>0.0</v>
      </c>
      <c r="AH134" s="9">
        <v>0.0</v>
      </c>
      <c r="AI134" s="9">
        <v>0.0</v>
      </c>
      <c r="AJ134" s="9">
        <v>0.0</v>
      </c>
      <c r="AK134" s="9">
        <v>0.0</v>
      </c>
      <c r="AL134" s="9">
        <v>0.0</v>
      </c>
      <c r="AM134" s="9">
        <v>0.0</v>
      </c>
      <c r="AN134" s="9">
        <v>0.0</v>
      </c>
      <c r="AO134" s="9">
        <v>1.0</v>
      </c>
      <c r="AP134" s="9">
        <v>0.0</v>
      </c>
      <c r="AQ134" s="9" t="s">
        <v>84</v>
      </c>
      <c r="AR134" s="9">
        <v>1.0</v>
      </c>
      <c r="AS134" s="9">
        <v>0.0</v>
      </c>
      <c r="AT134" s="9">
        <v>0.0</v>
      </c>
      <c r="AU134" s="9">
        <v>0.0</v>
      </c>
      <c r="AV134" s="9">
        <v>0.0</v>
      </c>
      <c r="AW134" s="9">
        <v>22.5</v>
      </c>
      <c r="AX134" s="24">
        <f>3.86/3</f>
        <v>1.286666667</v>
      </c>
      <c r="AY134" s="10">
        <v>0.0</v>
      </c>
      <c r="AZ134" s="10">
        <v>0.0</v>
      </c>
      <c r="BA134" s="10">
        <v>1.0</v>
      </c>
      <c r="BB134" s="24">
        <f>3.16/2.88</f>
        <v>1.097222222</v>
      </c>
      <c r="BC134" s="22">
        <v>4.0</v>
      </c>
      <c r="BD134" s="22">
        <v>1.0</v>
      </c>
      <c r="BE134" s="22"/>
      <c r="BF134" s="9">
        <v>0.0</v>
      </c>
      <c r="BG134" s="9" t="s">
        <v>84</v>
      </c>
      <c r="BH134" s="9">
        <v>1.0</v>
      </c>
      <c r="BI134" s="9">
        <v>1.0</v>
      </c>
      <c r="BJ134" s="9">
        <v>0.0</v>
      </c>
      <c r="BK134" s="9">
        <v>0.0</v>
      </c>
      <c r="BL134" s="9">
        <v>0.0</v>
      </c>
      <c r="BM134" s="9">
        <v>0.0</v>
      </c>
      <c r="BN134" s="9">
        <v>0.0</v>
      </c>
      <c r="BO134" s="9">
        <v>1.0</v>
      </c>
      <c r="BP134" s="9">
        <v>1.0</v>
      </c>
      <c r="BQ134" s="9">
        <v>1.0</v>
      </c>
      <c r="BR134" s="9">
        <v>0.0</v>
      </c>
      <c r="BS134" s="9" t="s">
        <v>84</v>
      </c>
      <c r="BT134" s="9">
        <v>0.0</v>
      </c>
      <c r="BU134" s="9">
        <v>0.0</v>
      </c>
      <c r="BV134" s="9">
        <v>0.0</v>
      </c>
      <c r="BW134" s="22">
        <v>0.0</v>
      </c>
      <c r="BX134" s="25">
        <v>0.0</v>
      </c>
      <c r="BY134" s="9">
        <v>0.0</v>
      </c>
      <c r="BZ134" s="9">
        <v>0.0</v>
      </c>
      <c r="CA134" s="9">
        <v>0.0</v>
      </c>
      <c r="CB134" s="9">
        <v>0.0</v>
      </c>
      <c r="CC134" s="15" t="s">
        <v>104</v>
      </c>
      <c r="CD134" s="16"/>
    </row>
    <row r="135" ht="15.75" customHeight="1">
      <c r="A135" s="9">
        <v>134.0</v>
      </c>
      <c r="B135" s="22">
        <v>76.0</v>
      </c>
      <c r="C135" s="23" t="s">
        <v>81</v>
      </c>
      <c r="D135" s="23" t="s">
        <v>127</v>
      </c>
      <c r="E135" s="23" t="s">
        <v>96</v>
      </c>
      <c r="F135" s="12">
        <v>180.34</v>
      </c>
      <c r="G135" s="12">
        <v>87.0</v>
      </c>
      <c r="H135" s="12">
        <f t="shared" si="4"/>
        <v>26.75069821</v>
      </c>
      <c r="I135" s="9">
        <v>1.0</v>
      </c>
      <c r="J135" s="9">
        <v>4.0</v>
      </c>
      <c r="K135" s="9">
        <v>2.0</v>
      </c>
      <c r="L135" s="9">
        <v>1.0</v>
      </c>
      <c r="M135" s="9">
        <v>123.0</v>
      </c>
      <c r="N135" s="9">
        <v>0.0</v>
      </c>
      <c r="O135" s="9">
        <v>141.0</v>
      </c>
      <c r="P135" s="9">
        <v>0.0</v>
      </c>
      <c r="Q135" s="9">
        <v>22.0</v>
      </c>
      <c r="R135" s="9">
        <v>0.0</v>
      </c>
      <c r="S135" s="12">
        <v>98.2</v>
      </c>
      <c r="T135" s="9">
        <v>0.0</v>
      </c>
      <c r="U135" s="9">
        <v>94.0</v>
      </c>
      <c r="V135" s="9">
        <v>1.0</v>
      </c>
      <c r="W135" s="9">
        <v>0.0</v>
      </c>
      <c r="X135" s="9">
        <v>0.0</v>
      </c>
      <c r="Y135" s="9">
        <v>0.0</v>
      </c>
      <c r="Z135" s="9">
        <v>0.0</v>
      </c>
      <c r="AA135" s="9">
        <v>0.0</v>
      </c>
      <c r="AB135" s="9">
        <v>0.0</v>
      </c>
      <c r="AC135" s="9">
        <v>1.0</v>
      </c>
      <c r="AD135" s="9">
        <v>0.0</v>
      </c>
      <c r="AE135" s="9">
        <v>0.0</v>
      </c>
      <c r="AF135" s="9">
        <v>0.0</v>
      </c>
      <c r="AG135" s="9">
        <v>0.0</v>
      </c>
      <c r="AH135" s="9">
        <v>0.0</v>
      </c>
      <c r="AI135" s="9">
        <v>0.0</v>
      </c>
      <c r="AJ135" s="9">
        <v>0.0</v>
      </c>
      <c r="AK135" s="9">
        <v>0.0</v>
      </c>
      <c r="AL135" s="9">
        <v>0.0</v>
      </c>
      <c r="AM135" s="9">
        <v>0.0</v>
      </c>
      <c r="AN135" s="9">
        <v>0.0</v>
      </c>
      <c r="AO135" s="9">
        <v>1.0</v>
      </c>
      <c r="AP135" s="9">
        <v>1.0</v>
      </c>
      <c r="AQ135" s="9">
        <v>1.0</v>
      </c>
      <c r="AR135" s="9">
        <v>0.0</v>
      </c>
      <c r="AS135" s="9">
        <v>1.0</v>
      </c>
      <c r="AT135" s="9">
        <v>0.0</v>
      </c>
      <c r="AU135" s="9">
        <v>0.0</v>
      </c>
      <c r="AV135" s="9">
        <v>0.0</v>
      </c>
      <c r="AW135" s="9">
        <v>70.0</v>
      </c>
      <c r="AX135" s="24">
        <f>2.58/3.12</f>
        <v>0.8269230769</v>
      </c>
      <c r="AY135" s="10">
        <v>0.0</v>
      </c>
      <c r="AZ135" s="10">
        <v>0.0</v>
      </c>
      <c r="BA135" s="10">
        <v>0.0</v>
      </c>
      <c r="BB135" s="24">
        <f>2.58/3.12</f>
        <v>0.8269230769</v>
      </c>
      <c r="BC135" s="22">
        <v>1.0</v>
      </c>
      <c r="BD135" s="22">
        <v>0.0</v>
      </c>
      <c r="BE135" s="22"/>
      <c r="BF135" s="9">
        <v>0.0</v>
      </c>
      <c r="BG135" s="9" t="s">
        <v>84</v>
      </c>
      <c r="BH135" s="9">
        <v>1.0</v>
      </c>
      <c r="BI135" s="9">
        <v>0.0</v>
      </c>
      <c r="BJ135" s="9">
        <v>0.0</v>
      </c>
      <c r="BK135" s="9">
        <v>0.0</v>
      </c>
      <c r="BL135" s="9">
        <v>0.0</v>
      </c>
      <c r="BM135" s="9">
        <v>0.0</v>
      </c>
      <c r="BN135" s="9">
        <v>0.0</v>
      </c>
      <c r="BO135" s="9">
        <v>1.0</v>
      </c>
      <c r="BP135" s="9">
        <v>0.0</v>
      </c>
      <c r="BQ135" s="9">
        <v>1.0</v>
      </c>
      <c r="BR135" s="9">
        <v>0.0</v>
      </c>
      <c r="BS135" s="9" t="s">
        <v>84</v>
      </c>
      <c r="BT135" s="9">
        <v>0.0</v>
      </c>
      <c r="BU135" s="9">
        <v>0.0</v>
      </c>
      <c r="BV135" s="9">
        <v>0.0</v>
      </c>
      <c r="BW135" s="22">
        <v>0.0</v>
      </c>
      <c r="BX135" s="25">
        <v>0.0</v>
      </c>
      <c r="BY135" s="9">
        <v>0.0</v>
      </c>
      <c r="BZ135" s="9">
        <v>1.0</v>
      </c>
      <c r="CA135" s="9">
        <v>0.0</v>
      </c>
      <c r="CB135" s="9">
        <v>0.0</v>
      </c>
      <c r="CC135" s="15" t="s">
        <v>101</v>
      </c>
      <c r="CD135" s="16"/>
    </row>
    <row r="136" ht="15.75" customHeight="1">
      <c r="A136" s="9">
        <v>135.0</v>
      </c>
      <c r="B136" s="22">
        <v>68.0</v>
      </c>
      <c r="C136" s="23" t="s">
        <v>81</v>
      </c>
      <c r="D136" s="23" t="s">
        <v>82</v>
      </c>
      <c r="E136" s="23" t="s">
        <v>96</v>
      </c>
      <c r="F136" s="12">
        <v>175.26</v>
      </c>
      <c r="G136" s="12">
        <v>92.1</v>
      </c>
      <c r="H136" s="12">
        <f t="shared" si="4"/>
        <v>29.98430698</v>
      </c>
      <c r="I136" s="9">
        <v>1.0</v>
      </c>
      <c r="J136" s="9">
        <v>4.0</v>
      </c>
      <c r="K136" s="9">
        <v>2.0</v>
      </c>
      <c r="L136" s="9">
        <v>0.0</v>
      </c>
      <c r="M136" s="9">
        <v>86.0</v>
      </c>
      <c r="N136" s="9">
        <v>0.0</v>
      </c>
      <c r="O136" s="9">
        <v>116.0</v>
      </c>
      <c r="P136" s="9">
        <v>0.0</v>
      </c>
      <c r="Q136" s="9">
        <v>18.0</v>
      </c>
      <c r="R136" s="9">
        <v>0.0</v>
      </c>
      <c r="S136" s="12">
        <v>97.8</v>
      </c>
      <c r="T136" s="9">
        <v>0.0</v>
      </c>
      <c r="U136" s="9">
        <v>96.0</v>
      </c>
      <c r="V136" s="9">
        <v>1.0</v>
      </c>
      <c r="W136" s="9">
        <v>0.0</v>
      </c>
      <c r="X136" s="9">
        <v>1.0</v>
      </c>
      <c r="Y136" s="9">
        <v>0.0</v>
      </c>
      <c r="Z136" s="9">
        <v>1.0</v>
      </c>
      <c r="AA136" s="9">
        <v>0.0</v>
      </c>
      <c r="AB136" s="9">
        <v>1.0</v>
      </c>
      <c r="AC136" s="9">
        <v>1.0</v>
      </c>
      <c r="AD136" s="9">
        <v>0.0</v>
      </c>
      <c r="AE136" s="9">
        <v>1.0</v>
      </c>
      <c r="AF136" s="9">
        <v>0.0</v>
      </c>
      <c r="AG136" s="9">
        <v>1.0</v>
      </c>
      <c r="AH136" s="9">
        <v>0.0</v>
      </c>
      <c r="AI136" s="9">
        <v>0.0</v>
      </c>
      <c r="AJ136" s="9">
        <v>0.0</v>
      </c>
      <c r="AK136" s="9">
        <v>0.0</v>
      </c>
      <c r="AL136" s="9">
        <v>0.0</v>
      </c>
      <c r="AM136" s="9">
        <v>0.0</v>
      </c>
      <c r="AN136" s="9">
        <v>0.0</v>
      </c>
      <c r="AO136" s="9">
        <v>1.0</v>
      </c>
      <c r="AP136" s="9">
        <v>1.0</v>
      </c>
      <c r="AQ136" s="9" t="s">
        <v>84</v>
      </c>
      <c r="AR136" s="9">
        <v>1.0</v>
      </c>
      <c r="AS136" s="9">
        <v>1.0</v>
      </c>
      <c r="AT136" s="9">
        <v>1.0</v>
      </c>
      <c r="AU136" s="9">
        <v>1.0</v>
      </c>
      <c r="AV136" s="9">
        <v>0.0</v>
      </c>
      <c r="AW136" s="9">
        <v>50.4</v>
      </c>
      <c r="AX136" s="24">
        <f>4.43/4.65</f>
        <v>0.952688172</v>
      </c>
      <c r="AY136" s="10">
        <v>0.0</v>
      </c>
      <c r="AZ136" s="10">
        <v>0.0</v>
      </c>
      <c r="BA136" s="10">
        <v>1.0</v>
      </c>
      <c r="BB136" s="24">
        <f>2.93/3.57</f>
        <v>0.8207282913</v>
      </c>
      <c r="BC136" s="22">
        <v>1.0</v>
      </c>
      <c r="BD136" s="22">
        <v>1.0</v>
      </c>
      <c r="BE136" s="22"/>
      <c r="BF136" s="9">
        <v>0.0</v>
      </c>
      <c r="BG136" s="9" t="s">
        <v>84</v>
      </c>
      <c r="BH136" s="9">
        <v>0.0</v>
      </c>
      <c r="BI136" s="9">
        <v>0.0</v>
      </c>
      <c r="BJ136" s="9">
        <v>0.0</v>
      </c>
      <c r="BK136" s="9">
        <v>0.0</v>
      </c>
      <c r="BL136" s="9">
        <v>0.0</v>
      </c>
      <c r="BM136" s="9">
        <v>0.0</v>
      </c>
      <c r="BN136" s="9">
        <v>0.0</v>
      </c>
      <c r="BO136" s="9">
        <v>0.0</v>
      </c>
      <c r="BP136" s="9" t="s">
        <v>84</v>
      </c>
      <c r="BQ136" s="9" t="s">
        <v>84</v>
      </c>
      <c r="BR136" s="9">
        <v>1.0</v>
      </c>
      <c r="BS136" s="15" t="s">
        <v>107</v>
      </c>
      <c r="BT136" s="9">
        <v>0.0</v>
      </c>
      <c r="BU136" s="9">
        <v>0.0</v>
      </c>
      <c r="BV136" s="9">
        <v>0.0</v>
      </c>
      <c r="BW136" s="22">
        <v>0.0</v>
      </c>
      <c r="BX136" s="25">
        <v>0.0</v>
      </c>
      <c r="BY136" s="9">
        <v>0.0</v>
      </c>
      <c r="BZ136" s="9">
        <v>1.0</v>
      </c>
      <c r="CA136" s="9">
        <v>0.0</v>
      </c>
      <c r="CB136" s="9">
        <v>0.0</v>
      </c>
      <c r="CC136" s="15" t="s">
        <v>104</v>
      </c>
      <c r="CD136" s="16"/>
    </row>
    <row r="137" ht="15.75" customHeight="1">
      <c r="A137" s="9">
        <v>136.0</v>
      </c>
      <c r="B137" s="22">
        <v>66.0</v>
      </c>
      <c r="C137" s="23" t="s">
        <v>86</v>
      </c>
      <c r="D137" s="23" t="s">
        <v>88</v>
      </c>
      <c r="E137" s="23" t="s">
        <v>103</v>
      </c>
      <c r="F137" s="12">
        <v>167.64</v>
      </c>
      <c r="G137" s="12">
        <v>99.3</v>
      </c>
      <c r="H137" s="12">
        <f t="shared" si="4"/>
        <v>35.33409271</v>
      </c>
      <c r="I137" s="9">
        <v>1.0</v>
      </c>
      <c r="J137" s="9">
        <v>5.0</v>
      </c>
      <c r="K137" s="19">
        <v>4.0</v>
      </c>
      <c r="L137" s="9">
        <v>1.0</v>
      </c>
      <c r="M137" s="9">
        <v>153.0</v>
      </c>
      <c r="N137" s="9">
        <v>1.0</v>
      </c>
      <c r="O137" s="9">
        <v>56.0</v>
      </c>
      <c r="P137" s="9">
        <v>0.0</v>
      </c>
      <c r="Q137" s="9">
        <v>19.0</v>
      </c>
      <c r="R137" s="9">
        <v>1.0</v>
      </c>
      <c r="S137" s="12">
        <v>92.3</v>
      </c>
      <c r="T137" s="9">
        <v>1.0</v>
      </c>
      <c r="U137" s="9" t="s">
        <v>84</v>
      </c>
      <c r="V137" s="9">
        <v>1.0</v>
      </c>
      <c r="W137" s="9">
        <v>0.0</v>
      </c>
      <c r="X137" s="9">
        <v>0.0</v>
      </c>
      <c r="Y137" s="9">
        <v>0.0</v>
      </c>
      <c r="Z137" s="9">
        <v>0.0</v>
      </c>
      <c r="AA137" s="9">
        <v>0.0</v>
      </c>
      <c r="AB137" s="9">
        <v>0.0</v>
      </c>
      <c r="AC137" s="9">
        <v>0.0</v>
      </c>
      <c r="AD137" s="9">
        <v>0.0</v>
      </c>
      <c r="AE137" s="9">
        <v>0.0</v>
      </c>
      <c r="AF137" s="9">
        <v>0.0</v>
      </c>
      <c r="AG137" s="9">
        <v>1.0</v>
      </c>
      <c r="AH137" s="9">
        <v>1.0</v>
      </c>
      <c r="AI137" s="9">
        <v>1.0</v>
      </c>
      <c r="AJ137" s="9">
        <v>0.0</v>
      </c>
      <c r="AK137" s="9">
        <v>0.0</v>
      </c>
      <c r="AL137" s="9">
        <v>0.0</v>
      </c>
      <c r="AM137" s="9">
        <v>1.0</v>
      </c>
      <c r="AN137" s="9">
        <v>1.0</v>
      </c>
      <c r="AO137" s="9">
        <v>1.0</v>
      </c>
      <c r="AP137" s="9">
        <v>0.0</v>
      </c>
      <c r="AQ137" s="9">
        <v>0.0</v>
      </c>
      <c r="AR137" s="9">
        <v>1.0</v>
      </c>
      <c r="AS137" s="9">
        <v>1.0</v>
      </c>
      <c r="AT137" s="9">
        <v>1.0</v>
      </c>
      <c r="AU137" s="9">
        <v>1.0</v>
      </c>
      <c r="AV137" s="9">
        <v>0.0</v>
      </c>
      <c r="AW137" s="9">
        <v>40.0</v>
      </c>
      <c r="AX137" s="24">
        <f>3.53/3.66</f>
        <v>0.9644808743</v>
      </c>
      <c r="AY137" s="10">
        <v>0.0</v>
      </c>
      <c r="AZ137" s="10">
        <v>0.0</v>
      </c>
      <c r="BA137" s="10">
        <v>1.0</v>
      </c>
      <c r="BB137" s="24">
        <f>3.25/3.3</f>
        <v>0.9848484848</v>
      </c>
      <c r="BC137" s="22">
        <v>5.0</v>
      </c>
      <c r="BD137" s="22">
        <v>1.0</v>
      </c>
      <c r="BE137" s="22"/>
      <c r="BF137" s="9">
        <v>1.0</v>
      </c>
      <c r="BG137" s="15" t="s">
        <v>142</v>
      </c>
      <c r="BH137" s="9">
        <v>1.0</v>
      </c>
      <c r="BI137" s="9">
        <v>1.0</v>
      </c>
      <c r="BJ137" s="9">
        <v>1.0</v>
      </c>
      <c r="BK137" s="9">
        <v>1.0</v>
      </c>
      <c r="BL137" s="9">
        <v>0.0</v>
      </c>
      <c r="BM137" s="9">
        <v>1.0</v>
      </c>
      <c r="BN137" s="9">
        <v>1.0</v>
      </c>
      <c r="BO137" s="9">
        <v>0.0</v>
      </c>
      <c r="BP137" s="9">
        <v>1.0</v>
      </c>
      <c r="BQ137" s="9">
        <v>1.0</v>
      </c>
      <c r="BR137" s="9">
        <v>0.0</v>
      </c>
      <c r="BS137" s="9" t="s">
        <v>84</v>
      </c>
      <c r="BT137" s="9">
        <v>0.0</v>
      </c>
      <c r="BU137" s="9">
        <v>0.0</v>
      </c>
      <c r="BV137" s="9">
        <v>1.0</v>
      </c>
      <c r="BW137" s="26" t="s">
        <v>84</v>
      </c>
      <c r="BX137" s="27" t="s">
        <v>84</v>
      </c>
      <c r="BY137" s="9">
        <v>0.0</v>
      </c>
      <c r="BZ137" s="9">
        <v>0.0</v>
      </c>
      <c r="CA137" s="9">
        <v>0.0</v>
      </c>
      <c r="CB137" s="9">
        <v>0.0</v>
      </c>
      <c r="CC137" s="15" t="s">
        <v>143</v>
      </c>
      <c r="CD137" s="16"/>
    </row>
    <row r="138" ht="15.75" customHeight="1">
      <c r="A138" s="9">
        <v>137.0</v>
      </c>
      <c r="B138" s="22">
        <v>65.0</v>
      </c>
      <c r="C138" s="23" t="s">
        <v>81</v>
      </c>
      <c r="D138" s="23" t="s">
        <v>82</v>
      </c>
      <c r="E138" s="23" t="s">
        <v>93</v>
      </c>
      <c r="F138" s="12">
        <v>175.26</v>
      </c>
      <c r="G138" s="12">
        <v>162.0</v>
      </c>
      <c r="H138" s="12">
        <f t="shared" si="4"/>
        <v>52.74112628</v>
      </c>
      <c r="I138" s="9">
        <v>0.0</v>
      </c>
      <c r="J138" s="9">
        <v>2.0</v>
      </c>
      <c r="K138" s="9">
        <v>1.0</v>
      </c>
      <c r="L138" s="9">
        <v>0.0</v>
      </c>
      <c r="M138" s="9">
        <v>96.0</v>
      </c>
      <c r="N138" s="9">
        <v>0.0</v>
      </c>
      <c r="O138" s="9">
        <v>157.0</v>
      </c>
      <c r="P138" s="9">
        <v>0.0</v>
      </c>
      <c r="Q138" s="9">
        <v>22.0</v>
      </c>
      <c r="R138" s="9">
        <v>0.0</v>
      </c>
      <c r="S138" s="12">
        <v>98.3</v>
      </c>
      <c r="T138" s="9">
        <v>0.0</v>
      </c>
      <c r="U138" s="9">
        <v>96.0</v>
      </c>
      <c r="V138" s="9">
        <v>0.0</v>
      </c>
      <c r="W138" s="9">
        <v>0.0</v>
      </c>
      <c r="X138" s="9">
        <v>0.0</v>
      </c>
      <c r="Y138" s="9">
        <v>0.0</v>
      </c>
      <c r="Z138" s="9">
        <v>0.0</v>
      </c>
      <c r="AA138" s="9">
        <v>0.0</v>
      </c>
      <c r="AB138" s="9">
        <v>0.0</v>
      </c>
      <c r="AC138" s="9">
        <v>0.0</v>
      </c>
      <c r="AD138" s="9">
        <v>0.0</v>
      </c>
      <c r="AE138" s="9">
        <v>1.0</v>
      </c>
      <c r="AF138" s="9">
        <v>0.0</v>
      </c>
      <c r="AG138" s="9">
        <v>0.0</v>
      </c>
      <c r="AH138" s="9">
        <v>0.0</v>
      </c>
      <c r="AI138" s="9">
        <v>0.0</v>
      </c>
      <c r="AJ138" s="9">
        <v>0.0</v>
      </c>
      <c r="AK138" s="9">
        <v>1.0</v>
      </c>
      <c r="AL138" s="9">
        <v>0.0</v>
      </c>
      <c r="AM138" s="9">
        <v>0.0</v>
      </c>
      <c r="AN138" s="9">
        <v>0.0</v>
      </c>
      <c r="AO138" s="9">
        <v>0.0</v>
      </c>
      <c r="AP138" s="9" t="s">
        <v>84</v>
      </c>
      <c r="AQ138" s="9">
        <v>0.0</v>
      </c>
      <c r="AR138" s="9">
        <v>0.0</v>
      </c>
      <c r="AS138" s="9">
        <v>0.0</v>
      </c>
      <c r="AT138" s="9">
        <v>0.0</v>
      </c>
      <c r="AU138" s="9">
        <v>0.0</v>
      </c>
      <c r="AV138" s="9">
        <v>1.0</v>
      </c>
      <c r="AW138" s="9" t="s">
        <v>97</v>
      </c>
      <c r="AX138" s="24">
        <f>3.56/5.6</f>
        <v>0.6357142857</v>
      </c>
      <c r="AY138" s="10">
        <v>0.0</v>
      </c>
      <c r="AZ138" s="10">
        <v>0.0</v>
      </c>
      <c r="BA138" s="10">
        <v>0.0</v>
      </c>
      <c r="BB138" s="24">
        <f>2.76/3.69</f>
        <v>0.7479674797</v>
      </c>
      <c r="BC138" s="22">
        <v>1.0</v>
      </c>
      <c r="BD138" s="22">
        <v>0.0</v>
      </c>
      <c r="BE138" s="22"/>
      <c r="BF138" s="9">
        <v>0.0</v>
      </c>
      <c r="BG138" s="9" t="s">
        <v>84</v>
      </c>
      <c r="BH138" s="9">
        <v>0.0</v>
      </c>
      <c r="BI138" s="9">
        <v>0.0</v>
      </c>
      <c r="BJ138" s="9">
        <v>0.0</v>
      </c>
      <c r="BK138" s="9">
        <v>0.0</v>
      </c>
      <c r="BL138" s="9">
        <v>0.0</v>
      </c>
      <c r="BM138" s="9">
        <v>0.0</v>
      </c>
      <c r="BN138" s="9">
        <v>0.0</v>
      </c>
      <c r="BO138" s="9">
        <v>0.0</v>
      </c>
      <c r="BP138" s="9" t="s">
        <v>84</v>
      </c>
      <c r="BQ138" s="9" t="s">
        <v>84</v>
      </c>
      <c r="BR138" s="9">
        <v>0.0</v>
      </c>
      <c r="BS138" s="9" t="s">
        <v>84</v>
      </c>
      <c r="BT138" s="9">
        <v>0.0</v>
      </c>
      <c r="BU138" s="9">
        <v>0.0</v>
      </c>
      <c r="BV138" s="9">
        <v>0.0</v>
      </c>
      <c r="BW138" s="22">
        <v>0.0</v>
      </c>
      <c r="BX138" s="25">
        <v>0.0</v>
      </c>
      <c r="BY138" s="9">
        <v>0.0</v>
      </c>
      <c r="BZ138" s="9">
        <v>0.0</v>
      </c>
      <c r="CA138" s="9">
        <v>0.0</v>
      </c>
      <c r="CB138" s="9">
        <v>0.0</v>
      </c>
      <c r="CC138" s="15" t="s">
        <v>144</v>
      </c>
      <c r="CD138" s="16"/>
    </row>
    <row r="139" ht="15.75" customHeight="1">
      <c r="A139" s="9">
        <v>138.0</v>
      </c>
      <c r="B139" s="22">
        <v>54.0</v>
      </c>
      <c r="C139" s="23" t="s">
        <v>81</v>
      </c>
      <c r="D139" s="23" t="s">
        <v>82</v>
      </c>
      <c r="E139" s="23" t="s">
        <v>93</v>
      </c>
      <c r="F139" s="12">
        <v>187.96</v>
      </c>
      <c r="G139" s="12">
        <v>110.8</v>
      </c>
      <c r="H139" s="12">
        <f t="shared" si="4"/>
        <v>31.36237098</v>
      </c>
      <c r="I139" s="9">
        <v>0.0</v>
      </c>
      <c r="J139" s="9">
        <v>1.0</v>
      </c>
      <c r="K139" s="9">
        <v>2.0</v>
      </c>
      <c r="L139" s="9">
        <v>0.0</v>
      </c>
      <c r="M139" s="9">
        <v>86.0</v>
      </c>
      <c r="N139" s="9">
        <v>0.0</v>
      </c>
      <c r="O139" s="9">
        <v>147.0</v>
      </c>
      <c r="P139" s="9">
        <v>0.0</v>
      </c>
      <c r="Q139" s="9">
        <v>18.0</v>
      </c>
      <c r="R139" s="9">
        <v>0.0</v>
      </c>
      <c r="S139" s="12">
        <v>97.2</v>
      </c>
      <c r="T139" s="9">
        <v>0.0</v>
      </c>
      <c r="U139" s="9">
        <v>98.0</v>
      </c>
      <c r="V139" s="9">
        <v>0.0</v>
      </c>
      <c r="W139" s="9">
        <v>0.0</v>
      </c>
      <c r="X139" s="9">
        <v>0.0</v>
      </c>
      <c r="Y139" s="9">
        <v>0.0</v>
      </c>
      <c r="Z139" s="9">
        <v>0.0</v>
      </c>
      <c r="AA139" s="9">
        <v>0.0</v>
      </c>
      <c r="AB139" s="9">
        <v>0.0</v>
      </c>
      <c r="AC139" s="9">
        <v>0.0</v>
      </c>
      <c r="AD139" s="9">
        <v>0.0</v>
      </c>
      <c r="AE139" s="9">
        <v>0.0</v>
      </c>
      <c r="AF139" s="9">
        <v>0.0</v>
      </c>
      <c r="AG139" s="9">
        <v>0.0</v>
      </c>
      <c r="AH139" s="9">
        <v>0.0</v>
      </c>
      <c r="AI139" s="9">
        <v>0.0</v>
      </c>
      <c r="AJ139" s="9">
        <v>0.0</v>
      </c>
      <c r="AK139" s="9">
        <v>0.0</v>
      </c>
      <c r="AL139" s="9">
        <v>0.0</v>
      </c>
      <c r="AM139" s="9">
        <v>0.0</v>
      </c>
      <c r="AN139" s="9">
        <v>0.0</v>
      </c>
      <c r="AO139" s="9">
        <v>1.0</v>
      </c>
      <c r="AP139" s="9">
        <v>1.0</v>
      </c>
      <c r="AQ139" s="9">
        <v>1.0</v>
      </c>
      <c r="AR139" s="9">
        <v>1.0</v>
      </c>
      <c r="AS139" s="9" t="s">
        <v>84</v>
      </c>
      <c r="AT139" s="9" t="s">
        <v>84</v>
      </c>
      <c r="AU139" s="9" t="s">
        <v>84</v>
      </c>
      <c r="AV139" s="9" t="s">
        <v>84</v>
      </c>
      <c r="AW139" s="9" t="s">
        <v>84</v>
      </c>
      <c r="AX139" s="24">
        <f>5.28/4.86</f>
        <v>1.086419753</v>
      </c>
      <c r="AY139" s="10">
        <v>0.0</v>
      </c>
      <c r="AZ139" s="10">
        <v>0.0</v>
      </c>
      <c r="BA139" s="10">
        <v>1.0</v>
      </c>
      <c r="BB139" s="24">
        <f>3.08/3.54</f>
        <v>0.8700564972</v>
      </c>
      <c r="BC139" s="22">
        <v>1.0</v>
      </c>
      <c r="BD139" s="22">
        <v>1.0</v>
      </c>
      <c r="BE139" s="22"/>
      <c r="BF139" s="9">
        <v>0.0</v>
      </c>
      <c r="BG139" s="9" t="s">
        <v>84</v>
      </c>
      <c r="BH139" s="9">
        <v>0.0</v>
      </c>
      <c r="BI139" s="9">
        <v>0.0</v>
      </c>
      <c r="BJ139" s="9">
        <v>0.0</v>
      </c>
      <c r="BK139" s="9">
        <v>0.0</v>
      </c>
      <c r="BL139" s="9">
        <v>0.0</v>
      </c>
      <c r="BM139" s="9">
        <v>0.0</v>
      </c>
      <c r="BN139" s="9">
        <v>0.0</v>
      </c>
      <c r="BO139" s="9">
        <v>0.0</v>
      </c>
      <c r="BP139" s="9" t="s">
        <v>84</v>
      </c>
      <c r="BQ139" s="9" t="s">
        <v>84</v>
      </c>
      <c r="BR139" s="9">
        <v>0.0</v>
      </c>
      <c r="BS139" s="9" t="s">
        <v>84</v>
      </c>
      <c r="BT139" s="9">
        <v>0.0</v>
      </c>
      <c r="BU139" s="9">
        <v>0.0</v>
      </c>
      <c r="BV139" s="9">
        <v>0.0</v>
      </c>
      <c r="BW139" s="22">
        <v>0.0</v>
      </c>
      <c r="BX139" s="25">
        <v>0.0</v>
      </c>
      <c r="BY139" s="9">
        <v>0.0</v>
      </c>
      <c r="BZ139" s="9">
        <v>0.0</v>
      </c>
      <c r="CA139" s="9">
        <v>0.0</v>
      </c>
      <c r="CB139" s="9">
        <v>0.0</v>
      </c>
      <c r="CC139" s="15" t="s">
        <v>101</v>
      </c>
      <c r="CD139" s="16"/>
    </row>
    <row r="140" ht="15.75" customHeight="1">
      <c r="A140" s="9">
        <v>139.0</v>
      </c>
      <c r="B140" s="22">
        <v>64.0</v>
      </c>
      <c r="C140" s="23" t="s">
        <v>81</v>
      </c>
      <c r="D140" s="23" t="s">
        <v>82</v>
      </c>
      <c r="E140" s="23" t="s">
        <v>99</v>
      </c>
      <c r="F140" s="12">
        <v>177.8</v>
      </c>
      <c r="G140" s="12">
        <v>102.0</v>
      </c>
      <c r="H140" s="12">
        <f t="shared" si="4"/>
        <v>32.26537065</v>
      </c>
      <c r="I140" s="9">
        <v>0.0</v>
      </c>
      <c r="J140" s="9">
        <v>2.0</v>
      </c>
      <c r="K140" s="9">
        <v>1.0</v>
      </c>
      <c r="L140" s="9">
        <v>0.0</v>
      </c>
      <c r="M140" s="9">
        <v>78.0</v>
      </c>
      <c r="N140" s="9">
        <v>0.0</v>
      </c>
      <c r="O140" s="9">
        <v>149.0</v>
      </c>
      <c r="P140" s="9">
        <v>0.0</v>
      </c>
      <c r="Q140" s="9">
        <v>18.0</v>
      </c>
      <c r="R140" s="9">
        <v>0.0</v>
      </c>
      <c r="S140" s="12">
        <v>98.8</v>
      </c>
      <c r="T140" s="9">
        <v>0.0</v>
      </c>
      <c r="U140" s="9">
        <v>97.0</v>
      </c>
      <c r="V140" s="9">
        <v>0.0</v>
      </c>
      <c r="W140" s="9">
        <v>0.0</v>
      </c>
      <c r="X140" s="9">
        <v>0.0</v>
      </c>
      <c r="Y140" s="9">
        <v>0.0</v>
      </c>
      <c r="Z140" s="9">
        <v>0.0</v>
      </c>
      <c r="AA140" s="9">
        <v>0.0</v>
      </c>
      <c r="AB140" s="9">
        <v>0.0</v>
      </c>
      <c r="AC140" s="9">
        <v>0.0</v>
      </c>
      <c r="AD140" s="9">
        <v>0.0</v>
      </c>
      <c r="AE140" s="9">
        <v>0.0</v>
      </c>
      <c r="AF140" s="9">
        <v>0.0</v>
      </c>
      <c r="AG140" s="9">
        <v>0.0</v>
      </c>
      <c r="AH140" s="9">
        <v>0.0</v>
      </c>
      <c r="AI140" s="9">
        <v>0.0</v>
      </c>
      <c r="AJ140" s="9">
        <v>0.0</v>
      </c>
      <c r="AK140" s="9">
        <v>0.0</v>
      </c>
      <c r="AL140" s="9">
        <v>0.0</v>
      </c>
      <c r="AM140" s="9">
        <v>0.0</v>
      </c>
      <c r="AN140" s="9">
        <v>0.0</v>
      </c>
      <c r="AO140" s="9">
        <v>3.0</v>
      </c>
      <c r="AP140" s="9" t="s">
        <v>84</v>
      </c>
      <c r="AQ140" s="9">
        <v>0.0</v>
      </c>
      <c r="AR140" s="9">
        <v>0.0</v>
      </c>
      <c r="AS140" s="9">
        <v>0.0</v>
      </c>
      <c r="AT140" s="9">
        <v>0.0</v>
      </c>
      <c r="AU140" s="9">
        <v>0.0</v>
      </c>
      <c r="AV140" s="9">
        <v>0.0</v>
      </c>
      <c r="AW140" s="9" t="s">
        <v>97</v>
      </c>
      <c r="AX140" s="24">
        <f>3.65/3.31</f>
        <v>1.102719033</v>
      </c>
      <c r="AY140" s="10">
        <v>0.0</v>
      </c>
      <c r="AZ140" s="10">
        <v>0.0</v>
      </c>
      <c r="BA140" s="10">
        <v>1.0</v>
      </c>
      <c r="BB140" s="24">
        <f>2.48/3.39</f>
        <v>0.7315634218</v>
      </c>
      <c r="BC140" s="22">
        <v>2.0</v>
      </c>
      <c r="BD140" s="22">
        <v>1.0</v>
      </c>
      <c r="BE140" s="22"/>
      <c r="BF140" s="9">
        <v>0.0</v>
      </c>
      <c r="BG140" s="9" t="s">
        <v>84</v>
      </c>
      <c r="BH140" s="9">
        <v>0.0</v>
      </c>
      <c r="BI140" s="9">
        <v>0.0</v>
      </c>
      <c r="BJ140" s="9">
        <v>0.0</v>
      </c>
      <c r="BK140" s="9">
        <v>0.0</v>
      </c>
      <c r="BL140" s="9">
        <v>0.0</v>
      </c>
      <c r="BM140" s="9">
        <v>0.0</v>
      </c>
      <c r="BN140" s="9">
        <v>0.0</v>
      </c>
      <c r="BO140" s="9">
        <v>0.0</v>
      </c>
      <c r="BP140" s="9" t="s">
        <v>84</v>
      </c>
      <c r="BQ140" s="9" t="s">
        <v>84</v>
      </c>
      <c r="BR140" s="9">
        <v>0.0</v>
      </c>
      <c r="BS140" s="9" t="s">
        <v>84</v>
      </c>
      <c r="BT140" s="9">
        <v>0.0</v>
      </c>
      <c r="BU140" s="9">
        <v>0.0</v>
      </c>
      <c r="BV140" s="9">
        <v>0.0</v>
      </c>
      <c r="BW140" s="26" t="s">
        <v>94</v>
      </c>
      <c r="BX140" s="25">
        <v>0.0</v>
      </c>
      <c r="BY140" s="9">
        <v>0.0</v>
      </c>
      <c r="BZ140" s="9">
        <v>0.0</v>
      </c>
      <c r="CA140" s="9">
        <v>0.0</v>
      </c>
      <c r="CB140" s="9">
        <v>0.0</v>
      </c>
      <c r="CC140" s="15" t="s">
        <v>101</v>
      </c>
      <c r="CD140" s="16"/>
    </row>
    <row r="141" ht="15.75" customHeight="1">
      <c r="A141" s="9">
        <v>140.0</v>
      </c>
      <c r="B141" s="22">
        <v>68.0</v>
      </c>
      <c r="C141" s="23" t="s">
        <v>81</v>
      </c>
      <c r="D141" s="23" t="s">
        <v>82</v>
      </c>
      <c r="E141" s="23" t="s">
        <v>96</v>
      </c>
      <c r="F141" s="12">
        <v>177.8</v>
      </c>
      <c r="G141" s="12">
        <v>84.0</v>
      </c>
      <c r="H141" s="12">
        <f t="shared" si="4"/>
        <v>26.57148171</v>
      </c>
      <c r="I141" s="9">
        <v>1.0</v>
      </c>
      <c r="J141" s="9">
        <v>3.0</v>
      </c>
      <c r="K141" s="9">
        <v>1.0</v>
      </c>
      <c r="L141" s="9">
        <v>0.0</v>
      </c>
      <c r="M141" s="9">
        <v>107.0</v>
      </c>
      <c r="N141" s="9">
        <v>0.0</v>
      </c>
      <c r="O141" s="9">
        <v>146.0</v>
      </c>
      <c r="P141" s="9">
        <v>0.0</v>
      </c>
      <c r="Q141" s="9">
        <v>20.0</v>
      </c>
      <c r="R141" s="9">
        <v>0.0</v>
      </c>
      <c r="S141" s="12">
        <v>98.0</v>
      </c>
      <c r="T141" s="9">
        <v>0.0</v>
      </c>
      <c r="U141" s="9">
        <v>97.0</v>
      </c>
      <c r="V141" s="9">
        <v>0.0</v>
      </c>
      <c r="W141" s="9">
        <v>0.0</v>
      </c>
      <c r="X141" s="9">
        <v>0.0</v>
      </c>
      <c r="Y141" s="9">
        <v>0.0</v>
      </c>
      <c r="Z141" s="9">
        <v>0.0</v>
      </c>
      <c r="AA141" s="9">
        <v>0.0</v>
      </c>
      <c r="AB141" s="9">
        <v>0.0</v>
      </c>
      <c r="AC141" s="9">
        <v>0.0</v>
      </c>
      <c r="AD141" s="9">
        <v>0.0</v>
      </c>
      <c r="AE141" s="9">
        <v>0.0</v>
      </c>
      <c r="AF141" s="9">
        <v>0.0</v>
      </c>
      <c r="AG141" s="9">
        <v>0.0</v>
      </c>
      <c r="AH141" s="9">
        <v>0.0</v>
      </c>
      <c r="AI141" s="9">
        <v>0.0</v>
      </c>
      <c r="AJ141" s="9">
        <v>0.0</v>
      </c>
      <c r="AK141" s="9">
        <v>0.0</v>
      </c>
      <c r="AL141" s="9">
        <v>1.0</v>
      </c>
      <c r="AM141" s="9">
        <v>0.0</v>
      </c>
      <c r="AN141" s="9">
        <v>0.0</v>
      </c>
      <c r="AO141" s="9">
        <v>1.0</v>
      </c>
      <c r="AP141" s="9">
        <v>1.0</v>
      </c>
      <c r="AQ141" s="9">
        <v>0.0</v>
      </c>
      <c r="AR141" s="9">
        <v>0.0</v>
      </c>
      <c r="AS141" s="9">
        <v>0.0</v>
      </c>
      <c r="AT141" s="9">
        <v>0.0</v>
      </c>
      <c r="AU141" s="9">
        <v>0.0</v>
      </c>
      <c r="AV141" s="9">
        <v>0.0</v>
      </c>
      <c r="AW141" s="9">
        <v>11.6</v>
      </c>
      <c r="AX141" s="24">
        <f>3.17/4.55</f>
        <v>0.6967032967</v>
      </c>
      <c r="AY141" s="10">
        <v>0.0</v>
      </c>
      <c r="AZ141" s="10">
        <v>0.0</v>
      </c>
      <c r="BA141" s="10">
        <v>0.0</v>
      </c>
      <c r="BB141" s="24">
        <f>2.5/3.51</f>
        <v>0.7122507123</v>
      </c>
      <c r="BC141" s="22">
        <v>3.0</v>
      </c>
      <c r="BD141" s="22">
        <v>0.0</v>
      </c>
      <c r="BE141" s="22"/>
      <c r="BF141" s="9">
        <v>0.0</v>
      </c>
      <c r="BG141" s="9" t="s">
        <v>84</v>
      </c>
      <c r="BH141" s="9">
        <v>1.0</v>
      </c>
      <c r="BI141" s="9">
        <v>0.0</v>
      </c>
      <c r="BJ141" s="9">
        <v>0.0</v>
      </c>
      <c r="BK141" s="9">
        <v>0.0</v>
      </c>
      <c r="BL141" s="9">
        <v>0.0</v>
      </c>
      <c r="BM141" s="9">
        <v>0.0</v>
      </c>
      <c r="BN141" s="9">
        <v>0.0</v>
      </c>
      <c r="BO141" s="9">
        <v>0.0</v>
      </c>
      <c r="BP141" s="9" t="s">
        <v>84</v>
      </c>
      <c r="BQ141" s="9" t="s">
        <v>84</v>
      </c>
      <c r="BR141" s="9">
        <v>0.0</v>
      </c>
      <c r="BS141" s="9" t="s">
        <v>84</v>
      </c>
      <c r="BT141" s="9">
        <v>0.0</v>
      </c>
      <c r="BU141" s="9">
        <v>0.0</v>
      </c>
      <c r="BV141" s="9">
        <v>0.0</v>
      </c>
      <c r="BW141" s="22">
        <v>0.0</v>
      </c>
      <c r="BX141" s="25">
        <v>0.0</v>
      </c>
      <c r="BY141" s="9">
        <v>0.0</v>
      </c>
      <c r="BZ141" s="9">
        <v>0.0</v>
      </c>
      <c r="CA141" s="9">
        <v>0.0</v>
      </c>
      <c r="CB141" s="9">
        <v>0.0</v>
      </c>
      <c r="CC141" s="15" t="s">
        <v>101</v>
      </c>
      <c r="CD141" s="16"/>
    </row>
    <row r="142" ht="15.75" customHeight="1">
      <c r="A142" s="9">
        <v>141.0</v>
      </c>
      <c r="B142" s="22">
        <v>50.0</v>
      </c>
      <c r="C142" s="23" t="s">
        <v>86</v>
      </c>
      <c r="D142" s="23" t="s">
        <v>82</v>
      </c>
      <c r="E142" s="23" t="s">
        <v>132</v>
      </c>
      <c r="F142" s="12">
        <v>160.02</v>
      </c>
      <c r="G142" s="12">
        <v>181.4</v>
      </c>
      <c r="H142" s="12">
        <f t="shared" si="4"/>
        <v>70.84166348</v>
      </c>
      <c r="I142" s="10">
        <v>1.0</v>
      </c>
      <c r="J142" s="9">
        <v>5.0</v>
      </c>
      <c r="K142" s="9">
        <v>1.0</v>
      </c>
      <c r="L142" s="9">
        <v>0.0</v>
      </c>
      <c r="M142" s="9">
        <v>108.0</v>
      </c>
      <c r="N142" s="9">
        <v>0.0</v>
      </c>
      <c r="O142" s="9">
        <v>189.0</v>
      </c>
      <c r="P142" s="9">
        <v>0.0</v>
      </c>
      <c r="Q142" s="9">
        <v>18.0</v>
      </c>
      <c r="R142" s="9">
        <v>0.0</v>
      </c>
      <c r="S142" s="12">
        <v>97.5</v>
      </c>
      <c r="T142" s="9">
        <v>1.0</v>
      </c>
      <c r="U142" s="9" t="s">
        <v>84</v>
      </c>
      <c r="V142" s="9">
        <v>1.0</v>
      </c>
      <c r="W142" s="9">
        <v>0.0</v>
      </c>
      <c r="X142" s="9">
        <v>0.0</v>
      </c>
      <c r="Y142" s="9">
        <v>0.0</v>
      </c>
      <c r="Z142" s="9">
        <v>0.0</v>
      </c>
      <c r="AA142" s="9">
        <v>0.0</v>
      </c>
      <c r="AB142" s="9">
        <v>1.0</v>
      </c>
      <c r="AC142" s="9">
        <v>1.0</v>
      </c>
      <c r="AD142" s="9">
        <v>0.0</v>
      </c>
      <c r="AE142" s="9">
        <v>1.0</v>
      </c>
      <c r="AF142" s="9">
        <v>1.0</v>
      </c>
      <c r="AG142" s="9">
        <v>1.0</v>
      </c>
      <c r="AH142" s="9">
        <v>0.0</v>
      </c>
      <c r="AI142" s="9">
        <v>0.0</v>
      </c>
      <c r="AJ142" s="9">
        <v>0.0</v>
      </c>
      <c r="AK142" s="9">
        <v>1.0</v>
      </c>
      <c r="AL142" s="9">
        <v>0.0</v>
      </c>
      <c r="AM142" s="9">
        <v>0.0</v>
      </c>
      <c r="AN142" s="9">
        <v>1.0</v>
      </c>
      <c r="AO142" s="9">
        <v>0.0</v>
      </c>
      <c r="AP142" s="9" t="s">
        <v>84</v>
      </c>
      <c r="AQ142" s="9" t="s">
        <v>84</v>
      </c>
      <c r="AR142" s="9" t="s">
        <v>84</v>
      </c>
      <c r="AS142" s="9">
        <v>0.0</v>
      </c>
      <c r="AT142" s="9">
        <v>0.0</v>
      </c>
      <c r="AU142" s="9">
        <v>0.0</v>
      </c>
      <c r="AV142" s="9">
        <v>0.0</v>
      </c>
      <c r="AW142" s="9">
        <v>27.0</v>
      </c>
      <c r="AX142" s="24">
        <f>3.23/4.29</f>
        <v>0.7529137529</v>
      </c>
      <c r="AY142" s="10">
        <v>0.0</v>
      </c>
      <c r="AZ142" s="10">
        <v>0.0</v>
      </c>
      <c r="BA142" s="10">
        <v>0.0</v>
      </c>
      <c r="BB142" s="24">
        <f>4.07/3.89</f>
        <v>1.046272494</v>
      </c>
      <c r="BC142" s="22">
        <v>1.0</v>
      </c>
      <c r="BD142" s="22">
        <v>0.0</v>
      </c>
      <c r="BE142" s="22"/>
      <c r="BF142" s="9" t="s">
        <v>84</v>
      </c>
      <c r="BG142" s="9" t="s">
        <v>84</v>
      </c>
      <c r="BH142" s="9">
        <v>0.0</v>
      </c>
      <c r="BI142" s="9">
        <v>0.0</v>
      </c>
      <c r="BJ142" s="9">
        <v>0.0</v>
      </c>
      <c r="BK142" s="9">
        <v>0.0</v>
      </c>
      <c r="BL142" s="9">
        <v>0.0</v>
      </c>
      <c r="BM142" s="9">
        <v>0.0</v>
      </c>
      <c r="BN142" s="9">
        <v>0.0</v>
      </c>
      <c r="BO142" s="9">
        <v>0.0</v>
      </c>
      <c r="BP142" s="9" t="s">
        <v>84</v>
      </c>
      <c r="BQ142" s="9" t="s">
        <v>84</v>
      </c>
      <c r="BR142" s="9">
        <v>1.0</v>
      </c>
      <c r="BS142" s="9" t="s">
        <v>145</v>
      </c>
      <c r="BT142" s="9">
        <v>0.0</v>
      </c>
      <c r="BU142" s="9">
        <v>1.0</v>
      </c>
      <c r="BV142" s="9">
        <v>0.0</v>
      </c>
      <c r="BW142" s="22">
        <v>1.0</v>
      </c>
      <c r="BX142" s="27" t="s">
        <v>84</v>
      </c>
      <c r="BY142" s="9">
        <v>1.0</v>
      </c>
      <c r="BZ142" s="9">
        <v>1.0</v>
      </c>
      <c r="CA142" s="9">
        <v>0.0</v>
      </c>
      <c r="CB142" s="9">
        <v>0.0</v>
      </c>
      <c r="CC142" s="15" t="s">
        <v>105</v>
      </c>
      <c r="CD142" s="16"/>
    </row>
    <row r="143" ht="15.75" customHeight="1">
      <c r="A143" s="9">
        <v>142.0</v>
      </c>
      <c r="B143" s="22">
        <v>50.0</v>
      </c>
      <c r="C143" s="23" t="s">
        <v>81</v>
      </c>
      <c r="D143" s="23" t="s">
        <v>88</v>
      </c>
      <c r="E143" s="23" t="s">
        <v>123</v>
      </c>
      <c r="F143" s="12">
        <v>200.66</v>
      </c>
      <c r="G143" s="12">
        <v>187.3</v>
      </c>
      <c r="H143" s="12">
        <f t="shared" si="4"/>
        <v>46.51747807</v>
      </c>
      <c r="I143" s="10">
        <v>1.0</v>
      </c>
      <c r="J143" s="9">
        <v>4.0</v>
      </c>
      <c r="K143" s="9">
        <v>2.0</v>
      </c>
      <c r="L143" s="9">
        <v>0.0</v>
      </c>
      <c r="M143" s="9">
        <v>100.0</v>
      </c>
      <c r="N143" s="9">
        <v>0.0</v>
      </c>
      <c r="O143" s="9">
        <v>138.0</v>
      </c>
      <c r="P143" s="9">
        <v>1.0</v>
      </c>
      <c r="Q143" s="9">
        <v>31.0</v>
      </c>
      <c r="R143" s="9">
        <v>0.0</v>
      </c>
      <c r="S143" s="12">
        <v>99.3</v>
      </c>
      <c r="T143" s="9">
        <v>1.0</v>
      </c>
      <c r="U143" s="9">
        <v>86.0</v>
      </c>
      <c r="V143" s="9">
        <v>1.0</v>
      </c>
      <c r="W143" s="9">
        <v>0.0</v>
      </c>
      <c r="X143" s="9">
        <v>0.0</v>
      </c>
      <c r="Y143" s="9">
        <v>0.0</v>
      </c>
      <c r="Z143" s="9">
        <v>0.0</v>
      </c>
      <c r="AA143" s="9">
        <v>0.0</v>
      </c>
      <c r="AB143" s="9">
        <v>0.0</v>
      </c>
      <c r="AC143" s="9">
        <v>0.0</v>
      </c>
      <c r="AD143" s="9">
        <v>0.0</v>
      </c>
      <c r="AE143" s="9">
        <v>0.0</v>
      </c>
      <c r="AF143" s="9">
        <v>0.0</v>
      </c>
      <c r="AG143" s="9">
        <v>0.0</v>
      </c>
      <c r="AH143" s="9">
        <v>0.0</v>
      </c>
      <c r="AI143" s="9">
        <v>0.0</v>
      </c>
      <c r="AJ143" s="9">
        <v>0.0</v>
      </c>
      <c r="AK143" s="9">
        <v>0.0</v>
      </c>
      <c r="AL143" s="9">
        <v>1.0</v>
      </c>
      <c r="AM143" s="9">
        <v>0.0</v>
      </c>
      <c r="AN143" s="9">
        <v>0.0</v>
      </c>
      <c r="AO143" s="9">
        <v>1.0</v>
      </c>
      <c r="AP143" s="9">
        <v>1.0</v>
      </c>
      <c r="AQ143" s="9">
        <v>0.0</v>
      </c>
      <c r="AR143" s="9">
        <v>1.0</v>
      </c>
      <c r="AS143" s="9">
        <v>0.0</v>
      </c>
      <c r="AT143" s="9">
        <v>0.0</v>
      </c>
      <c r="AU143" s="9">
        <v>0.0</v>
      </c>
      <c r="AV143" s="9">
        <v>0.0</v>
      </c>
      <c r="AW143" s="9">
        <v>37.0</v>
      </c>
      <c r="AX143" s="24">
        <f>5.4/5.14</f>
        <v>1.050583658</v>
      </c>
      <c r="AY143" s="10">
        <v>0.0</v>
      </c>
      <c r="AZ143" s="10">
        <v>0.0</v>
      </c>
      <c r="BA143" s="10">
        <v>1.0</v>
      </c>
      <c r="BB143" s="24">
        <f>3.61/3.46</f>
        <v>1.043352601</v>
      </c>
      <c r="BC143" s="22">
        <v>1.0</v>
      </c>
      <c r="BD143" s="22">
        <v>0.0</v>
      </c>
      <c r="BE143" s="22"/>
      <c r="BF143" s="9">
        <v>0.0</v>
      </c>
      <c r="BG143" s="9" t="s">
        <v>84</v>
      </c>
      <c r="BH143" s="9">
        <v>1.0</v>
      </c>
      <c r="BI143" s="9">
        <v>0.0</v>
      </c>
      <c r="BJ143" s="9">
        <v>0.0</v>
      </c>
      <c r="BK143" s="9">
        <v>0.0</v>
      </c>
      <c r="BL143" s="9">
        <v>0.0</v>
      </c>
      <c r="BM143" s="9">
        <v>0.0</v>
      </c>
      <c r="BN143" s="9">
        <v>0.0</v>
      </c>
      <c r="BO143" s="9">
        <v>0.0</v>
      </c>
      <c r="BP143" s="9" t="s">
        <v>84</v>
      </c>
      <c r="BQ143" s="9" t="s">
        <v>84</v>
      </c>
      <c r="BR143" s="9">
        <v>0.0</v>
      </c>
      <c r="BS143" s="9" t="s">
        <v>84</v>
      </c>
      <c r="BT143" s="9">
        <v>0.0</v>
      </c>
      <c r="BU143" s="9">
        <v>0.0</v>
      </c>
      <c r="BV143" s="9">
        <v>0.0</v>
      </c>
      <c r="BW143" s="22">
        <v>0.0</v>
      </c>
      <c r="BX143" s="25">
        <v>0.0</v>
      </c>
      <c r="BY143" s="9">
        <v>0.0</v>
      </c>
      <c r="BZ143" s="9">
        <v>0.0</v>
      </c>
      <c r="CA143" s="9">
        <v>0.0</v>
      </c>
      <c r="CB143" s="9">
        <v>0.0</v>
      </c>
      <c r="CC143" s="15" t="s">
        <v>144</v>
      </c>
      <c r="CD143" s="16"/>
    </row>
    <row r="144" ht="15.75" customHeight="1">
      <c r="A144" s="9">
        <v>143.0</v>
      </c>
      <c r="B144" s="22">
        <v>27.0</v>
      </c>
      <c r="C144" s="23" t="s">
        <v>81</v>
      </c>
      <c r="D144" s="23" t="s">
        <v>82</v>
      </c>
      <c r="E144" s="23" t="s">
        <v>121</v>
      </c>
      <c r="F144" s="12">
        <v>175.26</v>
      </c>
      <c r="G144" s="12">
        <v>86.0</v>
      </c>
      <c r="H144" s="12">
        <f t="shared" si="4"/>
        <v>27.99837568</v>
      </c>
      <c r="I144" s="10">
        <v>1.0</v>
      </c>
      <c r="J144" s="9">
        <v>1.0</v>
      </c>
      <c r="K144" s="9">
        <v>4.0</v>
      </c>
      <c r="L144" s="9">
        <v>1.0</v>
      </c>
      <c r="M144" s="9">
        <v>120.0</v>
      </c>
      <c r="N144" s="9">
        <v>0.0</v>
      </c>
      <c r="O144" s="9">
        <v>145.0</v>
      </c>
      <c r="P144" s="9">
        <v>0.0</v>
      </c>
      <c r="Q144" s="9">
        <v>20.0</v>
      </c>
      <c r="R144" s="9">
        <v>0.0</v>
      </c>
      <c r="S144" s="12">
        <v>98.0</v>
      </c>
      <c r="T144" s="9">
        <v>0.0</v>
      </c>
      <c r="U144" s="9">
        <v>100.0</v>
      </c>
      <c r="V144" s="9">
        <v>0.0</v>
      </c>
      <c r="W144" s="9">
        <v>0.0</v>
      </c>
      <c r="X144" s="9">
        <v>0.0</v>
      </c>
      <c r="Y144" s="9">
        <v>0.0</v>
      </c>
      <c r="Z144" s="9">
        <v>1.0</v>
      </c>
      <c r="AA144" s="9">
        <v>0.0</v>
      </c>
      <c r="AB144" s="9">
        <v>0.0</v>
      </c>
      <c r="AC144" s="9">
        <v>0.0</v>
      </c>
      <c r="AD144" s="9">
        <v>0.0</v>
      </c>
      <c r="AE144" s="9">
        <v>0.0</v>
      </c>
      <c r="AF144" s="9">
        <v>0.0</v>
      </c>
      <c r="AG144" s="9">
        <v>0.0</v>
      </c>
      <c r="AH144" s="9">
        <v>0.0</v>
      </c>
      <c r="AI144" s="9">
        <v>0.0</v>
      </c>
      <c r="AJ144" s="9">
        <v>0.0</v>
      </c>
      <c r="AK144" s="9">
        <v>0.0</v>
      </c>
      <c r="AL144" s="9">
        <v>0.0</v>
      </c>
      <c r="AM144" s="9">
        <v>0.0</v>
      </c>
      <c r="AN144" s="9">
        <v>0.0</v>
      </c>
      <c r="AO144" s="9">
        <v>1.0</v>
      </c>
      <c r="AP144" s="9">
        <v>1.0</v>
      </c>
      <c r="AQ144" s="9" t="s">
        <v>84</v>
      </c>
      <c r="AR144" s="9" t="s">
        <v>84</v>
      </c>
      <c r="AS144" s="9" t="s">
        <v>84</v>
      </c>
      <c r="AT144" s="9" t="s">
        <v>84</v>
      </c>
      <c r="AU144" s="9" t="s">
        <v>84</v>
      </c>
      <c r="AV144" s="9" t="s">
        <v>84</v>
      </c>
      <c r="AW144" s="9" t="s">
        <v>84</v>
      </c>
      <c r="AX144" s="24">
        <f>3.15/4.73</f>
        <v>0.665961945</v>
      </c>
      <c r="AY144" s="10">
        <v>0.0</v>
      </c>
      <c r="AZ144" s="10">
        <v>0.0</v>
      </c>
      <c r="BA144" s="10">
        <v>0.0</v>
      </c>
      <c r="BB144" s="24">
        <f>2.32/2.7</f>
        <v>0.8592592593</v>
      </c>
      <c r="BC144" s="22">
        <v>1.0</v>
      </c>
      <c r="BD144" s="22">
        <v>0.0</v>
      </c>
      <c r="BE144" s="22"/>
      <c r="BF144" s="9">
        <v>0.0</v>
      </c>
      <c r="BG144" s="9" t="s">
        <v>84</v>
      </c>
      <c r="BH144" s="9">
        <v>1.0</v>
      </c>
      <c r="BI144" s="9">
        <v>0.0</v>
      </c>
      <c r="BJ144" s="9">
        <v>0.0</v>
      </c>
      <c r="BK144" s="9">
        <v>0.0</v>
      </c>
      <c r="BL144" s="9">
        <v>0.0</v>
      </c>
      <c r="BM144" s="9">
        <v>0.0</v>
      </c>
      <c r="BN144" s="9">
        <v>0.0</v>
      </c>
      <c r="BO144" s="9">
        <v>1.0</v>
      </c>
      <c r="BP144" s="9">
        <v>0.0</v>
      </c>
      <c r="BQ144" s="9">
        <v>0.0</v>
      </c>
      <c r="BR144" s="9">
        <v>0.0</v>
      </c>
      <c r="BS144" s="9" t="s">
        <v>84</v>
      </c>
      <c r="BT144" s="9">
        <v>0.0</v>
      </c>
      <c r="BU144" s="9">
        <v>1.0</v>
      </c>
      <c r="BV144" s="9">
        <v>0.0</v>
      </c>
      <c r="BW144" s="22">
        <v>0.0</v>
      </c>
      <c r="BX144" s="25">
        <v>0.0</v>
      </c>
      <c r="BY144" s="9">
        <v>0.0</v>
      </c>
      <c r="BZ144" s="9">
        <v>0.0</v>
      </c>
      <c r="CA144" s="9">
        <v>0.0</v>
      </c>
      <c r="CB144" s="9">
        <v>0.0</v>
      </c>
      <c r="CC144" s="15" t="s">
        <v>104</v>
      </c>
      <c r="CD144" s="16"/>
    </row>
    <row r="145" ht="15.75" customHeight="1">
      <c r="A145" s="9">
        <v>144.0</v>
      </c>
      <c r="B145" s="22">
        <v>61.0</v>
      </c>
      <c r="C145" s="23" t="s">
        <v>81</v>
      </c>
      <c r="D145" s="23" t="s">
        <v>82</v>
      </c>
      <c r="E145" s="23" t="s">
        <v>103</v>
      </c>
      <c r="F145" s="12">
        <v>154.94</v>
      </c>
      <c r="G145" s="12">
        <v>89.4</v>
      </c>
      <c r="H145" s="12">
        <f t="shared" si="4"/>
        <v>37.24006373</v>
      </c>
      <c r="I145" s="10">
        <v>0.0</v>
      </c>
      <c r="J145" s="9">
        <v>2.0</v>
      </c>
      <c r="K145" s="9">
        <v>1.0</v>
      </c>
      <c r="L145" s="9">
        <v>0.0</v>
      </c>
      <c r="M145" s="9">
        <v>71.0</v>
      </c>
      <c r="N145" s="9">
        <v>0.0</v>
      </c>
      <c r="O145" s="9">
        <v>153.0</v>
      </c>
      <c r="P145" s="9">
        <v>0.0</v>
      </c>
      <c r="Q145" s="9">
        <v>18.0</v>
      </c>
      <c r="R145" s="9">
        <v>0.0</v>
      </c>
      <c r="S145" s="12">
        <v>98.4</v>
      </c>
      <c r="T145" s="9">
        <v>0.0</v>
      </c>
      <c r="U145" s="9">
        <v>99.0</v>
      </c>
      <c r="V145" s="9">
        <v>0.0</v>
      </c>
      <c r="W145" s="9">
        <v>0.0</v>
      </c>
      <c r="X145" s="9">
        <v>0.0</v>
      </c>
      <c r="Y145" s="9">
        <v>0.0</v>
      </c>
      <c r="Z145" s="9">
        <v>0.0</v>
      </c>
      <c r="AA145" s="9">
        <v>0.0</v>
      </c>
      <c r="AB145" s="9">
        <v>0.0</v>
      </c>
      <c r="AC145" s="9">
        <v>1.0</v>
      </c>
      <c r="AD145" s="9">
        <v>0.0</v>
      </c>
      <c r="AE145" s="9">
        <v>0.0</v>
      </c>
      <c r="AF145" s="9">
        <v>0.0</v>
      </c>
      <c r="AG145" s="9">
        <v>0.0</v>
      </c>
      <c r="AH145" s="9">
        <v>0.0</v>
      </c>
      <c r="AI145" s="9">
        <v>0.0</v>
      </c>
      <c r="AJ145" s="9">
        <v>0.0</v>
      </c>
      <c r="AK145" s="9">
        <v>1.0</v>
      </c>
      <c r="AL145" s="9">
        <v>0.0</v>
      </c>
      <c r="AM145" s="9">
        <v>0.0</v>
      </c>
      <c r="AN145" s="9">
        <v>0.0</v>
      </c>
      <c r="AO145" s="9">
        <v>1.0</v>
      </c>
      <c r="AP145" s="9">
        <v>1.0</v>
      </c>
      <c r="AQ145" s="9" t="s">
        <v>84</v>
      </c>
      <c r="AR145" s="9">
        <v>0.0</v>
      </c>
      <c r="AS145" s="9" t="s">
        <v>84</v>
      </c>
      <c r="AT145" s="9" t="s">
        <v>84</v>
      </c>
      <c r="AU145" s="9" t="s">
        <v>84</v>
      </c>
      <c r="AV145" s="9" t="s">
        <v>84</v>
      </c>
      <c r="AW145" s="9" t="s">
        <v>84</v>
      </c>
      <c r="AX145" s="24">
        <f>4.2/5</f>
        <v>0.84</v>
      </c>
      <c r="AY145" s="22">
        <v>0.0</v>
      </c>
      <c r="AZ145" s="10">
        <v>0.0</v>
      </c>
      <c r="BA145" s="10">
        <v>0.0</v>
      </c>
      <c r="BB145" s="24">
        <f>2.6/3.05</f>
        <v>0.8524590164</v>
      </c>
      <c r="BC145" s="22">
        <v>2.0</v>
      </c>
      <c r="BD145" s="22">
        <v>1.0</v>
      </c>
      <c r="BE145" s="22"/>
      <c r="BF145" s="9">
        <v>0.0</v>
      </c>
      <c r="BG145" s="9" t="s">
        <v>84</v>
      </c>
      <c r="BH145" s="9">
        <v>0.0</v>
      </c>
      <c r="BI145" s="9">
        <v>0.0</v>
      </c>
      <c r="BJ145" s="9">
        <v>0.0</v>
      </c>
      <c r="BK145" s="9">
        <v>0.0</v>
      </c>
      <c r="BL145" s="9">
        <v>0.0</v>
      </c>
      <c r="BM145" s="9">
        <v>0.0</v>
      </c>
      <c r="BN145" s="9">
        <v>0.0</v>
      </c>
      <c r="BO145" s="9">
        <v>0.0</v>
      </c>
      <c r="BP145" s="9" t="s">
        <v>84</v>
      </c>
      <c r="BQ145" s="9" t="s">
        <v>84</v>
      </c>
      <c r="BR145" s="9">
        <v>0.0</v>
      </c>
      <c r="BS145" s="9" t="s">
        <v>84</v>
      </c>
      <c r="BT145" s="9">
        <v>0.0</v>
      </c>
      <c r="BU145" s="9">
        <v>0.0</v>
      </c>
      <c r="BV145" s="9">
        <v>0.0</v>
      </c>
      <c r="BW145" s="22">
        <v>0.0</v>
      </c>
      <c r="BX145" s="25">
        <v>0.0</v>
      </c>
      <c r="BY145" s="9">
        <v>0.0</v>
      </c>
      <c r="BZ145" s="9">
        <v>0.0</v>
      </c>
      <c r="CA145" s="9">
        <v>0.0</v>
      </c>
      <c r="CB145" s="9">
        <v>0.0</v>
      </c>
      <c r="CC145" s="15" t="s">
        <v>92</v>
      </c>
      <c r="CD145" s="16"/>
    </row>
    <row r="146" ht="15.75" customHeight="1">
      <c r="A146" s="9">
        <v>145.0</v>
      </c>
      <c r="B146" s="22">
        <v>57.0</v>
      </c>
      <c r="C146" s="23" t="s">
        <v>81</v>
      </c>
      <c r="D146" s="23" t="s">
        <v>82</v>
      </c>
      <c r="E146" s="23" t="s">
        <v>90</v>
      </c>
      <c r="F146" s="12">
        <v>180.34</v>
      </c>
      <c r="G146" s="12">
        <v>111.0</v>
      </c>
      <c r="H146" s="12">
        <f t="shared" si="4"/>
        <v>34.13020117</v>
      </c>
      <c r="I146" s="10">
        <v>1.0</v>
      </c>
      <c r="J146" s="9">
        <v>2.0</v>
      </c>
      <c r="K146" s="9">
        <v>2.0</v>
      </c>
      <c r="L146" s="9">
        <v>0.0</v>
      </c>
      <c r="M146" s="9">
        <v>84.0</v>
      </c>
      <c r="N146" s="9">
        <v>0.0</v>
      </c>
      <c r="O146" s="9">
        <v>101.0</v>
      </c>
      <c r="P146" s="9">
        <v>0.0</v>
      </c>
      <c r="Q146" s="9">
        <v>16.0</v>
      </c>
      <c r="R146" s="9">
        <v>0.0</v>
      </c>
      <c r="S146" s="12">
        <v>98.5</v>
      </c>
      <c r="T146" s="9">
        <v>0.0</v>
      </c>
      <c r="U146" s="9">
        <v>98.0</v>
      </c>
      <c r="V146" s="9">
        <v>0.0</v>
      </c>
      <c r="W146" s="9">
        <v>0.0</v>
      </c>
      <c r="X146" s="9">
        <v>0.0</v>
      </c>
      <c r="Y146" s="9">
        <v>1.0</v>
      </c>
      <c r="Z146" s="9">
        <v>0.0</v>
      </c>
      <c r="AA146" s="9">
        <v>0.0</v>
      </c>
      <c r="AB146" s="9">
        <v>0.0</v>
      </c>
      <c r="AC146" s="9">
        <v>0.0</v>
      </c>
      <c r="AD146" s="9">
        <v>0.0</v>
      </c>
      <c r="AE146" s="9">
        <v>0.0</v>
      </c>
      <c r="AF146" s="9">
        <v>0.0</v>
      </c>
      <c r="AG146" s="9">
        <v>0.0</v>
      </c>
      <c r="AH146" s="9">
        <v>0.0</v>
      </c>
      <c r="AI146" s="9">
        <v>0.0</v>
      </c>
      <c r="AJ146" s="9">
        <v>1.0</v>
      </c>
      <c r="AK146" s="9">
        <v>0.0</v>
      </c>
      <c r="AL146" s="9">
        <v>1.0</v>
      </c>
      <c r="AM146" s="9">
        <v>0.0</v>
      </c>
      <c r="AN146" s="9">
        <v>0.0</v>
      </c>
      <c r="AO146" s="9">
        <v>1.0</v>
      </c>
      <c r="AP146" s="9">
        <v>1.0</v>
      </c>
      <c r="AQ146" s="9" t="s">
        <v>84</v>
      </c>
      <c r="AR146" s="9">
        <v>0.0</v>
      </c>
      <c r="AS146" s="9">
        <v>1.0</v>
      </c>
      <c r="AT146" s="9">
        <v>0.0</v>
      </c>
      <c r="AU146" s="9">
        <v>0.0</v>
      </c>
      <c r="AV146" s="9">
        <v>0.0</v>
      </c>
      <c r="AW146" s="9" t="s">
        <v>97</v>
      </c>
      <c r="AX146" s="24">
        <f>5.21/5.93</f>
        <v>0.8785834739</v>
      </c>
      <c r="AY146" s="22">
        <v>1.0</v>
      </c>
      <c r="AZ146" s="10">
        <v>0.0</v>
      </c>
      <c r="BA146" s="10">
        <v>0.0</v>
      </c>
      <c r="BB146" s="24">
        <f>3.14/3.73</f>
        <v>0.8418230563</v>
      </c>
      <c r="BC146" s="22">
        <v>1.0</v>
      </c>
      <c r="BD146" s="22">
        <v>1.0</v>
      </c>
      <c r="BE146" s="22"/>
      <c r="BF146" s="9">
        <v>0.0</v>
      </c>
      <c r="BG146" s="9" t="s">
        <v>84</v>
      </c>
      <c r="BH146" s="9">
        <v>0.0</v>
      </c>
      <c r="BI146" s="9">
        <v>0.0</v>
      </c>
      <c r="BJ146" s="9">
        <v>0.0</v>
      </c>
      <c r="BK146" s="9">
        <v>0.0</v>
      </c>
      <c r="BL146" s="9">
        <v>0.0</v>
      </c>
      <c r="BM146" s="9">
        <v>0.0</v>
      </c>
      <c r="BN146" s="9">
        <v>0.0</v>
      </c>
      <c r="BO146" s="9">
        <v>0.0</v>
      </c>
      <c r="BP146" s="9" t="s">
        <v>84</v>
      </c>
      <c r="BQ146" s="9" t="s">
        <v>84</v>
      </c>
      <c r="BR146" s="9">
        <v>0.0</v>
      </c>
      <c r="BS146" s="9" t="s">
        <v>84</v>
      </c>
      <c r="BT146" s="9">
        <v>0.0</v>
      </c>
      <c r="BU146" s="9">
        <v>0.0</v>
      </c>
      <c r="BV146" s="9">
        <v>0.0</v>
      </c>
      <c r="BW146" s="22">
        <v>0.0</v>
      </c>
      <c r="BX146" s="25">
        <v>0.0</v>
      </c>
      <c r="BY146" s="9">
        <v>0.0</v>
      </c>
      <c r="BZ146" s="9">
        <v>0.0</v>
      </c>
      <c r="CA146" s="9">
        <v>0.0</v>
      </c>
      <c r="CB146" s="9">
        <v>0.0</v>
      </c>
      <c r="CC146" s="15" t="s">
        <v>113</v>
      </c>
      <c r="CD146" s="16"/>
    </row>
    <row r="147" ht="15.75" customHeight="1">
      <c r="A147" s="9">
        <v>146.0</v>
      </c>
      <c r="B147" s="22">
        <v>85.0</v>
      </c>
      <c r="C147" s="23" t="s">
        <v>81</v>
      </c>
      <c r="D147" s="23" t="s">
        <v>82</v>
      </c>
      <c r="E147" s="23" t="s">
        <v>83</v>
      </c>
      <c r="F147" s="12">
        <v>170.18</v>
      </c>
      <c r="G147" s="12">
        <v>87.0</v>
      </c>
      <c r="H147" s="12">
        <f t="shared" si="4"/>
        <v>30.0401581</v>
      </c>
      <c r="I147" s="10">
        <v>1.0</v>
      </c>
      <c r="J147" s="9">
        <v>5.0</v>
      </c>
      <c r="K147" s="9">
        <v>2.0</v>
      </c>
      <c r="L147" s="9">
        <v>1.0</v>
      </c>
      <c r="M147" s="9">
        <v>111.0</v>
      </c>
      <c r="N147" s="9">
        <v>0.0</v>
      </c>
      <c r="O147" s="9">
        <v>131.0</v>
      </c>
      <c r="P147" s="9">
        <v>0.0</v>
      </c>
      <c r="Q147" s="9">
        <v>25.0</v>
      </c>
      <c r="R147" s="9">
        <v>0.0</v>
      </c>
      <c r="S147" s="12">
        <v>97.5</v>
      </c>
      <c r="T147" s="9">
        <v>0.0</v>
      </c>
      <c r="U147" s="9">
        <v>92.0</v>
      </c>
      <c r="V147" s="9" t="s">
        <v>84</v>
      </c>
      <c r="W147" s="9">
        <v>0.0</v>
      </c>
      <c r="X147" s="9">
        <v>0.0</v>
      </c>
      <c r="Y147" s="9">
        <v>0.0</v>
      </c>
      <c r="Z147" s="9">
        <v>0.0</v>
      </c>
      <c r="AA147" s="9">
        <v>0.0</v>
      </c>
      <c r="AB147" s="9">
        <v>0.0</v>
      </c>
      <c r="AC147" s="9">
        <v>0.0</v>
      </c>
      <c r="AD147" s="9">
        <v>0.0</v>
      </c>
      <c r="AE147" s="9">
        <v>0.0</v>
      </c>
      <c r="AF147" s="9">
        <v>1.0</v>
      </c>
      <c r="AG147" s="9">
        <v>1.0</v>
      </c>
      <c r="AH147" s="9">
        <v>0.0</v>
      </c>
      <c r="AI147" s="9">
        <v>0.0</v>
      </c>
      <c r="AJ147" s="9">
        <v>0.0</v>
      </c>
      <c r="AK147" s="9">
        <v>0.0</v>
      </c>
      <c r="AL147" s="9">
        <v>0.0</v>
      </c>
      <c r="AM147" s="9">
        <v>1.0</v>
      </c>
      <c r="AN147" s="9">
        <v>1.0</v>
      </c>
      <c r="AO147" s="9" t="s">
        <v>84</v>
      </c>
      <c r="AP147" s="9" t="s">
        <v>84</v>
      </c>
      <c r="AQ147" s="9">
        <v>1.0</v>
      </c>
      <c r="AR147" s="9">
        <v>1.0</v>
      </c>
      <c r="AS147" s="9">
        <v>1.0</v>
      </c>
      <c r="AT147" s="9">
        <v>1.0</v>
      </c>
      <c r="AU147" s="9">
        <v>1.0</v>
      </c>
      <c r="AV147" s="9">
        <v>0.0</v>
      </c>
      <c r="AW147" s="9">
        <v>60.0</v>
      </c>
      <c r="AX147" s="24">
        <f>4.14/3.52</f>
        <v>1.176136364</v>
      </c>
      <c r="AY147" s="22">
        <v>0.0</v>
      </c>
      <c r="AZ147" s="10">
        <v>0.0</v>
      </c>
      <c r="BA147" s="10">
        <v>1.0</v>
      </c>
      <c r="BB147" s="24">
        <f>2.87/3.55</f>
        <v>0.8084507042</v>
      </c>
      <c r="BC147" s="22">
        <v>5.0</v>
      </c>
      <c r="BD147" s="22">
        <v>1.0</v>
      </c>
      <c r="BE147" s="22"/>
      <c r="BF147" s="9">
        <v>1.0</v>
      </c>
      <c r="BG147" s="9" t="s">
        <v>146</v>
      </c>
      <c r="BH147" s="9">
        <v>1.0</v>
      </c>
      <c r="BI147" s="9">
        <v>0.0</v>
      </c>
      <c r="BJ147" s="9">
        <v>0.0</v>
      </c>
      <c r="BK147" s="9">
        <v>1.0</v>
      </c>
      <c r="BL147" s="9">
        <v>0.0</v>
      </c>
      <c r="BM147" s="9">
        <v>0.0</v>
      </c>
      <c r="BN147" s="9">
        <v>0.0</v>
      </c>
      <c r="BO147" s="9">
        <v>0.0</v>
      </c>
      <c r="BP147" s="9" t="s">
        <v>84</v>
      </c>
      <c r="BQ147" s="9" t="s">
        <v>84</v>
      </c>
      <c r="BR147" s="9">
        <v>0.0</v>
      </c>
      <c r="BS147" s="9" t="s">
        <v>84</v>
      </c>
      <c r="BT147" s="9">
        <v>0.0</v>
      </c>
      <c r="BU147" s="9">
        <v>0.0</v>
      </c>
      <c r="BV147" s="9">
        <v>0.0</v>
      </c>
      <c r="BW147" s="22">
        <v>1.0</v>
      </c>
      <c r="BX147" s="27" t="s">
        <v>84</v>
      </c>
      <c r="BY147" s="9">
        <v>1.0</v>
      </c>
      <c r="BZ147" s="9">
        <v>0.0</v>
      </c>
      <c r="CA147" s="9">
        <v>0.0</v>
      </c>
      <c r="CB147" s="9">
        <v>0.0</v>
      </c>
      <c r="CC147" s="15" t="s">
        <v>101</v>
      </c>
      <c r="CD147" s="16"/>
    </row>
    <row r="148" ht="15.75" customHeight="1">
      <c r="A148" s="9">
        <v>147.0</v>
      </c>
      <c r="B148" s="22">
        <v>39.0</v>
      </c>
      <c r="C148" s="23" t="s">
        <v>81</v>
      </c>
      <c r="D148" s="23" t="s">
        <v>82</v>
      </c>
      <c r="E148" s="23" t="s">
        <v>96</v>
      </c>
      <c r="F148" s="12">
        <v>190.5</v>
      </c>
      <c r="G148" s="12">
        <v>122.5</v>
      </c>
      <c r="H148" s="12">
        <f t="shared" si="4"/>
        <v>33.75562307</v>
      </c>
      <c r="I148" s="10">
        <v>1.0</v>
      </c>
      <c r="J148" s="9">
        <v>5.0</v>
      </c>
      <c r="K148" s="9">
        <v>2.0</v>
      </c>
      <c r="L148" s="9">
        <v>1.0</v>
      </c>
      <c r="M148" s="9">
        <v>134.0</v>
      </c>
      <c r="N148" s="9">
        <v>0.0</v>
      </c>
      <c r="O148" s="9">
        <v>136.0</v>
      </c>
      <c r="P148" s="9">
        <v>0.0</v>
      </c>
      <c r="Q148" s="9">
        <v>20.0</v>
      </c>
      <c r="R148" s="9">
        <v>0.0</v>
      </c>
      <c r="S148" s="12">
        <v>97.3</v>
      </c>
      <c r="T148" s="9">
        <v>0.0</v>
      </c>
      <c r="U148" s="9">
        <v>95.0</v>
      </c>
      <c r="V148" s="9">
        <v>0.0</v>
      </c>
      <c r="W148" s="9">
        <v>0.0</v>
      </c>
      <c r="X148" s="9">
        <v>1.0</v>
      </c>
      <c r="Y148" s="9">
        <v>0.0</v>
      </c>
      <c r="Z148" s="9">
        <v>0.0</v>
      </c>
      <c r="AA148" s="9">
        <v>0.0</v>
      </c>
      <c r="AB148" s="9">
        <v>0.0</v>
      </c>
      <c r="AC148" s="9">
        <v>0.0</v>
      </c>
      <c r="AD148" s="9">
        <v>0.0</v>
      </c>
      <c r="AE148" s="9">
        <v>0.0</v>
      </c>
      <c r="AF148" s="9">
        <v>0.0</v>
      </c>
      <c r="AG148" s="9">
        <v>0.0</v>
      </c>
      <c r="AH148" s="9">
        <v>0.0</v>
      </c>
      <c r="AI148" s="9">
        <v>1.0</v>
      </c>
      <c r="AJ148" s="9">
        <v>0.0</v>
      </c>
      <c r="AK148" s="9">
        <v>0.0</v>
      </c>
      <c r="AL148" s="9">
        <v>0.0</v>
      </c>
      <c r="AM148" s="9">
        <v>0.0</v>
      </c>
      <c r="AN148" s="9">
        <v>0.0</v>
      </c>
      <c r="AO148" s="9">
        <v>1.0</v>
      </c>
      <c r="AP148" s="9">
        <v>1.0</v>
      </c>
      <c r="AQ148" s="9">
        <v>0.0</v>
      </c>
      <c r="AR148" s="9">
        <v>0.0</v>
      </c>
      <c r="AS148" s="9">
        <v>1.0</v>
      </c>
      <c r="AT148" s="9">
        <v>1.0</v>
      </c>
      <c r="AU148" s="9">
        <v>1.0</v>
      </c>
      <c r="AV148" s="9">
        <v>0.0</v>
      </c>
      <c r="AW148" s="9">
        <v>50.0</v>
      </c>
      <c r="AX148" s="24">
        <f>5.85/4.18</f>
        <v>1.399521531</v>
      </c>
      <c r="AY148" s="22">
        <v>0.0</v>
      </c>
      <c r="AZ148" s="10">
        <v>0.0</v>
      </c>
      <c r="BA148" s="10">
        <v>1.0</v>
      </c>
      <c r="BB148" s="24">
        <f>3.8/3.09</f>
        <v>1.229773463</v>
      </c>
      <c r="BC148" s="22">
        <v>3.0</v>
      </c>
      <c r="BD148" s="22">
        <v>1.0</v>
      </c>
      <c r="BE148" s="22"/>
      <c r="BF148" s="9">
        <v>1.0</v>
      </c>
      <c r="BG148" s="15" t="s">
        <v>147</v>
      </c>
      <c r="BH148" s="9">
        <v>1.0</v>
      </c>
      <c r="BI148" s="9">
        <v>0.0</v>
      </c>
      <c r="BJ148" s="9">
        <v>0.0</v>
      </c>
      <c r="BK148" s="9">
        <v>0.0</v>
      </c>
      <c r="BL148" s="9">
        <v>0.0</v>
      </c>
      <c r="BM148" s="9">
        <v>0.0</v>
      </c>
      <c r="BN148" s="9">
        <v>0.0</v>
      </c>
      <c r="BO148" s="9">
        <v>1.0</v>
      </c>
      <c r="BP148" s="9">
        <v>0.0</v>
      </c>
      <c r="BQ148" s="9">
        <v>1.0</v>
      </c>
      <c r="BR148" s="9">
        <v>0.0</v>
      </c>
      <c r="BS148" s="9" t="s">
        <v>84</v>
      </c>
      <c r="BT148" s="9">
        <v>0.0</v>
      </c>
      <c r="BU148" s="9">
        <v>1.0</v>
      </c>
      <c r="BV148" s="9">
        <v>0.0</v>
      </c>
      <c r="BW148" s="22">
        <v>0.0</v>
      </c>
      <c r="BX148" s="25">
        <v>0.0</v>
      </c>
      <c r="BY148" s="9">
        <v>0.0</v>
      </c>
      <c r="BZ148" s="9">
        <v>0.0</v>
      </c>
      <c r="CA148" s="9">
        <v>0.0</v>
      </c>
      <c r="CB148" s="9">
        <v>0.0</v>
      </c>
      <c r="CC148" s="15" t="s">
        <v>87</v>
      </c>
      <c r="CD148" s="16"/>
    </row>
    <row r="149" ht="15.75" customHeight="1">
      <c r="A149" s="9">
        <v>148.0</v>
      </c>
      <c r="B149" s="22">
        <v>57.0</v>
      </c>
      <c r="C149" s="23" t="s">
        <v>81</v>
      </c>
      <c r="D149" s="23" t="s">
        <v>82</v>
      </c>
      <c r="E149" s="23" t="s">
        <v>93</v>
      </c>
      <c r="F149" s="12">
        <v>180.34</v>
      </c>
      <c r="G149" s="12">
        <v>90.0</v>
      </c>
      <c r="H149" s="12">
        <f t="shared" si="4"/>
        <v>27.67313608</v>
      </c>
      <c r="I149" s="10">
        <v>1.0</v>
      </c>
      <c r="J149" s="9">
        <v>5.0</v>
      </c>
      <c r="K149" s="9">
        <v>3.0</v>
      </c>
      <c r="L149" s="9">
        <v>1.0</v>
      </c>
      <c r="M149" s="9">
        <v>142.0</v>
      </c>
      <c r="N149" s="9">
        <v>0.0</v>
      </c>
      <c r="O149" s="9">
        <v>129.0</v>
      </c>
      <c r="P149" s="9">
        <v>1.0</v>
      </c>
      <c r="Q149" s="9">
        <v>36.0</v>
      </c>
      <c r="R149" s="9" t="s">
        <v>84</v>
      </c>
      <c r="S149" s="12" t="s">
        <v>84</v>
      </c>
      <c r="T149" s="9" t="s">
        <v>84</v>
      </c>
      <c r="U149" s="9" t="s">
        <v>84</v>
      </c>
      <c r="V149" s="9">
        <v>1.0</v>
      </c>
      <c r="W149" s="9">
        <v>0.0</v>
      </c>
      <c r="X149" s="9">
        <v>1.0</v>
      </c>
      <c r="Y149" s="9">
        <v>1.0</v>
      </c>
      <c r="Z149" s="9">
        <v>0.0</v>
      </c>
      <c r="AA149" s="9">
        <v>0.0</v>
      </c>
      <c r="AB149" s="9">
        <v>0.0</v>
      </c>
      <c r="AC149" s="9">
        <v>0.0</v>
      </c>
      <c r="AD149" s="9">
        <v>0.0</v>
      </c>
      <c r="AE149" s="9">
        <v>1.0</v>
      </c>
      <c r="AF149" s="9">
        <v>0.0</v>
      </c>
      <c r="AG149" s="9">
        <v>0.0</v>
      </c>
      <c r="AH149" s="9">
        <v>0.0</v>
      </c>
      <c r="AI149" s="9">
        <v>0.0</v>
      </c>
      <c r="AJ149" s="9">
        <v>0.0</v>
      </c>
      <c r="AK149" s="9">
        <v>1.0</v>
      </c>
      <c r="AL149" s="9">
        <v>0.0</v>
      </c>
      <c r="AM149" s="9">
        <v>0.0</v>
      </c>
      <c r="AN149" s="9">
        <v>1.0</v>
      </c>
      <c r="AO149" s="9" t="s">
        <v>84</v>
      </c>
      <c r="AP149" s="9" t="s">
        <v>84</v>
      </c>
      <c r="AQ149" s="9">
        <v>0.0</v>
      </c>
      <c r="AR149" s="9">
        <v>0.0</v>
      </c>
      <c r="AS149" s="9">
        <v>0.0</v>
      </c>
      <c r="AT149" s="9">
        <v>1.0</v>
      </c>
      <c r="AU149" s="9">
        <v>0.0</v>
      </c>
      <c r="AV149" s="9">
        <v>0.0</v>
      </c>
      <c r="AW149" s="9" t="s">
        <v>97</v>
      </c>
      <c r="AX149" s="24">
        <f>2.5/3.44</f>
        <v>0.726744186</v>
      </c>
      <c r="AY149" s="22">
        <v>0.0</v>
      </c>
      <c r="AZ149" s="10">
        <v>0.0</v>
      </c>
      <c r="BA149" s="10">
        <v>0.0</v>
      </c>
      <c r="BB149" s="24">
        <f>3.01/3.13</f>
        <v>0.9616613419</v>
      </c>
      <c r="BC149" s="22">
        <v>3.0</v>
      </c>
      <c r="BD149" s="22">
        <v>0.0</v>
      </c>
      <c r="BE149" s="22"/>
      <c r="BF149" s="9">
        <v>0.0</v>
      </c>
      <c r="BG149" s="9" t="s">
        <v>84</v>
      </c>
      <c r="BH149" s="9">
        <v>1.0</v>
      </c>
      <c r="BI149" s="9">
        <v>0.0</v>
      </c>
      <c r="BJ149" s="9">
        <v>1.0</v>
      </c>
      <c r="BK149" s="9">
        <v>1.0</v>
      </c>
      <c r="BL149" s="9">
        <v>0.0</v>
      </c>
      <c r="BM149" s="9">
        <v>1.0</v>
      </c>
      <c r="BN149" s="9">
        <v>0.0</v>
      </c>
      <c r="BO149" s="9">
        <v>0.0</v>
      </c>
      <c r="BP149" s="9" t="s">
        <v>84</v>
      </c>
      <c r="BQ149" s="9" t="s">
        <v>84</v>
      </c>
      <c r="BR149" s="9">
        <v>0.0</v>
      </c>
      <c r="BS149" s="9" t="s">
        <v>84</v>
      </c>
      <c r="BT149" s="9">
        <v>0.0</v>
      </c>
      <c r="BU149" s="9">
        <v>0.0</v>
      </c>
      <c r="BV149" s="9">
        <v>1.0</v>
      </c>
      <c r="BW149" s="26" t="s">
        <v>84</v>
      </c>
      <c r="BX149" s="27" t="s">
        <v>84</v>
      </c>
      <c r="BY149" s="9" t="s">
        <v>84</v>
      </c>
      <c r="BZ149" s="9" t="s">
        <v>84</v>
      </c>
      <c r="CA149" s="9">
        <v>0.0</v>
      </c>
      <c r="CB149" s="9">
        <v>0.0</v>
      </c>
      <c r="CC149" s="15" t="s">
        <v>92</v>
      </c>
      <c r="CD149" s="16"/>
    </row>
    <row r="150" ht="15.75" customHeight="1">
      <c r="A150" s="9">
        <v>149.0</v>
      </c>
      <c r="B150" s="22">
        <v>70.0</v>
      </c>
      <c r="C150" s="23" t="s">
        <v>81</v>
      </c>
      <c r="D150" s="23" t="s">
        <v>82</v>
      </c>
      <c r="E150" s="28">
        <v>1.0</v>
      </c>
      <c r="F150" s="12">
        <v>175.26</v>
      </c>
      <c r="G150" s="12">
        <v>89.8</v>
      </c>
      <c r="H150" s="12">
        <f t="shared" si="4"/>
        <v>29.23551321</v>
      </c>
      <c r="I150" s="10">
        <v>1.0</v>
      </c>
      <c r="J150" s="9">
        <v>5.0</v>
      </c>
      <c r="K150" s="9">
        <v>1.0</v>
      </c>
      <c r="L150" s="9">
        <v>0.0</v>
      </c>
      <c r="M150" s="9">
        <v>80.0</v>
      </c>
      <c r="N150" s="9">
        <v>1.0</v>
      </c>
      <c r="O150" s="9">
        <v>99.0</v>
      </c>
      <c r="P150" s="9">
        <v>0.0</v>
      </c>
      <c r="Q150" s="9">
        <v>18.0</v>
      </c>
      <c r="R150" s="9">
        <v>0.0</v>
      </c>
      <c r="S150" s="12">
        <v>98.5</v>
      </c>
      <c r="T150" s="9">
        <v>0.0</v>
      </c>
      <c r="U150" s="9">
        <v>97.0</v>
      </c>
      <c r="V150" s="9">
        <v>0.0</v>
      </c>
      <c r="W150" s="9">
        <v>0.0</v>
      </c>
      <c r="X150" s="9">
        <v>0.0</v>
      </c>
      <c r="Y150" s="9">
        <v>0.0</v>
      </c>
      <c r="Z150" s="9">
        <v>0.0</v>
      </c>
      <c r="AA150" s="9">
        <v>1.0</v>
      </c>
      <c r="AB150" s="9">
        <v>0.0</v>
      </c>
      <c r="AC150" s="9">
        <v>1.0</v>
      </c>
      <c r="AD150" s="9">
        <v>0.0</v>
      </c>
      <c r="AE150" s="9">
        <v>0.0</v>
      </c>
      <c r="AF150" s="9">
        <v>0.0</v>
      </c>
      <c r="AG150" s="9">
        <v>0.0</v>
      </c>
      <c r="AH150" s="9">
        <v>0.0</v>
      </c>
      <c r="AI150" s="9">
        <v>1.0</v>
      </c>
      <c r="AJ150" s="9">
        <v>1.0</v>
      </c>
      <c r="AK150" s="9">
        <v>0.0</v>
      </c>
      <c r="AL150" s="9">
        <v>0.0</v>
      </c>
      <c r="AM150" s="9">
        <v>0.0</v>
      </c>
      <c r="AN150" s="9">
        <v>0.0</v>
      </c>
      <c r="AO150" s="9" t="s">
        <v>84</v>
      </c>
      <c r="AP150" s="9" t="s">
        <v>84</v>
      </c>
      <c r="AQ150" s="9" t="s">
        <v>84</v>
      </c>
      <c r="AR150" s="9">
        <v>0.0</v>
      </c>
      <c r="AS150" s="9" t="s">
        <v>84</v>
      </c>
      <c r="AT150" s="9" t="s">
        <v>84</v>
      </c>
      <c r="AU150" s="9" t="s">
        <v>84</v>
      </c>
      <c r="AV150" s="9" t="s">
        <v>84</v>
      </c>
      <c r="AW150" s="9" t="s">
        <v>84</v>
      </c>
      <c r="AX150" s="24">
        <f>4.15/4.78</f>
        <v>0.8682008368</v>
      </c>
      <c r="AY150" s="22">
        <v>1.0</v>
      </c>
      <c r="AZ150" s="10">
        <v>0.0</v>
      </c>
      <c r="BA150" s="10">
        <v>0.0</v>
      </c>
      <c r="BB150" s="24">
        <f>3.58/3.4</f>
        <v>1.052941176</v>
      </c>
      <c r="BC150" s="22">
        <v>2.0</v>
      </c>
      <c r="BD150" s="22">
        <v>1.0</v>
      </c>
      <c r="BE150" s="22"/>
      <c r="BF150" s="9">
        <v>0.0</v>
      </c>
      <c r="BG150" s="9" t="s">
        <v>84</v>
      </c>
      <c r="BH150" s="9">
        <v>0.0</v>
      </c>
      <c r="BI150" s="9">
        <v>0.0</v>
      </c>
      <c r="BJ150" s="9">
        <v>0.0</v>
      </c>
      <c r="BK150" s="9">
        <v>0.0</v>
      </c>
      <c r="BL150" s="9">
        <v>0.0</v>
      </c>
      <c r="BM150" s="9">
        <v>0.0</v>
      </c>
      <c r="BN150" s="9">
        <v>0.0</v>
      </c>
      <c r="BO150" s="9">
        <v>0.0</v>
      </c>
      <c r="BP150" s="9" t="s">
        <v>84</v>
      </c>
      <c r="BQ150" s="9" t="s">
        <v>84</v>
      </c>
      <c r="BR150" s="9">
        <v>0.0</v>
      </c>
      <c r="BS150" s="9" t="s">
        <v>84</v>
      </c>
      <c r="BT150" s="9">
        <v>0.0</v>
      </c>
      <c r="BU150" s="9">
        <v>0.0</v>
      </c>
      <c r="BV150" s="9">
        <v>0.0</v>
      </c>
      <c r="BW150" s="22">
        <v>0.0</v>
      </c>
      <c r="BX150" s="25">
        <v>0.0</v>
      </c>
      <c r="BY150" s="9" t="s">
        <v>84</v>
      </c>
      <c r="BZ150" s="9" t="s">
        <v>84</v>
      </c>
      <c r="CA150" s="9">
        <v>0.0</v>
      </c>
      <c r="CB150" s="9">
        <v>0.0</v>
      </c>
      <c r="CC150" s="15" t="s">
        <v>92</v>
      </c>
      <c r="CD150" s="16"/>
    </row>
    <row r="151" ht="15.75" customHeight="1">
      <c r="A151" s="9">
        <v>150.0</v>
      </c>
      <c r="B151" s="22">
        <v>60.0</v>
      </c>
      <c r="C151" s="23" t="s">
        <v>81</v>
      </c>
      <c r="D151" s="23" t="s">
        <v>82</v>
      </c>
      <c r="E151" s="23" t="s">
        <v>83</v>
      </c>
      <c r="F151" s="12">
        <v>180.34</v>
      </c>
      <c r="G151" s="12">
        <v>86.0</v>
      </c>
      <c r="H151" s="12">
        <f t="shared" si="4"/>
        <v>26.44321892</v>
      </c>
      <c r="I151" s="10">
        <v>1.0</v>
      </c>
      <c r="J151" s="9">
        <v>4.0</v>
      </c>
      <c r="K151" s="9">
        <v>2.0</v>
      </c>
      <c r="L151" s="9">
        <v>0.0</v>
      </c>
      <c r="M151" s="9">
        <v>102.0</v>
      </c>
      <c r="N151" s="9">
        <v>0.0</v>
      </c>
      <c r="O151" s="9">
        <v>130.0</v>
      </c>
      <c r="P151" s="9">
        <v>0.0</v>
      </c>
      <c r="Q151" s="9">
        <v>16.0</v>
      </c>
      <c r="R151" s="9">
        <v>0.0</v>
      </c>
      <c r="S151" s="12">
        <v>98.5</v>
      </c>
      <c r="T151" s="9">
        <v>0.0</v>
      </c>
      <c r="U151" s="9">
        <v>97.0</v>
      </c>
      <c r="V151" s="9">
        <v>0.0</v>
      </c>
      <c r="W151" s="9">
        <v>0.0</v>
      </c>
      <c r="X151" s="9">
        <v>0.0</v>
      </c>
      <c r="Y151" s="9">
        <v>0.0</v>
      </c>
      <c r="Z151" s="9">
        <v>1.0</v>
      </c>
      <c r="AA151" s="9">
        <v>0.0</v>
      </c>
      <c r="AB151" s="9">
        <v>0.0</v>
      </c>
      <c r="AC151" s="9">
        <v>0.0</v>
      </c>
      <c r="AD151" s="9">
        <v>0.0</v>
      </c>
      <c r="AE151" s="9">
        <v>0.0</v>
      </c>
      <c r="AF151" s="9">
        <v>0.0</v>
      </c>
      <c r="AG151" s="9">
        <v>1.0</v>
      </c>
      <c r="AH151" s="9">
        <v>0.0</v>
      </c>
      <c r="AI151" s="9">
        <v>0.0</v>
      </c>
      <c r="AJ151" s="9">
        <v>0.0</v>
      </c>
      <c r="AK151" s="9">
        <v>0.0</v>
      </c>
      <c r="AL151" s="9">
        <v>1.0</v>
      </c>
      <c r="AM151" s="9">
        <v>0.0</v>
      </c>
      <c r="AN151" s="9">
        <v>0.0</v>
      </c>
      <c r="AO151" s="9">
        <v>1.0</v>
      </c>
      <c r="AP151" s="9">
        <v>1.0</v>
      </c>
      <c r="AQ151" s="9">
        <v>1.0</v>
      </c>
      <c r="AR151" s="9">
        <v>1.0</v>
      </c>
      <c r="AS151" s="9">
        <v>1.0</v>
      </c>
      <c r="AT151" s="9">
        <v>0.0</v>
      </c>
      <c r="AU151" s="9">
        <v>0.0</v>
      </c>
      <c r="AV151" s="9">
        <v>0.0</v>
      </c>
      <c r="AW151" s="9">
        <v>41.0</v>
      </c>
      <c r="AX151" s="24">
        <f>5.03/3.97</f>
        <v>1.267002519</v>
      </c>
      <c r="AY151" s="22">
        <v>0.0</v>
      </c>
      <c r="AZ151" s="10">
        <v>0.0</v>
      </c>
      <c r="BA151" s="10">
        <v>1.0</v>
      </c>
      <c r="BB151" s="24">
        <f>3.2/4.17</f>
        <v>0.7673860911</v>
      </c>
      <c r="BC151" s="22">
        <v>2.0</v>
      </c>
      <c r="BD151" s="22">
        <v>1.0</v>
      </c>
      <c r="BE151" s="22"/>
      <c r="BF151" s="9">
        <v>0.0</v>
      </c>
      <c r="BG151" s="9" t="s">
        <v>84</v>
      </c>
      <c r="BH151" s="9">
        <v>0.0</v>
      </c>
      <c r="BI151" s="9">
        <v>0.0</v>
      </c>
      <c r="BJ151" s="9">
        <v>0.0</v>
      </c>
      <c r="BK151" s="9">
        <v>0.0</v>
      </c>
      <c r="BL151" s="9">
        <v>0.0</v>
      </c>
      <c r="BM151" s="9">
        <v>0.0</v>
      </c>
      <c r="BN151" s="9">
        <v>0.0</v>
      </c>
      <c r="BO151" s="9">
        <v>0.0</v>
      </c>
      <c r="BP151" s="9" t="s">
        <v>84</v>
      </c>
      <c r="BQ151" s="9" t="s">
        <v>84</v>
      </c>
      <c r="BR151" s="9">
        <v>0.0</v>
      </c>
      <c r="BS151" s="9" t="s">
        <v>84</v>
      </c>
      <c r="BT151" s="9">
        <v>0.0</v>
      </c>
      <c r="BU151" s="9">
        <v>0.0</v>
      </c>
      <c r="BV151" s="9">
        <v>0.0</v>
      </c>
      <c r="BW151" s="22">
        <v>0.0</v>
      </c>
      <c r="BX151" s="25">
        <v>0.0</v>
      </c>
      <c r="BY151" s="9">
        <v>0.0</v>
      </c>
      <c r="BZ151" s="9">
        <v>0.0</v>
      </c>
      <c r="CA151" s="9">
        <v>0.0</v>
      </c>
      <c r="CB151" s="9">
        <v>0.0</v>
      </c>
      <c r="CC151" s="15" t="s">
        <v>104</v>
      </c>
      <c r="CD151" s="16"/>
    </row>
    <row r="152" ht="15.75" customHeight="1">
      <c r="A152" s="9">
        <v>151.0</v>
      </c>
      <c r="B152" s="22">
        <v>47.0</v>
      </c>
      <c r="C152" s="23" t="s">
        <v>81</v>
      </c>
      <c r="D152" s="23" t="s">
        <v>82</v>
      </c>
      <c r="E152" s="23" t="s">
        <v>83</v>
      </c>
      <c r="F152" s="12">
        <v>177.8</v>
      </c>
      <c r="G152" s="12">
        <v>98.4</v>
      </c>
      <c r="H152" s="12">
        <f t="shared" si="4"/>
        <v>31.12659287</v>
      </c>
      <c r="I152" s="10">
        <v>0.0</v>
      </c>
      <c r="J152" s="9">
        <v>4.0</v>
      </c>
      <c r="K152" s="9">
        <v>1.0</v>
      </c>
      <c r="L152" s="9">
        <v>0.0</v>
      </c>
      <c r="M152" s="9">
        <v>93.0</v>
      </c>
      <c r="N152" s="9">
        <v>0.0</v>
      </c>
      <c r="O152" s="9">
        <v>133.0</v>
      </c>
      <c r="P152" s="9">
        <v>0.0</v>
      </c>
      <c r="Q152" s="9">
        <v>20.0</v>
      </c>
      <c r="R152" s="9">
        <v>0.0</v>
      </c>
      <c r="S152" s="12">
        <v>97.1</v>
      </c>
      <c r="T152" s="9">
        <v>0.0</v>
      </c>
      <c r="U152" s="9">
        <v>98.0</v>
      </c>
      <c r="V152" s="9">
        <v>0.0</v>
      </c>
      <c r="W152" s="9">
        <v>0.0</v>
      </c>
      <c r="X152" s="9">
        <v>1.0</v>
      </c>
      <c r="Y152" s="9">
        <v>0.0</v>
      </c>
      <c r="Z152" s="9">
        <v>0.0</v>
      </c>
      <c r="AA152" s="9">
        <v>0.0</v>
      </c>
      <c r="AB152" s="9">
        <v>0.0</v>
      </c>
      <c r="AC152" s="9">
        <v>0.0</v>
      </c>
      <c r="AD152" s="9">
        <v>0.0</v>
      </c>
      <c r="AE152" s="9">
        <v>0.0</v>
      </c>
      <c r="AF152" s="9">
        <v>0.0</v>
      </c>
      <c r="AG152" s="9">
        <v>1.0</v>
      </c>
      <c r="AH152" s="9">
        <v>0.0</v>
      </c>
      <c r="AI152" s="9">
        <v>0.0</v>
      </c>
      <c r="AJ152" s="9">
        <v>0.0</v>
      </c>
      <c r="AK152" s="9">
        <v>0.0</v>
      </c>
      <c r="AL152" s="9">
        <v>0.0</v>
      </c>
      <c r="AM152" s="9">
        <v>0.0</v>
      </c>
      <c r="AN152" s="9">
        <v>0.0</v>
      </c>
      <c r="AO152" s="9">
        <v>1.0</v>
      </c>
      <c r="AP152" s="9">
        <v>1.0</v>
      </c>
      <c r="AQ152" s="9" t="s">
        <v>84</v>
      </c>
      <c r="AR152" s="9">
        <v>0.0</v>
      </c>
      <c r="AS152" s="9">
        <v>0.0</v>
      </c>
      <c r="AT152" s="9">
        <v>0.0</v>
      </c>
      <c r="AU152" s="9">
        <v>0.0</v>
      </c>
      <c r="AV152" s="9">
        <v>0.0</v>
      </c>
      <c r="AW152" s="9">
        <v>43.6</v>
      </c>
      <c r="AX152" s="24">
        <f>4.69/4.63</f>
        <v>1.012958963</v>
      </c>
      <c r="AY152" s="22">
        <v>0.0</v>
      </c>
      <c r="AZ152" s="10">
        <v>0.0</v>
      </c>
      <c r="BA152" s="10">
        <v>1.0</v>
      </c>
      <c r="BB152" s="24">
        <f>3.23/2.6</f>
        <v>1.242307692</v>
      </c>
      <c r="BC152" s="22">
        <v>1.0</v>
      </c>
      <c r="BD152" s="22">
        <v>1.0</v>
      </c>
      <c r="BE152" s="22"/>
      <c r="BF152" s="9">
        <v>0.0</v>
      </c>
      <c r="BG152" s="9" t="s">
        <v>84</v>
      </c>
      <c r="BH152" s="9">
        <v>0.0</v>
      </c>
      <c r="BI152" s="9">
        <v>0.0</v>
      </c>
      <c r="BJ152" s="9">
        <v>0.0</v>
      </c>
      <c r="BK152" s="9">
        <v>0.0</v>
      </c>
      <c r="BL152" s="9">
        <v>0.0</v>
      </c>
      <c r="BM152" s="9">
        <v>0.0</v>
      </c>
      <c r="BN152" s="9">
        <v>0.0</v>
      </c>
      <c r="BO152" s="9">
        <v>0.0</v>
      </c>
      <c r="BP152" s="9" t="s">
        <v>84</v>
      </c>
      <c r="BQ152" s="9" t="s">
        <v>84</v>
      </c>
      <c r="BR152" s="9">
        <v>0.0</v>
      </c>
      <c r="BS152" s="9" t="s">
        <v>84</v>
      </c>
      <c r="BT152" s="9">
        <v>0.0</v>
      </c>
      <c r="BU152" s="9">
        <v>0.0</v>
      </c>
      <c r="BV152" s="9">
        <v>0.0</v>
      </c>
      <c r="BW152" s="22">
        <v>0.0</v>
      </c>
      <c r="BX152" s="25">
        <v>0.0</v>
      </c>
      <c r="BY152" s="9">
        <v>1.0</v>
      </c>
      <c r="BZ152" s="9">
        <v>0.0</v>
      </c>
      <c r="CA152" s="9">
        <v>0.0</v>
      </c>
      <c r="CB152" s="9">
        <v>0.0</v>
      </c>
      <c r="CC152" s="15" t="s">
        <v>148</v>
      </c>
      <c r="CD152" s="16"/>
    </row>
    <row r="153" ht="15.75" customHeight="1">
      <c r="A153" s="9">
        <v>152.0</v>
      </c>
      <c r="B153" s="22">
        <v>31.0</v>
      </c>
      <c r="C153" s="23" t="s">
        <v>81</v>
      </c>
      <c r="D153" s="23" t="s">
        <v>82</v>
      </c>
      <c r="E153" s="23" t="s">
        <v>90</v>
      </c>
      <c r="F153" s="12">
        <v>203.2</v>
      </c>
      <c r="G153" s="12">
        <v>108.9</v>
      </c>
      <c r="H153" s="12">
        <f t="shared" si="4"/>
        <v>26.3742715</v>
      </c>
      <c r="I153" s="10">
        <v>1.0</v>
      </c>
      <c r="J153" s="9">
        <v>1.0</v>
      </c>
      <c r="K153" s="9">
        <v>2.0</v>
      </c>
      <c r="L153" s="9">
        <v>1.0</v>
      </c>
      <c r="M153" s="9">
        <v>110.0</v>
      </c>
      <c r="N153" s="9">
        <v>0.0</v>
      </c>
      <c r="O153" s="9">
        <v>142.0</v>
      </c>
      <c r="P153" s="9">
        <v>0.0</v>
      </c>
      <c r="Q153" s="9">
        <v>25.0</v>
      </c>
      <c r="R153" s="9">
        <v>0.0</v>
      </c>
      <c r="S153" s="12">
        <v>97.2</v>
      </c>
      <c r="T153" s="9">
        <v>0.0</v>
      </c>
      <c r="U153" s="9">
        <v>97.0</v>
      </c>
      <c r="V153" s="9">
        <v>0.0</v>
      </c>
      <c r="W153" s="9">
        <v>0.0</v>
      </c>
      <c r="X153" s="9">
        <v>0.0</v>
      </c>
      <c r="Y153" s="9">
        <v>1.0</v>
      </c>
      <c r="Z153" s="9">
        <v>0.0</v>
      </c>
      <c r="AA153" s="9">
        <v>0.0</v>
      </c>
      <c r="AB153" s="9">
        <v>0.0</v>
      </c>
      <c r="AC153" s="9">
        <v>0.0</v>
      </c>
      <c r="AD153" s="9">
        <v>0.0</v>
      </c>
      <c r="AE153" s="9">
        <v>0.0</v>
      </c>
      <c r="AF153" s="9">
        <v>0.0</v>
      </c>
      <c r="AG153" s="9">
        <v>0.0</v>
      </c>
      <c r="AH153" s="9">
        <v>0.0</v>
      </c>
      <c r="AI153" s="9">
        <v>0.0</v>
      </c>
      <c r="AJ153" s="9">
        <v>0.0</v>
      </c>
      <c r="AK153" s="9">
        <v>0.0</v>
      </c>
      <c r="AL153" s="9">
        <v>0.0</v>
      </c>
      <c r="AM153" s="9">
        <v>0.0</v>
      </c>
      <c r="AN153" s="9">
        <v>0.0</v>
      </c>
      <c r="AO153" s="9">
        <v>1.0</v>
      </c>
      <c r="AP153" s="9">
        <v>1.0</v>
      </c>
      <c r="AQ153" s="9">
        <v>1.0</v>
      </c>
      <c r="AR153" s="9">
        <v>1.0</v>
      </c>
      <c r="AS153" s="9">
        <v>1.0</v>
      </c>
      <c r="AT153" s="9">
        <v>1.0</v>
      </c>
      <c r="AU153" s="18">
        <v>1.0</v>
      </c>
      <c r="AV153" s="9">
        <v>0.0</v>
      </c>
      <c r="AW153" s="9">
        <v>60.0</v>
      </c>
      <c r="AX153" s="24">
        <f>4.86/5.08</f>
        <v>0.9566929134</v>
      </c>
      <c r="AY153" s="22">
        <v>0.0</v>
      </c>
      <c r="AZ153" s="10">
        <v>0.0</v>
      </c>
      <c r="BA153" s="10">
        <v>1.0</v>
      </c>
      <c r="BB153" s="24">
        <f>3.55/3.19</f>
        <v>1.112852665</v>
      </c>
      <c r="BC153" s="22">
        <v>3.0</v>
      </c>
      <c r="BD153" s="22">
        <v>1.0</v>
      </c>
      <c r="BE153" s="22"/>
      <c r="BF153" s="9">
        <v>0.0</v>
      </c>
      <c r="BG153" s="9" t="s">
        <v>84</v>
      </c>
      <c r="BH153" s="9">
        <v>1.0</v>
      </c>
      <c r="BI153" s="9">
        <v>0.0</v>
      </c>
      <c r="BJ153" s="9">
        <v>0.0</v>
      </c>
      <c r="BK153" s="9">
        <v>0.0</v>
      </c>
      <c r="BL153" s="9">
        <v>0.0</v>
      </c>
      <c r="BM153" s="9">
        <v>0.0</v>
      </c>
      <c r="BN153" s="9">
        <v>0.0</v>
      </c>
      <c r="BO153" s="9">
        <v>0.0</v>
      </c>
      <c r="BP153" s="9" t="s">
        <v>84</v>
      </c>
      <c r="BQ153" s="9" t="s">
        <v>84</v>
      </c>
      <c r="BR153" s="9">
        <v>0.0</v>
      </c>
      <c r="BS153" s="9" t="s">
        <v>84</v>
      </c>
      <c r="BT153" s="9">
        <v>0.0</v>
      </c>
      <c r="BU153" s="9">
        <v>0.0</v>
      </c>
      <c r="BV153" s="9">
        <v>0.0</v>
      </c>
      <c r="BW153" s="22">
        <v>0.0</v>
      </c>
      <c r="BX153" s="25">
        <v>0.0</v>
      </c>
      <c r="BY153" s="9">
        <v>0.0</v>
      </c>
      <c r="BZ153" s="9">
        <v>1.0</v>
      </c>
      <c r="CA153" s="9">
        <v>0.0</v>
      </c>
      <c r="CB153" s="9">
        <v>0.0</v>
      </c>
      <c r="CC153" s="15" t="s">
        <v>101</v>
      </c>
      <c r="CD153" s="16"/>
    </row>
    <row r="154" ht="15.75" customHeight="1">
      <c r="A154" s="9">
        <v>153.0</v>
      </c>
      <c r="B154" s="22">
        <v>67.0</v>
      </c>
      <c r="C154" s="9" t="s">
        <v>81</v>
      </c>
      <c r="D154" s="9" t="s">
        <v>82</v>
      </c>
      <c r="E154" s="23" t="s">
        <v>119</v>
      </c>
      <c r="F154" s="12">
        <v>170.18</v>
      </c>
      <c r="G154" s="12">
        <v>84.0</v>
      </c>
      <c r="H154" s="12">
        <f t="shared" si="4"/>
        <v>29.00429058</v>
      </c>
      <c r="I154" s="9">
        <v>0.0</v>
      </c>
      <c r="J154" s="9">
        <v>2.0</v>
      </c>
      <c r="K154" s="9">
        <v>2.0</v>
      </c>
      <c r="L154" s="9">
        <v>0.0</v>
      </c>
      <c r="M154" s="9">
        <v>84.0</v>
      </c>
      <c r="N154" s="9">
        <v>0.0</v>
      </c>
      <c r="O154" s="9">
        <v>132.0</v>
      </c>
      <c r="P154" s="9">
        <v>0.0</v>
      </c>
      <c r="Q154" s="9">
        <v>22.0</v>
      </c>
      <c r="R154" s="9">
        <v>0.0</v>
      </c>
      <c r="S154" s="12">
        <v>97.0</v>
      </c>
      <c r="T154" s="9">
        <v>0.0</v>
      </c>
      <c r="U154" s="9">
        <v>90.0</v>
      </c>
      <c r="V154" s="9">
        <v>1.0</v>
      </c>
      <c r="W154" s="9">
        <v>0.0</v>
      </c>
      <c r="X154" s="9">
        <v>0.0</v>
      </c>
      <c r="Y154" s="9">
        <v>0.0</v>
      </c>
      <c r="Z154" s="9">
        <v>0.0</v>
      </c>
      <c r="AA154" s="9">
        <v>0.0</v>
      </c>
      <c r="AB154" s="9">
        <v>0.0</v>
      </c>
      <c r="AC154" s="9">
        <v>0.0</v>
      </c>
      <c r="AD154" s="9">
        <v>1.0</v>
      </c>
      <c r="AE154" s="9">
        <v>0.0</v>
      </c>
      <c r="AF154" s="9">
        <v>0.0</v>
      </c>
      <c r="AG154" s="9">
        <v>0.0</v>
      </c>
      <c r="AH154" s="9">
        <v>0.0</v>
      </c>
      <c r="AI154" s="9">
        <v>0.0</v>
      </c>
      <c r="AJ154" s="9">
        <v>0.0</v>
      </c>
      <c r="AK154" s="9">
        <v>0.0</v>
      </c>
      <c r="AL154" s="9">
        <v>0.0</v>
      </c>
      <c r="AM154" s="9">
        <v>0.0</v>
      </c>
      <c r="AN154" s="9">
        <v>0.0</v>
      </c>
      <c r="AO154" s="9">
        <v>1.0</v>
      </c>
      <c r="AP154" s="9">
        <v>1.0</v>
      </c>
      <c r="AQ154" s="9">
        <v>1.0</v>
      </c>
      <c r="AR154" s="9">
        <v>0.0</v>
      </c>
      <c r="AS154" s="9">
        <v>1.0</v>
      </c>
      <c r="AT154" s="9">
        <v>1.0</v>
      </c>
      <c r="AU154" s="18">
        <v>1.0</v>
      </c>
      <c r="AV154" s="9">
        <v>0.0</v>
      </c>
      <c r="AW154" s="9">
        <v>40.0</v>
      </c>
      <c r="AX154" s="24">
        <f>5.46/3.25</f>
        <v>1.68</v>
      </c>
      <c r="AY154" s="22">
        <v>0.0</v>
      </c>
      <c r="AZ154" s="10">
        <v>0.0</v>
      </c>
      <c r="BA154" s="10">
        <v>1.0</v>
      </c>
      <c r="BB154" s="24">
        <f>3.37/4.08</f>
        <v>0.8259803922</v>
      </c>
      <c r="BC154" s="22">
        <v>3.0</v>
      </c>
      <c r="BD154" s="22">
        <v>1.0</v>
      </c>
      <c r="BE154" s="22"/>
      <c r="BF154" s="9">
        <v>0.0</v>
      </c>
      <c r="BG154" s="9" t="s">
        <v>84</v>
      </c>
      <c r="BH154" s="9">
        <v>1.0</v>
      </c>
      <c r="BI154" s="9">
        <v>0.0</v>
      </c>
      <c r="BJ154" s="9">
        <v>0.0</v>
      </c>
      <c r="BK154" s="9">
        <v>0.0</v>
      </c>
      <c r="BL154" s="9">
        <v>0.0</v>
      </c>
      <c r="BM154" s="9">
        <v>0.0</v>
      </c>
      <c r="BN154" s="9">
        <v>0.0</v>
      </c>
      <c r="BO154" s="9">
        <v>1.0</v>
      </c>
      <c r="BP154" s="9">
        <v>0.0</v>
      </c>
      <c r="BQ154" s="9">
        <v>0.0</v>
      </c>
      <c r="BR154" s="9">
        <v>0.0</v>
      </c>
      <c r="BS154" s="9" t="s">
        <v>84</v>
      </c>
      <c r="BT154" s="9">
        <v>0.0</v>
      </c>
      <c r="BU154" s="9">
        <v>1.0</v>
      </c>
      <c r="BV154" s="9">
        <v>0.0</v>
      </c>
      <c r="BW154" s="22">
        <v>0.0</v>
      </c>
      <c r="BX154" s="25">
        <v>0.0</v>
      </c>
      <c r="BY154" s="9">
        <v>1.0</v>
      </c>
      <c r="BZ154" s="9">
        <v>0.0</v>
      </c>
      <c r="CA154" s="9">
        <v>0.0</v>
      </c>
      <c r="CB154" s="9">
        <v>0.0</v>
      </c>
      <c r="CC154" s="16" t="s">
        <v>101</v>
      </c>
      <c r="CD154" s="16"/>
    </row>
    <row r="155" ht="15.75" customHeight="1">
      <c r="A155" s="9">
        <v>154.0</v>
      </c>
      <c r="B155" s="22">
        <v>54.0</v>
      </c>
      <c r="C155" s="9" t="s">
        <v>81</v>
      </c>
      <c r="D155" s="9" t="s">
        <v>82</v>
      </c>
      <c r="E155" s="23" t="s">
        <v>109</v>
      </c>
      <c r="F155" s="12">
        <v>182.88</v>
      </c>
      <c r="G155" s="12">
        <v>102.0</v>
      </c>
      <c r="H155" s="12">
        <f t="shared" si="4"/>
        <v>30.49774618</v>
      </c>
      <c r="I155" s="9">
        <v>1.0</v>
      </c>
      <c r="J155" s="9">
        <v>5.0</v>
      </c>
      <c r="K155" s="9">
        <v>2.0</v>
      </c>
      <c r="L155" s="9">
        <v>1.0</v>
      </c>
      <c r="M155" s="9">
        <v>118.0</v>
      </c>
      <c r="N155" s="9">
        <v>0.0</v>
      </c>
      <c r="O155" s="9">
        <v>144.0</v>
      </c>
      <c r="P155" s="9">
        <v>0.0</v>
      </c>
      <c r="Q155" s="9">
        <v>20.0</v>
      </c>
      <c r="R155" s="9">
        <v>0.0</v>
      </c>
      <c r="S155" s="12">
        <v>99.1</v>
      </c>
      <c r="T155" s="9">
        <v>0.0</v>
      </c>
      <c r="U155" s="9">
        <v>91.0</v>
      </c>
      <c r="V155" s="9">
        <v>1.0</v>
      </c>
      <c r="W155" s="9">
        <v>0.0</v>
      </c>
      <c r="X155" s="9">
        <v>1.0</v>
      </c>
      <c r="Y155" s="9">
        <v>0.0</v>
      </c>
      <c r="Z155" s="9">
        <v>0.0</v>
      </c>
      <c r="AA155" s="9">
        <v>0.0</v>
      </c>
      <c r="AB155" s="9">
        <v>0.0</v>
      </c>
      <c r="AC155" s="9">
        <v>0.0</v>
      </c>
      <c r="AD155" s="9">
        <v>0.0</v>
      </c>
      <c r="AE155" s="9">
        <v>0.0</v>
      </c>
      <c r="AF155" s="9">
        <v>0.0</v>
      </c>
      <c r="AG155" s="9">
        <v>0.0</v>
      </c>
      <c r="AH155" s="9">
        <v>0.0</v>
      </c>
      <c r="AI155" s="9">
        <v>0.0</v>
      </c>
      <c r="AJ155" s="9">
        <v>0.0</v>
      </c>
      <c r="AK155" s="9">
        <v>0.0</v>
      </c>
      <c r="AL155" s="9">
        <v>0.0</v>
      </c>
      <c r="AM155" s="9">
        <v>0.0</v>
      </c>
      <c r="AN155" s="9">
        <v>0.0</v>
      </c>
      <c r="AO155" s="9">
        <v>1.0</v>
      </c>
      <c r="AP155" s="9">
        <v>1.0</v>
      </c>
      <c r="AQ155" s="9">
        <v>1.0</v>
      </c>
      <c r="AR155" s="9">
        <v>1.0</v>
      </c>
      <c r="AS155" s="9">
        <v>1.0</v>
      </c>
      <c r="AT155" s="9">
        <v>1.0</v>
      </c>
      <c r="AU155" s="18">
        <v>1.0</v>
      </c>
      <c r="AV155" s="9">
        <v>0.0</v>
      </c>
      <c r="AW155" s="9">
        <v>60.0</v>
      </c>
      <c r="AX155" s="24">
        <f>5.79/4.23</f>
        <v>1.368794326</v>
      </c>
      <c r="AY155" s="22">
        <v>0.0</v>
      </c>
      <c r="AZ155" s="10">
        <v>0.0</v>
      </c>
      <c r="BA155" s="10">
        <v>1.0</v>
      </c>
      <c r="BB155" s="24">
        <f>3.07/4.16</f>
        <v>0.7379807692</v>
      </c>
      <c r="BC155" s="22">
        <v>4.0</v>
      </c>
      <c r="BD155" s="22">
        <v>1.0</v>
      </c>
      <c r="BE155" s="22"/>
      <c r="BF155" s="9">
        <v>0.0</v>
      </c>
      <c r="BG155" s="9" t="s">
        <v>84</v>
      </c>
      <c r="BH155" s="9">
        <v>1.0</v>
      </c>
      <c r="BI155" s="9">
        <v>0.0</v>
      </c>
      <c r="BJ155" s="9" t="s">
        <v>84</v>
      </c>
      <c r="BK155" s="9" t="s">
        <v>84</v>
      </c>
      <c r="BL155" s="9" t="s">
        <v>84</v>
      </c>
      <c r="BM155" s="9" t="s">
        <v>84</v>
      </c>
      <c r="BN155" s="9">
        <v>1.0</v>
      </c>
      <c r="BO155" s="9">
        <v>0.0</v>
      </c>
      <c r="BP155" s="9">
        <v>1.0</v>
      </c>
      <c r="BQ155" s="9">
        <v>1.0</v>
      </c>
      <c r="BR155" s="9" t="s">
        <v>84</v>
      </c>
      <c r="BS155" s="9" t="s">
        <v>84</v>
      </c>
      <c r="BT155" s="9" t="s">
        <v>84</v>
      </c>
      <c r="BU155" s="9" t="s">
        <v>84</v>
      </c>
      <c r="BV155" s="9">
        <v>0.0</v>
      </c>
      <c r="BW155" s="26" t="s">
        <v>94</v>
      </c>
      <c r="BX155" s="27" t="s">
        <v>94</v>
      </c>
      <c r="BY155" s="9" t="s">
        <v>84</v>
      </c>
      <c r="BZ155" s="9" t="s">
        <v>84</v>
      </c>
      <c r="CA155" s="9" t="s">
        <v>84</v>
      </c>
      <c r="CB155" s="9" t="s">
        <v>84</v>
      </c>
      <c r="CC155" s="16" t="s">
        <v>101</v>
      </c>
      <c r="CD155" s="16"/>
    </row>
    <row r="156" ht="15.75" customHeight="1">
      <c r="A156" s="9">
        <v>155.0</v>
      </c>
      <c r="B156" s="22">
        <v>34.0</v>
      </c>
      <c r="C156" s="9" t="s">
        <v>86</v>
      </c>
      <c r="D156" s="9" t="s">
        <v>82</v>
      </c>
      <c r="E156" s="23" t="s">
        <v>90</v>
      </c>
      <c r="F156" s="12">
        <v>182.88</v>
      </c>
      <c r="G156" s="12">
        <v>112.0</v>
      </c>
      <c r="H156" s="12">
        <f t="shared" si="4"/>
        <v>33.4877213</v>
      </c>
      <c r="I156" s="9">
        <v>0.0</v>
      </c>
      <c r="J156" s="9">
        <v>3.0</v>
      </c>
      <c r="K156" s="9">
        <v>3.0</v>
      </c>
      <c r="L156" s="9">
        <v>0.0</v>
      </c>
      <c r="M156" s="9">
        <v>72.0</v>
      </c>
      <c r="N156" s="9">
        <v>0.0</v>
      </c>
      <c r="O156" s="9">
        <v>136.0</v>
      </c>
      <c r="P156" s="9">
        <v>0.0</v>
      </c>
      <c r="Q156" s="9">
        <v>18.0</v>
      </c>
      <c r="R156" s="9">
        <v>0.0</v>
      </c>
      <c r="S156" s="12">
        <v>98.5</v>
      </c>
      <c r="T156" s="9">
        <v>0.0</v>
      </c>
      <c r="U156" s="9">
        <v>98.0</v>
      </c>
      <c r="V156" s="9">
        <v>0.0</v>
      </c>
      <c r="W156" s="9">
        <v>0.0</v>
      </c>
      <c r="X156" s="9">
        <v>0.0</v>
      </c>
      <c r="Y156" s="9">
        <v>0.0</v>
      </c>
      <c r="Z156" s="9">
        <v>0.0</v>
      </c>
      <c r="AA156" s="9">
        <v>0.0</v>
      </c>
      <c r="AB156" s="9">
        <v>0.0</v>
      </c>
      <c r="AC156" s="9">
        <v>0.0</v>
      </c>
      <c r="AD156" s="9">
        <v>0.0</v>
      </c>
      <c r="AE156" s="9">
        <v>0.0</v>
      </c>
      <c r="AF156" s="9">
        <v>0.0</v>
      </c>
      <c r="AG156" s="9">
        <v>0.0</v>
      </c>
      <c r="AH156" s="9">
        <v>0.0</v>
      </c>
      <c r="AI156" s="9">
        <v>0.0</v>
      </c>
      <c r="AJ156" s="9">
        <v>0.0</v>
      </c>
      <c r="AK156" s="9">
        <v>1.0</v>
      </c>
      <c r="AL156" s="9">
        <v>0.0</v>
      </c>
      <c r="AM156" s="9">
        <v>0.0</v>
      </c>
      <c r="AN156" s="9">
        <v>0.0</v>
      </c>
      <c r="AO156" s="9">
        <v>1.0</v>
      </c>
      <c r="AP156" s="9">
        <v>1.0</v>
      </c>
      <c r="AQ156" s="9">
        <v>0.0</v>
      </c>
      <c r="AR156" s="9">
        <v>0.0</v>
      </c>
      <c r="AS156" s="9">
        <v>1.0</v>
      </c>
      <c r="AT156" s="9">
        <v>1.0</v>
      </c>
      <c r="AU156" s="18">
        <v>1.0</v>
      </c>
      <c r="AV156" s="9">
        <v>0.0</v>
      </c>
      <c r="AW156" s="9" t="s">
        <v>97</v>
      </c>
      <c r="AX156" s="24">
        <f>4.68/5.59</f>
        <v>0.8372093023</v>
      </c>
      <c r="AY156" s="22">
        <v>0.0</v>
      </c>
      <c r="AZ156" s="10">
        <v>0.0</v>
      </c>
      <c r="BA156" s="10">
        <v>0.0</v>
      </c>
      <c r="BB156" s="24">
        <f>2.61/2.92</f>
        <v>0.8938356164</v>
      </c>
      <c r="BC156" s="22">
        <v>1.0</v>
      </c>
      <c r="BD156" s="22">
        <v>1.0</v>
      </c>
      <c r="BE156" s="22"/>
      <c r="BF156" s="9">
        <v>0.0</v>
      </c>
      <c r="BG156" s="9" t="s">
        <v>84</v>
      </c>
      <c r="BH156" s="9">
        <v>1.0</v>
      </c>
      <c r="BI156" s="9">
        <v>0.0</v>
      </c>
      <c r="BJ156" s="9">
        <v>1.0</v>
      </c>
      <c r="BK156" s="9">
        <v>1.0</v>
      </c>
      <c r="BL156" s="9">
        <v>1.0</v>
      </c>
      <c r="BM156" s="9">
        <v>1.0</v>
      </c>
      <c r="BN156" s="9">
        <v>0.0</v>
      </c>
      <c r="BO156" s="9">
        <v>1.0</v>
      </c>
      <c r="BP156" s="9">
        <v>1.0</v>
      </c>
      <c r="BQ156" s="9">
        <v>1.0</v>
      </c>
      <c r="BR156" s="9">
        <v>0.0</v>
      </c>
      <c r="BS156" s="9" t="s">
        <v>84</v>
      </c>
      <c r="BT156" s="9">
        <v>0.0</v>
      </c>
      <c r="BU156" s="9">
        <v>1.0</v>
      </c>
      <c r="BV156" s="9">
        <v>0.0</v>
      </c>
      <c r="BW156" s="22">
        <v>0.0</v>
      </c>
      <c r="BX156" s="25">
        <v>0.0</v>
      </c>
      <c r="BY156" s="9">
        <v>0.0</v>
      </c>
      <c r="BZ156" s="9">
        <v>1.0</v>
      </c>
      <c r="CA156" s="9">
        <v>0.0</v>
      </c>
      <c r="CB156" s="9">
        <v>0.0</v>
      </c>
      <c r="CC156" s="16" t="s">
        <v>92</v>
      </c>
      <c r="CD156" s="16"/>
    </row>
    <row r="157" ht="15.75" customHeight="1">
      <c r="A157" s="9">
        <v>156.0</v>
      </c>
      <c r="B157" s="22">
        <v>53.0</v>
      </c>
      <c r="C157" s="23" t="s">
        <v>81</v>
      </c>
      <c r="D157" s="9" t="s">
        <v>82</v>
      </c>
      <c r="E157" s="28">
        <v>6.0</v>
      </c>
      <c r="F157" s="12">
        <v>182.88</v>
      </c>
      <c r="G157" s="12">
        <v>100.2</v>
      </c>
      <c r="H157" s="12">
        <f t="shared" si="4"/>
        <v>29.95955066</v>
      </c>
      <c r="I157" s="9">
        <v>1.0</v>
      </c>
      <c r="J157" s="9">
        <v>2.0</v>
      </c>
      <c r="K157" s="9">
        <v>2.0</v>
      </c>
      <c r="L157" s="9">
        <v>1.0</v>
      </c>
      <c r="M157" s="9">
        <v>135.0</v>
      </c>
      <c r="N157" s="9">
        <v>0.0</v>
      </c>
      <c r="O157" s="9">
        <v>110.0</v>
      </c>
      <c r="P157" s="9">
        <v>0.0</v>
      </c>
      <c r="Q157" s="9">
        <v>24.0</v>
      </c>
      <c r="R157" s="9">
        <v>0.0</v>
      </c>
      <c r="S157" s="12">
        <v>98.3</v>
      </c>
      <c r="T157" s="9">
        <v>0.0</v>
      </c>
      <c r="U157" s="9">
        <v>95.0</v>
      </c>
      <c r="V157" s="9">
        <v>1.0</v>
      </c>
      <c r="W157" s="9">
        <v>0.0</v>
      </c>
      <c r="X157" s="9">
        <v>0.0</v>
      </c>
      <c r="Y157" s="9">
        <v>0.0</v>
      </c>
      <c r="Z157" s="9">
        <v>0.0</v>
      </c>
      <c r="AA157" s="9">
        <v>0.0</v>
      </c>
      <c r="AB157" s="9">
        <v>0.0</v>
      </c>
      <c r="AC157" s="9">
        <v>0.0</v>
      </c>
      <c r="AD157" s="9">
        <v>0.0</v>
      </c>
      <c r="AE157" s="9">
        <v>0.0</v>
      </c>
      <c r="AF157" s="9">
        <v>0.0</v>
      </c>
      <c r="AG157" s="9">
        <v>0.0</v>
      </c>
      <c r="AH157" s="9">
        <v>0.0</v>
      </c>
      <c r="AI157" s="9">
        <v>0.0</v>
      </c>
      <c r="AJ157" s="9">
        <v>0.0</v>
      </c>
      <c r="AK157" s="9">
        <v>0.0</v>
      </c>
      <c r="AL157" s="9">
        <v>0.0</v>
      </c>
      <c r="AM157" s="9">
        <v>0.0</v>
      </c>
      <c r="AN157" s="9">
        <v>0.0</v>
      </c>
      <c r="AO157" s="9">
        <v>0.0</v>
      </c>
      <c r="AP157" s="9" t="s">
        <v>84</v>
      </c>
      <c r="AQ157" s="9">
        <v>1.0</v>
      </c>
      <c r="AR157" s="9">
        <v>1.0</v>
      </c>
      <c r="AS157" s="9">
        <v>1.0</v>
      </c>
      <c r="AT157" s="9">
        <v>0.0</v>
      </c>
      <c r="AU157" s="9">
        <v>0.0</v>
      </c>
      <c r="AV157" s="9">
        <v>0.0</v>
      </c>
      <c r="AW157" s="9" t="s">
        <v>97</v>
      </c>
      <c r="AX157" s="24">
        <f>4.55/3.85</f>
        <v>1.181818182</v>
      </c>
      <c r="AY157" s="22">
        <v>0.0</v>
      </c>
      <c r="AZ157" s="10">
        <v>0.0</v>
      </c>
      <c r="BA157" s="10">
        <v>1.0</v>
      </c>
      <c r="BB157" s="24">
        <f>3.15/2.74</f>
        <v>1.149635036</v>
      </c>
      <c r="BC157" s="22">
        <v>2.0</v>
      </c>
      <c r="BD157" s="22">
        <v>1.0</v>
      </c>
      <c r="BE157" s="22"/>
      <c r="BF157" s="9">
        <v>0.0</v>
      </c>
      <c r="BG157" s="9" t="s">
        <v>84</v>
      </c>
      <c r="BH157" s="9">
        <v>1.0</v>
      </c>
      <c r="BI157" s="9">
        <v>0.0</v>
      </c>
      <c r="BJ157" s="9">
        <v>0.0</v>
      </c>
      <c r="BK157" s="9">
        <v>0.0</v>
      </c>
      <c r="BL157" s="9">
        <v>0.0</v>
      </c>
      <c r="BM157" s="9">
        <v>0.0</v>
      </c>
      <c r="BN157" s="9">
        <v>1.0</v>
      </c>
      <c r="BO157" s="9">
        <v>0.0</v>
      </c>
      <c r="BP157" s="9">
        <v>0.0</v>
      </c>
      <c r="BQ157" s="9">
        <v>1.0</v>
      </c>
      <c r="BR157" s="9">
        <v>0.0</v>
      </c>
      <c r="BS157" s="9" t="s">
        <v>84</v>
      </c>
      <c r="BT157" s="9">
        <v>0.0</v>
      </c>
      <c r="BU157" s="9">
        <v>0.0</v>
      </c>
      <c r="BV157" s="9">
        <v>0.0</v>
      </c>
      <c r="BW157" s="22">
        <v>0.0</v>
      </c>
      <c r="BX157" s="25">
        <v>0.0</v>
      </c>
      <c r="BY157" s="9">
        <v>0.0</v>
      </c>
      <c r="BZ157" s="9">
        <v>0.0</v>
      </c>
      <c r="CA157" s="9">
        <v>0.0</v>
      </c>
      <c r="CB157" s="9">
        <v>0.0</v>
      </c>
      <c r="CC157" s="15" t="s">
        <v>113</v>
      </c>
      <c r="CD157" s="9"/>
    </row>
    <row r="158" ht="15.75" customHeight="1">
      <c r="A158" s="9">
        <v>157.0</v>
      </c>
      <c r="B158" s="22">
        <v>57.0</v>
      </c>
      <c r="C158" s="23" t="s">
        <v>81</v>
      </c>
      <c r="D158" s="9" t="s">
        <v>82</v>
      </c>
      <c r="E158" s="23" t="s">
        <v>99</v>
      </c>
      <c r="F158" s="12">
        <v>190.5</v>
      </c>
      <c r="G158" s="12">
        <v>147.0</v>
      </c>
      <c r="H158" s="12">
        <f t="shared" si="4"/>
        <v>40.50674768</v>
      </c>
      <c r="I158" s="9">
        <v>1.0</v>
      </c>
      <c r="J158" s="9">
        <v>3.0</v>
      </c>
      <c r="K158" s="9">
        <v>2.0</v>
      </c>
      <c r="L158" s="9">
        <v>0.0</v>
      </c>
      <c r="M158" s="9">
        <v>106.0</v>
      </c>
      <c r="N158" s="9">
        <v>0.0</v>
      </c>
      <c r="O158" s="9">
        <v>120.0</v>
      </c>
      <c r="P158" s="9">
        <v>0.0</v>
      </c>
      <c r="Q158" s="9">
        <v>20.0</v>
      </c>
      <c r="R158" s="9">
        <v>0.0</v>
      </c>
      <c r="S158" s="12">
        <v>97.7</v>
      </c>
      <c r="T158" s="9">
        <v>1.0</v>
      </c>
      <c r="U158" s="9">
        <v>87.0</v>
      </c>
      <c r="V158" s="9">
        <v>1.0</v>
      </c>
      <c r="W158" s="9">
        <v>0.0</v>
      </c>
      <c r="X158" s="9">
        <v>0.0</v>
      </c>
      <c r="Y158" s="9">
        <v>0.0</v>
      </c>
      <c r="Z158" s="9">
        <v>0.0</v>
      </c>
      <c r="AA158" s="9">
        <v>0.0</v>
      </c>
      <c r="AB158" s="9">
        <v>0.0</v>
      </c>
      <c r="AC158" s="9">
        <v>0.0</v>
      </c>
      <c r="AD158" s="9">
        <v>0.0</v>
      </c>
      <c r="AE158" s="9">
        <v>0.0</v>
      </c>
      <c r="AF158" s="9">
        <v>0.0</v>
      </c>
      <c r="AG158" s="9">
        <v>0.0</v>
      </c>
      <c r="AH158" s="9">
        <v>0.0</v>
      </c>
      <c r="AI158" s="9">
        <v>0.0</v>
      </c>
      <c r="AJ158" s="9">
        <v>1.0</v>
      </c>
      <c r="AK158" s="9">
        <v>0.0</v>
      </c>
      <c r="AL158" s="9">
        <v>0.0</v>
      </c>
      <c r="AM158" s="9">
        <v>0.0</v>
      </c>
      <c r="AN158" s="9">
        <v>0.0</v>
      </c>
      <c r="AO158" s="9">
        <v>1.0</v>
      </c>
      <c r="AP158" s="9">
        <v>1.0</v>
      </c>
      <c r="AQ158" s="9">
        <v>1.0</v>
      </c>
      <c r="AR158" s="9">
        <v>0.0</v>
      </c>
      <c r="AS158" s="9">
        <v>1.0</v>
      </c>
      <c r="AT158" s="9">
        <v>1.0</v>
      </c>
      <c r="AU158" s="18">
        <v>1.0</v>
      </c>
      <c r="AV158" s="9">
        <v>0.0</v>
      </c>
      <c r="AW158" s="9">
        <v>71.0</v>
      </c>
      <c r="AX158" s="24">
        <f>5.42/4.06</f>
        <v>1.334975369</v>
      </c>
      <c r="AY158" s="22">
        <v>0.0</v>
      </c>
      <c r="AZ158" s="10">
        <v>0.0</v>
      </c>
      <c r="BA158" s="10">
        <v>1.0</v>
      </c>
      <c r="BB158" s="24">
        <f>3.54/4.37</f>
        <v>0.8100686499</v>
      </c>
      <c r="BC158" s="22">
        <v>2.0</v>
      </c>
      <c r="BD158" s="22">
        <v>1.0</v>
      </c>
      <c r="BE158" s="22"/>
      <c r="BF158" s="9">
        <v>0.0</v>
      </c>
      <c r="BG158" s="9" t="s">
        <v>84</v>
      </c>
      <c r="BH158" s="9">
        <v>1.0</v>
      </c>
      <c r="BI158" s="9">
        <v>0.0</v>
      </c>
      <c r="BJ158" s="9">
        <v>0.0</v>
      </c>
      <c r="BK158" s="9">
        <v>0.0</v>
      </c>
      <c r="BL158" s="9">
        <v>0.0</v>
      </c>
      <c r="BM158" s="9">
        <v>0.0</v>
      </c>
      <c r="BN158" s="9">
        <v>0.0</v>
      </c>
      <c r="BO158" s="9">
        <v>1.0</v>
      </c>
      <c r="BP158" s="9">
        <v>0.0</v>
      </c>
      <c r="BQ158" s="9">
        <v>0.0</v>
      </c>
      <c r="BR158" s="9">
        <v>0.0</v>
      </c>
      <c r="BS158" s="9" t="s">
        <v>84</v>
      </c>
      <c r="BT158" s="9">
        <v>0.0</v>
      </c>
      <c r="BU158" s="9">
        <v>0.0</v>
      </c>
      <c r="BV158" s="9">
        <v>0.0</v>
      </c>
      <c r="BW158" s="22">
        <v>0.0</v>
      </c>
      <c r="BX158" s="25">
        <v>0.0</v>
      </c>
      <c r="BY158" s="9">
        <v>0.0</v>
      </c>
      <c r="BZ158" s="9">
        <v>0.0</v>
      </c>
      <c r="CA158" s="9">
        <v>0.0</v>
      </c>
      <c r="CB158" s="9">
        <v>0.0</v>
      </c>
      <c r="CC158" s="15" t="s">
        <v>149</v>
      </c>
      <c r="CD158" s="9"/>
    </row>
    <row r="159" ht="15.75" customHeight="1">
      <c r="A159" s="9">
        <v>158.0</v>
      </c>
      <c r="B159" s="22">
        <v>59.0</v>
      </c>
      <c r="C159" s="23" t="s">
        <v>86</v>
      </c>
      <c r="D159" s="9" t="s">
        <v>88</v>
      </c>
      <c r="E159" s="23" t="s">
        <v>90</v>
      </c>
      <c r="F159" s="12">
        <v>170.18</v>
      </c>
      <c r="G159" s="12">
        <v>92.1</v>
      </c>
      <c r="H159" s="12">
        <f t="shared" si="4"/>
        <v>31.80113288</v>
      </c>
      <c r="I159" s="9">
        <v>0.0</v>
      </c>
      <c r="J159" s="9">
        <v>1.0</v>
      </c>
      <c r="K159" s="9">
        <v>2.0</v>
      </c>
      <c r="L159" s="9">
        <v>0.0</v>
      </c>
      <c r="M159" s="9">
        <v>93.0</v>
      </c>
      <c r="N159" s="9">
        <v>0.0</v>
      </c>
      <c r="O159" s="9">
        <v>110.0</v>
      </c>
      <c r="P159" s="9">
        <v>0.0</v>
      </c>
      <c r="Q159" s="9">
        <v>18.0</v>
      </c>
      <c r="R159" s="9">
        <v>0.0</v>
      </c>
      <c r="S159" s="12">
        <v>97.6</v>
      </c>
      <c r="T159" s="9">
        <v>0.0</v>
      </c>
      <c r="U159" s="9">
        <v>93.0</v>
      </c>
      <c r="V159" s="9">
        <v>0.0</v>
      </c>
      <c r="W159" s="9">
        <v>0.0</v>
      </c>
      <c r="X159" s="9">
        <v>0.0</v>
      </c>
      <c r="Y159" s="9">
        <v>0.0</v>
      </c>
      <c r="Z159" s="9">
        <v>0.0</v>
      </c>
      <c r="AA159" s="9">
        <v>0.0</v>
      </c>
      <c r="AB159" s="9">
        <v>0.0</v>
      </c>
      <c r="AC159" s="9">
        <v>0.0</v>
      </c>
      <c r="AD159" s="9">
        <v>0.0</v>
      </c>
      <c r="AE159" s="9">
        <v>0.0</v>
      </c>
      <c r="AF159" s="9">
        <v>0.0</v>
      </c>
      <c r="AG159" s="9">
        <v>0.0</v>
      </c>
      <c r="AH159" s="9">
        <v>0.0</v>
      </c>
      <c r="AI159" s="9">
        <v>0.0</v>
      </c>
      <c r="AJ159" s="9">
        <v>0.0</v>
      </c>
      <c r="AK159" s="9">
        <v>1.0</v>
      </c>
      <c r="AL159" s="9">
        <v>0.0</v>
      </c>
      <c r="AM159" s="9">
        <v>0.0</v>
      </c>
      <c r="AN159" s="9">
        <v>0.0</v>
      </c>
      <c r="AO159" s="9">
        <v>0.0</v>
      </c>
      <c r="AP159" s="9" t="s">
        <v>84</v>
      </c>
      <c r="AQ159" s="9">
        <v>1.0</v>
      </c>
      <c r="AR159" s="9">
        <v>0.0</v>
      </c>
      <c r="AS159" s="9">
        <v>1.0</v>
      </c>
      <c r="AT159" s="9">
        <v>1.0</v>
      </c>
      <c r="AU159" s="18">
        <v>1.0</v>
      </c>
      <c r="AV159" s="9">
        <v>0.0</v>
      </c>
      <c r="AW159" s="9">
        <v>142.0</v>
      </c>
      <c r="AX159" s="24">
        <f>5.41/3.3</f>
        <v>1.639393939</v>
      </c>
      <c r="AY159" s="22">
        <v>0.0</v>
      </c>
      <c r="AZ159" s="10">
        <v>0.0</v>
      </c>
      <c r="BA159" s="10">
        <v>1.0</v>
      </c>
      <c r="BB159" s="24">
        <f>3.03/2.92</f>
        <v>1.037671233</v>
      </c>
      <c r="BC159" s="22">
        <v>6.0</v>
      </c>
      <c r="BD159" s="22">
        <v>1.0</v>
      </c>
      <c r="BE159" s="22"/>
      <c r="BF159" s="9">
        <v>0.0</v>
      </c>
      <c r="BG159" s="9" t="s">
        <v>84</v>
      </c>
      <c r="BH159" s="9">
        <v>1.0</v>
      </c>
      <c r="BI159" s="9">
        <v>0.0</v>
      </c>
      <c r="BJ159" s="9">
        <v>0.0</v>
      </c>
      <c r="BK159" s="9">
        <v>0.0</v>
      </c>
      <c r="BL159" s="9">
        <v>0.0</v>
      </c>
      <c r="BM159" s="9">
        <v>0.0</v>
      </c>
      <c r="BN159" s="9">
        <v>0.0</v>
      </c>
      <c r="BO159" s="9">
        <v>1.0</v>
      </c>
      <c r="BP159" s="9">
        <v>0.0</v>
      </c>
      <c r="BQ159" s="9">
        <v>1.0</v>
      </c>
      <c r="BR159" s="9">
        <v>0.0</v>
      </c>
      <c r="BS159" s="9" t="s">
        <v>84</v>
      </c>
      <c r="BT159" s="9">
        <v>0.0</v>
      </c>
      <c r="BU159" s="9">
        <v>0.0</v>
      </c>
      <c r="BV159" s="9">
        <v>0.0</v>
      </c>
      <c r="BW159" s="22">
        <v>0.0</v>
      </c>
      <c r="BX159" s="25">
        <v>1.0</v>
      </c>
      <c r="BY159" s="9">
        <v>1.0</v>
      </c>
      <c r="BZ159" s="9">
        <v>0.0</v>
      </c>
      <c r="CA159" s="9">
        <v>0.0</v>
      </c>
      <c r="CB159" s="9">
        <v>0.0</v>
      </c>
      <c r="CC159" s="15" t="s">
        <v>92</v>
      </c>
      <c r="CD159" s="9"/>
    </row>
    <row r="160" ht="15.75" customHeight="1">
      <c r="A160" s="9">
        <v>159.0</v>
      </c>
      <c r="B160" s="22">
        <v>67.0</v>
      </c>
      <c r="C160" s="23" t="s">
        <v>86</v>
      </c>
      <c r="D160" s="9" t="s">
        <v>82</v>
      </c>
      <c r="E160" s="23" t="s">
        <v>90</v>
      </c>
      <c r="F160" s="12">
        <v>154.94</v>
      </c>
      <c r="G160" s="12">
        <v>89.8</v>
      </c>
      <c r="H160" s="12">
        <f t="shared" si="4"/>
        <v>37.40668594</v>
      </c>
      <c r="I160" s="9">
        <v>0.0</v>
      </c>
      <c r="J160" s="9">
        <v>2.0</v>
      </c>
      <c r="K160" s="9">
        <v>2.0</v>
      </c>
      <c r="L160" s="9">
        <v>0.0</v>
      </c>
      <c r="M160" s="9">
        <v>100.0</v>
      </c>
      <c r="N160" s="9">
        <v>0.0</v>
      </c>
      <c r="O160" s="9">
        <v>150.0</v>
      </c>
      <c r="P160" s="9">
        <v>0.0</v>
      </c>
      <c r="Q160" s="9">
        <v>16.0</v>
      </c>
      <c r="R160" s="9">
        <v>0.0</v>
      </c>
      <c r="S160" s="12">
        <v>98.4</v>
      </c>
      <c r="T160" s="9">
        <v>0.0</v>
      </c>
      <c r="U160" s="9">
        <v>98.0</v>
      </c>
      <c r="V160" s="9">
        <v>0.0</v>
      </c>
      <c r="W160" s="9">
        <v>0.0</v>
      </c>
      <c r="X160" s="9">
        <v>0.0</v>
      </c>
      <c r="Y160" s="9">
        <v>0.0</v>
      </c>
      <c r="Z160" s="9">
        <v>0.0</v>
      </c>
      <c r="AA160" s="9">
        <v>0.0</v>
      </c>
      <c r="AB160" s="9">
        <v>0.0</v>
      </c>
      <c r="AC160" s="9">
        <v>0.0</v>
      </c>
      <c r="AD160" s="9">
        <v>0.0</v>
      </c>
      <c r="AE160" s="9">
        <v>0.0</v>
      </c>
      <c r="AF160" s="9">
        <v>0.0</v>
      </c>
      <c r="AG160" s="9">
        <v>0.0</v>
      </c>
      <c r="AH160" s="9">
        <v>0.0</v>
      </c>
      <c r="AI160" s="9">
        <v>0.0</v>
      </c>
      <c r="AJ160" s="9">
        <v>0.0</v>
      </c>
      <c r="AK160" s="9">
        <v>0.0</v>
      </c>
      <c r="AL160" s="9">
        <v>0.0</v>
      </c>
      <c r="AM160" s="9">
        <v>0.0</v>
      </c>
      <c r="AN160" s="9">
        <v>0.0</v>
      </c>
      <c r="AO160" s="9">
        <v>1.0</v>
      </c>
      <c r="AP160" s="9">
        <v>1.0</v>
      </c>
      <c r="AQ160" s="9" t="s">
        <v>84</v>
      </c>
      <c r="AR160" s="9">
        <v>1.0</v>
      </c>
      <c r="AS160" s="9">
        <v>0.0</v>
      </c>
      <c r="AT160" s="9">
        <v>1.0</v>
      </c>
      <c r="AU160" s="9">
        <v>0.0</v>
      </c>
      <c r="AV160" s="9">
        <v>0.0</v>
      </c>
      <c r="AW160" s="9" t="s">
        <v>150</v>
      </c>
      <c r="AX160" s="24">
        <f>4.45/3.35</f>
        <v>1.328358209</v>
      </c>
      <c r="AY160" s="22">
        <v>0.0</v>
      </c>
      <c r="AZ160" s="10">
        <v>0.0</v>
      </c>
      <c r="BA160" s="10">
        <v>1.0</v>
      </c>
      <c r="BB160" s="24">
        <f>2.79/2.71</f>
        <v>1.029520295</v>
      </c>
      <c r="BC160" s="22">
        <v>3.0</v>
      </c>
      <c r="BD160" s="22">
        <v>1.0</v>
      </c>
      <c r="BE160" s="22"/>
      <c r="BF160" s="9">
        <v>0.0</v>
      </c>
      <c r="BG160" s="9" t="s">
        <v>84</v>
      </c>
      <c r="BH160" s="9">
        <v>1.0</v>
      </c>
      <c r="BI160" s="9">
        <v>0.0</v>
      </c>
      <c r="BJ160" s="9">
        <v>0.0</v>
      </c>
      <c r="BK160" s="9">
        <v>0.0</v>
      </c>
      <c r="BL160" s="9">
        <v>0.0</v>
      </c>
      <c r="BM160" s="9">
        <v>0.0</v>
      </c>
      <c r="BN160" s="9">
        <v>1.0</v>
      </c>
      <c r="BO160" s="9">
        <v>0.0</v>
      </c>
      <c r="BP160" s="9">
        <v>1.0</v>
      </c>
      <c r="BQ160" s="9">
        <v>1.0</v>
      </c>
      <c r="BR160" s="9">
        <v>1.0</v>
      </c>
      <c r="BS160" s="9" t="s">
        <v>107</v>
      </c>
      <c r="BT160" s="9">
        <v>0.0</v>
      </c>
      <c r="BU160" s="9">
        <v>0.0</v>
      </c>
      <c r="BV160" s="9">
        <v>0.0</v>
      </c>
      <c r="BW160" s="26" t="s">
        <v>94</v>
      </c>
      <c r="BX160" s="27" t="s">
        <v>94</v>
      </c>
      <c r="BY160" s="9">
        <v>0.0</v>
      </c>
      <c r="BZ160" s="9">
        <v>0.0</v>
      </c>
      <c r="CA160" s="9">
        <v>0.0</v>
      </c>
      <c r="CB160" s="9">
        <v>0.0</v>
      </c>
      <c r="CC160" s="15" t="s">
        <v>101</v>
      </c>
      <c r="CD160" s="9"/>
    </row>
    <row r="161" ht="15.75" customHeight="1">
      <c r="A161" s="9">
        <v>160.0</v>
      </c>
      <c r="B161" s="22">
        <v>70.0</v>
      </c>
      <c r="C161" s="23" t="s">
        <v>81</v>
      </c>
      <c r="D161" s="23" t="s">
        <v>88</v>
      </c>
      <c r="E161" s="23" t="s">
        <v>99</v>
      </c>
      <c r="F161" s="12">
        <v>175.26</v>
      </c>
      <c r="G161" s="12">
        <v>90.0</v>
      </c>
      <c r="H161" s="12">
        <f t="shared" si="4"/>
        <v>29.30062571</v>
      </c>
      <c r="I161" s="9">
        <v>0.0</v>
      </c>
      <c r="J161" s="9">
        <v>2.0</v>
      </c>
      <c r="K161" s="9">
        <v>2.0</v>
      </c>
      <c r="L161" s="9">
        <v>0.0</v>
      </c>
      <c r="M161" s="9">
        <v>88.0</v>
      </c>
      <c r="N161" s="9">
        <v>0.0</v>
      </c>
      <c r="O161" s="9">
        <v>140.0</v>
      </c>
      <c r="P161" s="9">
        <v>0.0</v>
      </c>
      <c r="Q161" s="9">
        <v>17.0</v>
      </c>
      <c r="R161" s="9">
        <v>0.0</v>
      </c>
      <c r="S161" s="12">
        <v>97.5</v>
      </c>
      <c r="T161" s="9">
        <v>0.0</v>
      </c>
      <c r="U161" s="9">
        <v>96.0</v>
      </c>
      <c r="V161" s="9">
        <v>0.0</v>
      </c>
      <c r="W161" s="9">
        <v>0.0</v>
      </c>
      <c r="X161" s="9">
        <v>0.0</v>
      </c>
      <c r="Y161" s="9">
        <v>0.0</v>
      </c>
      <c r="Z161" s="9">
        <v>0.0</v>
      </c>
      <c r="AA161" s="9">
        <v>0.0</v>
      </c>
      <c r="AB161" s="9">
        <v>0.0</v>
      </c>
      <c r="AC161" s="9">
        <v>0.0</v>
      </c>
      <c r="AD161" s="9">
        <v>0.0</v>
      </c>
      <c r="AE161" s="9">
        <v>0.0</v>
      </c>
      <c r="AF161" s="9">
        <v>0.0</v>
      </c>
      <c r="AG161" s="9">
        <v>0.0</v>
      </c>
      <c r="AH161" s="9">
        <v>0.0</v>
      </c>
      <c r="AI161" s="9">
        <v>0.0</v>
      </c>
      <c r="AJ161" s="9">
        <v>0.0</v>
      </c>
      <c r="AK161" s="9">
        <v>0.0</v>
      </c>
      <c r="AL161" s="9">
        <v>0.0</v>
      </c>
      <c r="AM161" s="9">
        <v>0.0</v>
      </c>
      <c r="AN161" s="9">
        <v>0.0</v>
      </c>
      <c r="AO161" s="9">
        <v>1.0</v>
      </c>
      <c r="AP161" s="9">
        <v>1.0</v>
      </c>
      <c r="AQ161" s="9">
        <v>1.0</v>
      </c>
      <c r="AR161" s="9">
        <v>0.0</v>
      </c>
      <c r="AS161" s="9">
        <v>1.0</v>
      </c>
      <c r="AT161" s="9">
        <v>1.0</v>
      </c>
      <c r="AU161" s="18">
        <v>1.0</v>
      </c>
      <c r="AV161" s="9">
        <v>0.0</v>
      </c>
      <c r="AW161" s="9">
        <v>51.8</v>
      </c>
      <c r="AX161" s="24">
        <f>5.26/5.05</f>
        <v>1.041584158</v>
      </c>
      <c r="AY161" s="22">
        <v>0.0</v>
      </c>
      <c r="AZ161" s="10">
        <v>0.0</v>
      </c>
      <c r="BA161" s="10">
        <v>1.0</v>
      </c>
      <c r="BB161" s="24">
        <f>3.94/3.86</f>
        <v>1.020725389</v>
      </c>
      <c r="BC161" s="22">
        <v>3.0</v>
      </c>
      <c r="BD161" s="22">
        <v>1.0</v>
      </c>
      <c r="BE161" s="22"/>
      <c r="BF161" s="9">
        <v>0.0</v>
      </c>
      <c r="BG161" s="9" t="s">
        <v>84</v>
      </c>
      <c r="BH161" s="9">
        <v>1.0</v>
      </c>
      <c r="BI161" s="9">
        <v>0.0</v>
      </c>
      <c r="BJ161" s="9">
        <v>0.0</v>
      </c>
      <c r="BK161" s="9">
        <v>0.0</v>
      </c>
      <c r="BL161" s="9">
        <v>0.0</v>
      </c>
      <c r="BM161" s="9">
        <v>0.0</v>
      </c>
      <c r="BN161" s="9">
        <v>0.0</v>
      </c>
      <c r="BO161" s="9">
        <v>0.0</v>
      </c>
      <c r="BP161" s="9" t="s">
        <v>84</v>
      </c>
      <c r="BQ161" s="9" t="s">
        <v>84</v>
      </c>
      <c r="BR161" s="9">
        <v>0.0</v>
      </c>
      <c r="BS161" s="9" t="s">
        <v>84</v>
      </c>
      <c r="BT161" s="9">
        <v>0.0</v>
      </c>
      <c r="BU161" s="9">
        <v>0.0</v>
      </c>
      <c r="BV161" s="9">
        <v>0.0</v>
      </c>
      <c r="BW161" s="22">
        <v>0.0</v>
      </c>
      <c r="BX161" s="25">
        <v>1.0</v>
      </c>
      <c r="BY161" s="9">
        <v>0.0</v>
      </c>
      <c r="BZ161" s="9">
        <v>0.0</v>
      </c>
      <c r="CA161" s="9">
        <v>0.0</v>
      </c>
      <c r="CB161" s="9">
        <v>0.0</v>
      </c>
      <c r="CC161" s="16" t="s">
        <v>101</v>
      </c>
      <c r="CD161" s="16"/>
    </row>
    <row r="162" ht="15.75" customHeight="1">
      <c r="A162" s="9">
        <v>161.0</v>
      </c>
      <c r="B162" s="22">
        <v>61.0</v>
      </c>
      <c r="C162" s="23" t="s">
        <v>81</v>
      </c>
      <c r="D162" s="23" t="s">
        <v>82</v>
      </c>
      <c r="E162" s="28">
        <v>5.0</v>
      </c>
      <c r="F162" s="12">
        <v>185.42000000000002</v>
      </c>
      <c r="G162" s="12">
        <v>96.1</v>
      </c>
      <c r="H162" s="12">
        <f t="shared" si="4"/>
        <v>27.95182922</v>
      </c>
      <c r="I162" s="9">
        <v>1.0</v>
      </c>
      <c r="J162" s="9">
        <v>5.0</v>
      </c>
      <c r="K162" s="9">
        <v>2.0</v>
      </c>
      <c r="L162" s="9">
        <v>0.0</v>
      </c>
      <c r="M162" s="9">
        <v>75.0</v>
      </c>
      <c r="N162" s="9">
        <v>0.0</v>
      </c>
      <c r="O162" s="9">
        <v>126.0</v>
      </c>
      <c r="P162" s="9">
        <v>0.0</v>
      </c>
      <c r="Q162" s="9">
        <v>24.0</v>
      </c>
      <c r="R162" s="9">
        <v>0.0</v>
      </c>
      <c r="S162" s="12">
        <v>97.5</v>
      </c>
      <c r="T162" s="9">
        <v>1.0</v>
      </c>
      <c r="U162" s="9">
        <v>89.0</v>
      </c>
      <c r="V162" s="9">
        <v>1.0</v>
      </c>
      <c r="W162" s="9">
        <v>0.0</v>
      </c>
      <c r="X162" s="9">
        <v>0.0</v>
      </c>
      <c r="Y162" s="9">
        <v>0.0</v>
      </c>
      <c r="Z162" s="9">
        <v>0.0</v>
      </c>
      <c r="AA162" s="9">
        <v>1.0</v>
      </c>
      <c r="AB162" s="9">
        <v>0.0</v>
      </c>
      <c r="AC162" s="9">
        <v>1.0</v>
      </c>
      <c r="AD162" s="9">
        <v>1.0</v>
      </c>
      <c r="AE162" s="9">
        <v>1.0</v>
      </c>
      <c r="AF162" s="9">
        <v>0.0</v>
      </c>
      <c r="AG162" s="9">
        <v>0.0</v>
      </c>
      <c r="AH162" s="9">
        <v>0.0</v>
      </c>
      <c r="AI162" s="9">
        <v>0.0</v>
      </c>
      <c r="AJ162" s="9">
        <v>1.0</v>
      </c>
      <c r="AK162" s="9">
        <v>0.0</v>
      </c>
      <c r="AL162" s="9">
        <v>0.0</v>
      </c>
      <c r="AM162" s="9">
        <v>0.0</v>
      </c>
      <c r="AN162" s="9">
        <v>0.0</v>
      </c>
      <c r="AO162" s="9">
        <v>1.0</v>
      </c>
      <c r="AP162" s="9">
        <v>1.0</v>
      </c>
      <c r="AQ162" s="9">
        <v>1.0</v>
      </c>
      <c r="AR162" s="9">
        <v>1.0</v>
      </c>
      <c r="AS162" s="9">
        <v>1.0</v>
      </c>
      <c r="AT162" s="9">
        <v>0.0</v>
      </c>
      <c r="AU162" s="9">
        <v>0.0</v>
      </c>
      <c r="AV162" s="9">
        <v>0.0</v>
      </c>
      <c r="AW162" s="9" t="s">
        <v>97</v>
      </c>
      <c r="AX162" s="24">
        <f>3.91/5.27</f>
        <v>0.7419354839</v>
      </c>
      <c r="AY162" s="22">
        <v>0.0</v>
      </c>
      <c r="AZ162" s="10">
        <v>0.0</v>
      </c>
      <c r="BA162" s="10">
        <v>0.0</v>
      </c>
      <c r="BB162" s="24">
        <f>4.01/3.78</f>
        <v>1.060846561</v>
      </c>
      <c r="BC162" s="22">
        <v>2.0</v>
      </c>
      <c r="BD162" s="22">
        <v>1.0</v>
      </c>
      <c r="BE162" s="22"/>
      <c r="BF162" s="9">
        <v>0.0</v>
      </c>
      <c r="BG162" s="9" t="s">
        <v>84</v>
      </c>
      <c r="BH162" s="9">
        <v>1.0</v>
      </c>
      <c r="BI162" s="9">
        <v>0.0</v>
      </c>
      <c r="BJ162" s="9">
        <v>0.0</v>
      </c>
      <c r="BK162" s="9">
        <v>0.0</v>
      </c>
      <c r="BL162" s="9">
        <v>0.0</v>
      </c>
      <c r="BM162" s="9">
        <v>0.0</v>
      </c>
      <c r="BN162" s="9">
        <v>0.0</v>
      </c>
      <c r="BO162" s="9">
        <v>1.0</v>
      </c>
      <c r="BP162" s="9">
        <v>0.0</v>
      </c>
      <c r="BQ162" s="9">
        <v>1.0</v>
      </c>
      <c r="BR162" s="9">
        <v>0.0</v>
      </c>
      <c r="BS162" s="9" t="s">
        <v>84</v>
      </c>
      <c r="BT162" s="9">
        <v>0.0</v>
      </c>
      <c r="BU162" s="9">
        <v>1.0</v>
      </c>
      <c r="BV162" s="9">
        <v>0.0</v>
      </c>
      <c r="BW162" s="22">
        <v>0.0</v>
      </c>
      <c r="BX162" s="25">
        <v>0.0</v>
      </c>
      <c r="BY162" s="9">
        <v>1.0</v>
      </c>
      <c r="BZ162" s="9">
        <v>1.0</v>
      </c>
      <c r="CA162" s="9">
        <v>0.0</v>
      </c>
      <c r="CB162" s="9">
        <v>0.0</v>
      </c>
      <c r="CC162" s="16" t="s">
        <v>149</v>
      </c>
      <c r="CD162" s="16"/>
    </row>
    <row r="163" ht="15.75" customHeight="1">
      <c r="A163" s="9">
        <v>162.0</v>
      </c>
      <c r="B163" s="22">
        <v>48.0</v>
      </c>
      <c r="C163" s="23" t="s">
        <v>81</v>
      </c>
      <c r="D163" s="23" t="s">
        <v>82</v>
      </c>
      <c r="E163" s="28">
        <v>3.0</v>
      </c>
      <c r="F163" s="12">
        <v>175.26</v>
      </c>
      <c r="G163" s="12">
        <v>123.0</v>
      </c>
      <c r="H163" s="12">
        <f t="shared" si="4"/>
        <v>40.04418847</v>
      </c>
      <c r="I163" s="9">
        <v>1.0</v>
      </c>
      <c r="J163" s="9">
        <v>2.0</v>
      </c>
      <c r="K163" s="9">
        <v>2.0</v>
      </c>
      <c r="L163" s="9">
        <v>1.0</v>
      </c>
      <c r="M163" s="9">
        <v>111.0</v>
      </c>
      <c r="N163" s="9">
        <v>0.0</v>
      </c>
      <c r="O163" s="9">
        <v>157.0</v>
      </c>
      <c r="P163" s="9">
        <v>0.0</v>
      </c>
      <c r="Q163" s="9">
        <v>22.0</v>
      </c>
      <c r="R163" s="9">
        <v>0.0</v>
      </c>
      <c r="S163" s="12">
        <v>97.8</v>
      </c>
      <c r="T163" s="9">
        <v>0.0</v>
      </c>
      <c r="U163" s="9">
        <v>94.0</v>
      </c>
      <c r="V163" s="9">
        <v>1.0</v>
      </c>
      <c r="W163" s="9">
        <v>0.0</v>
      </c>
      <c r="X163" s="9">
        <v>0.0</v>
      </c>
      <c r="Y163" s="9">
        <v>0.0</v>
      </c>
      <c r="Z163" s="9">
        <v>0.0</v>
      </c>
      <c r="AA163" s="9">
        <v>0.0</v>
      </c>
      <c r="AB163" s="9">
        <v>0.0</v>
      </c>
      <c r="AC163" s="9">
        <v>0.0</v>
      </c>
      <c r="AD163" s="9">
        <v>0.0</v>
      </c>
      <c r="AE163" s="9">
        <v>1.0</v>
      </c>
      <c r="AF163" s="9">
        <v>0.0</v>
      </c>
      <c r="AG163" s="9">
        <v>0.0</v>
      </c>
      <c r="AH163" s="9">
        <v>0.0</v>
      </c>
      <c r="AI163" s="9">
        <v>0.0</v>
      </c>
      <c r="AJ163" s="9">
        <v>0.0</v>
      </c>
      <c r="AK163" s="9">
        <v>1.0</v>
      </c>
      <c r="AL163" s="9">
        <v>1.0</v>
      </c>
      <c r="AM163" s="9">
        <v>0.0</v>
      </c>
      <c r="AN163" s="9">
        <v>0.0</v>
      </c>
      <c r="AO163" s="9" t="s">
        <v>84</v>
      </c>
      <c r="AP163" s="9" t="s">
        <v>84</v>
      </c>
      <c r="AQ163" s="9">
        <v>0.0</v>
      </c>
      <c r="AR163" s="9">
        <v>1.0</v>
      </c>
      <c r="AS163" s="9">
        <v>1.0</v>
      </c>
      <c r="AT163" s="9">
        <v>1.0</v>
      </c>
      <c r="AU163" s="18">
        <v>1.0</v>
      </c>
      <c r="AV163" s="9">
        <v>0.0</v>
      </c>
      <c r="AW163" s="9">
        <v>30.5</v>
      </c>
      <c r="AX163" s="24">
        <f>5.26/3.8</f>
        <v>1.384210526</v>
      </c>
      <c r="AY163" s="22">
        <v>0.0</v>
      </c>
      <c r="AZ163" s="10">
        <v>0.0</v>
      </c>
      <c r="BA163" s="10">
        <v>1.0</v>
      </c>
      <c r="BB163" s="24">
        <f>2.91/3.28</f>
        <v>0.887195122</v>
      </c>
      <c r="BC163" s="22">
        <v>3.0</v>
      </c>
      <c r="BD163" s="22">
        <v>1.0</v>
      </c>
      <c r="BE163" s="22"/>
      <c r="BF163" s="9">
        <v>1.0</v>
      </c>
      <c r="BG163" s="15" t="s">
        <v>151</v>
      </c>
      <c r="BH163" s="9">
        <v>1.0</v>
      </c>
      <c r="BI163" s="9">
        <v>0.0</v>
      </c>
      <c r="BJ163" s="9">
        <v>0.0</v>
      </c>
      <c r="BK163" s="9">
        <v>0.0</v>
      </c>
      <c r="BL163" s="9">
        <v>0.0</v>
      </c>
      <c r="BM163" s="9">
        <v>0.0</v>
      </c>
      <c r="BN163" s="9">
        <v>0.0</v>
      </c>
      <c r="BO163" s="9">
        <v>1.0</v>
      </c>
      <c r="BP163" s="9">
        <v>0.0</v>
      </c>
      <c r="BQ163" s="9">
        <v>1.0</v>
      </c>
      <c r="BR163" s="9">
        <v>0.0</v>
      </c>
      <c r="BS163" s="9">
        <v>0.0</v>
      </c>
      <c r="BT163" s="9">
        <v>0.0</v>
      </c>
      <c r="BU163" s="9">
        <v>0.0</v>
      </c>
      <c r="BV163" s="9">
        <v>0.0</v>
      </c>
      <c r="BW163" s="22">
        <v>0.0</v>
      </c>
      <c r="BX163" s="25">
        <v>0.0</v>
      </c>
      <c r="BY163" s="9">
        <v>0.0</v>
      </c>
      <c r="BZ163" s="9">
        <v>0.0</v>
      </c>
      <c r="CA163" s="9">
        <v>0.0</v>
      </c>
      <c r="CB163" s="9">
        <v>0.0</v>
      </c>
      <c r="CC163" s="16" t="s">
        <v>92</v>
      </c>
      <c r="CD163" s="16"/>
    </row>
    <row r="164" ht="15.75" customHeight="1">
      <c r="A164" s="9">
        <v>163.0</v>
      </c>
      <c r="B164" s="10">
        <v>75.0</v>
      </c>
      <c r="C164" s="9" t="s">
        <v>81</v>
      </c>
      <c r="D164" s="11" t="s">
        <v>82</v>
      </c>
      <c r="E164" s="9">
        <v>1.0</v>
      </c>
      <c r="F164" s="12">
        <v>177.8</v>
      </c>
      <c r="G164" s="12">
        <v>73.0</v>
      </c>
      <c r="H164" s="12">
        <f t="shared" si="4"/>
        <v>23.09188292</v>
      </c>
      <c r="I164" s="9">
        <v>1.0</v>
      </c>
      <c r="J164" s="9">
        <v>5.0</v>
      </c>
      <c r="K164" s="9">
        <v>2.0</v>
      </c>
      <c r="L164" s="9">
        <v>1.0</v>
      </c>
      <c r="M164" s="9">
        <v>133.0</v>
      </c>
      <c r="N164" s="9">
        <v>0.0</v>
      </c>
      <c r="O164" s="9">
        <v>111.0</v>
      </c>
      <c r="P164" s="9">
        <v>0.0</v>
      </c>
      <c r="Q164" s="9">
        <v>20.0</v>
      </c>
      <c r="R164" s="9">
        <v>0.0</v>
      </c>
      <c r="S164" s="12">
        <v>98.6</v>
      </c>
      <c r="T164" s="9">
        <v>0.0</v>
      </c>
      <c r="U164" s="9">
        <v>98.0</v>
      </c>
      <c r="V164" s="9">
        <v>1.0</v>
      </c>
      <c r="W164" s="9">
        <v>0.0</v>
      </c>
      <c r="X164" s="9">
        <v>1.0</v>
      </c>
      <c r="Y164" s="9">
        <v>0.0</v>
      </c>
      <c r="Z164" s="9">
        <v>0.0</v>
      </c>
      <c r="AA164" s="9">
        <v>0.0</v>
      </c>
      <c r="AB164" s="9">
        <v>0.0</v>
      </c>
      <c r="AC164" s="9">
        <v>0.0</v>
      </c>
      <c r="AD164" s="9">
        <v>0.0</v>
      </c>
      <c r="AE164" s="9">
        <v>0.0</v>
      </c>
      <c r="AF164" s="9">
        <v>0.0</v>
      </c>
      <c r="AG164" s="9">
        <v>1.0</v>
      </c>
      <c r="AH164" s="9">
        <v>0.0</v>
      </c>
      <c r="AI164" s="9">
        <v>0.0</v>
      </c>
      <c r="AJ164" s="9">
        <v>0.0</v>
      </c>
      <c r="AK164" s="9">
        <v>0.0</v>
      </c>
      <c r="AL164" s="9">
        <v>0.0</v>
      </c>
      <c r="AM164" s="9">
        <v>0.0</v>
      </c>
      <c r="AN164" s="9">
        <v>0.0</v>
      </c>
      <c r="AO164" s="9" t="s">
        <v>84</v>
      </c>
      <c r="AP164" s="9" t="s">
        <v>84</v>
      </c>
      <c r="AQ164" s="9">
        <v>0.0</v>
      </c>
      <c r="AR164" s="9">
        <v>1.0</v>
      </c>
      <c r="AS164" s="9">
        <v>1.0</v>
      </c>
      <c r="AT164" s="9">
        <v>1.0</v>
      </c>
      <c r="AU164" s="18">
        <v>1.0</v>
      </c>
      <c r="AV164" s="9">
        <v>0.0</v>
      </c>
      <c r="AW164" s="9">
        <v>26.3</v>
      </c>
      <c r="AX164" s="24">
        <f>5.14/3.98</f>
        <v>1.291457286</v>
      </c>
      <c r="AY164" s="22">
        <v>0.0</v>
      </c>
      <c r="AZ164" s="10">
        <v>0.0</v>
      </c>
      <c r="BA164" s="10">
        <v>1.0</v>
      </c>
      <c r="BB164" s="24">
        <f>2.51/3.38</f>
        <v>0.7426035503</v>
      </c>
      <c r="BC164" s="22">
        <v>5.0</v>
      </c>
      <c r="BD164" s="22">
        <v>1.0</v>
      </c>
      <c r="BE164" s="22"/>
      <c r="BF164" s="9">
        <v>0.0</v>
      </c>
      <c r="BG164" s="9" t="s">
        <v>84</v>
      </c>
      <c r="BH164" s="9">
        <v>1.0</v>
      </c>
      <c r="BI164" s="9">
        <v>0.0</v>
      </c>
      <c r="BJ164" s="9">
        <v>0.0</v>
      </c>
      <c r="BK164" s="9">
        <v>0.0</v>
      </c>
      <c r="BL164" s="9">
        <v>0.0</v>
      </c>
      <c r="BM164" s="9">
        <v>0.0</v>
      </c>
      <c r="BN164" s="9">
        <v>0.0</v>
      </c>
      <c r="BO164" s="9">
        <v>0.0</v>
      </c>
      <c r="BP164" s="9" t="s">
        <v>84</v>
      </c>
      <c r="BQ164" s="9" t="s">
        <v>84</v>
      </c>
      <c r="BR164" s="9">
        <v>0.0</v>
      </c>
      <c r="BS164" s="9">
        <v>0.0</v>
      </c>
      <c r="BT164" s="9">
        <v>0.0</v>
      </c>
      <c r="BU164" s="9">
        <v>0.0</v>
      </c>
      <c r="BV164" s="9">
        <v>0.0</v>
      </c>
      <c r="BW164" s="10" t="s">
        <v>94</v>
      </c>
      <c r="BX164" s="14">
        <v>0.0</v>
      </c>
      <c r="BY164" s="9">
        <v>1.0</v>
      </c>
      <c r="BZ164" s="9">
        <v>0.0</v>
      </c>
      <c r="CA164" s="9">
        <v>0.0</v>
      </c>
      <c r="CB164" s="9">
        <v>0.0</v>
      </c>
      <c r="CC164" s="15" t="s">
        <v>113</v>
      </c>
      <c r="CD164" s="29"/>
    </row>
    <row r="165" ht="15.75" customHeight="1">
      <c r="A165" s="9">
        <v>164.0</v>
      </c>
      <c r="B165" s="10">
        <v>62.0</v>
      </c>
      <c r="C165" s="9" t="s">
        <v>81</v>
      </c>
      <c r="D165" s="11" t="s">
        <v>82</v>
      </c>
      <c r="E165" s="9">
        <v>4.0</v>
      </c>
      <c r="F165" s="12">
        <v>193.04</v>
      </c>
      <c r="G165" s="12">
        <v>94.2</v>
      </c>
      <c r="H165" s="12">
        <f t="shared" si="4"/>
        <v>25.27879017</v>
      </c>
      <c r="I165" s="9">
        <v>1.0</v>
      </c>
      <c r="J165" s="9">
        <v>4.0</v>
      </c>
      <c r="K165" s="9">
        <v>2.0</v>
      </c>
      <c r="L165" s="9">
        <v>1.0</v>
      </c>
      <c r="M165" s="9">
        <v>134.0</v>
      </c>
      <c r="N165" s="9">
        <v>0.0</v>
      </c>
      <c r="O165" s="9">
        <v>109.0</v>
      </c>
      <c r="P165" s="9">
        <v>0.0</v>
      </c>
      <c r="Q165" s="9">
        <v>20.0</v>
      </c>
      <c r="R165" s="9">
        <v>0.0</v>
      </c>
      <c r="S165" s="12">
        <v>98.8</v>
      </c>
      <c r="T165" s="9">
        <v>0.0</v>
      </c>
      <c r="U165" s="9">
        <v>95.0</v>
      </c>
      <c r="V165" s="9">
        <v>0.0</v>
      </c>
      <c r="W165" s="9">
        <v>0.0</v>
      </c>
      <c r="X165" s="9">
        <v>0.0</v>
      </c>
      <c r="Y165" s="9">
        <v>0.0</v>
      </c>
      <c r="Z165" s="9">
        <v>1.0</v>
      </c>
      <c r="AA165" s="9">
        <v>0.0</v>
      </c>
      <c r="AB165" s="9">
        <v>0.0</v>
      </c>
      <c r="AC165" s="9">
        <v>0.0</v>
      </c>
      <c r="AD165" s="9">
        <v>0.0</v>
      </c>
      <c r="AE165" s="9">
        <v>1.0</v>
      </c>
      <c r="AF165" s="9">
        <v>0.0</v>
      </c>
      <c r="AG165" s="9">
        <v>0.0</v>
      </c>
      <c r="AH165" s="9">
        <v>0.0</v>
      </c>
      <c r="AI165" s="9">
        <v>0.0</v>
      </c>
      <c r="AJ165" s="9">
        <v>0.0</v>
      </c>
      <c r="AK165" s="9">
        <v>1.0</v>
      </c>
      <c r="AL165" s="9">
        <v>0.0</v>
      </c>
      <c r="AM165" s="9">
        <v>0.0</v>
      </c>
      <c r="AN165" s="9">
        <v>0.0</v>
      </c>
      <c r="AO165" s="9">
        <v>1.0</v>
      </c>
      <c r="AP165" s="9">
        <v>1.0</v>
      </c>
      <c r="AQ165" s="9">
        <v>0.0</v>
      </c>
      <c r="AR165" s="9">
        <v>1.0</v>
      </c>
      <c r="AS165" s="9">
        <v>1.0</v>
      </c>
      <c r="AT165" s="9">
        <v>0.0</v>
      </c>
      <c r="AU165" s="9">
        <v>0.0</v>
      </c>
      <c r="AV165" s="9">
        <v>0.0</v>
      </c>
      <c r="AW165" s="9">
        <v>32.5</v>
      </c>
      <c r="AX165" s="24">
        <f>5.78/3.42</f>
        <v>1.69005848</v>
      </c>
      <c r="AY165" s="22">
        <v>0.0</v>
      </c>
      <c r="AZ165" s="10">
        <v>0.0</v>
      </c>
      <c r="BA165" s="10">
        <v>1.0</v>
      </c>
      <c r="BB165" s="24">
        <f>3.25/3.5</f>
        <v>0.9285714286</v>
      </c>
      <c r="BC165" s="22">
        <v>3.0</v>
      </c>
      <c r="BD165" s="22">
        <v>1.0</v>
      </c>
      <c r="BE165" s="22"/>
      <c r="BF165" s="9">
        <v>0.0</v>
      </c>
      <c r="BG165" s="9" t="s">
        <v>84</v>
      </c>
      <c r="BH165" s="9">
        <v>1.0</v>
      </c>
      <c r="BI165" s="9">
        <v>0.0</v>
      </c>
      <c r="BJ165" s="9">
        <v>0.0</v>
      </c>
      <c r="BK165" s="9">
        <v>0.0</v>
      </c>
      <c r="BL165" s="9">
        <v>0.0</v>
      </c>
      <c r="BM165" s="9">
        <v>0.0</v>
      </c>
      <c r="BN165" s="9">
        <v>0.0</v>
      </c>
      <c r="BO165" s="9">
        <v>0.0</v>
      </c>
      <c r="BP165" s="9" t="s">
        <v>84</v>
      </c>
      <c r="BQ165" s="9" t="s">
        <v>84</v>
      </c>
      <c r="BR165" s="9">
        <v>0.0</v>
      </c>
      <c r="BS165" s="9">
        <v>0.0</v>
      </c>
      <c r="BT165" s="9">
        <v>0.0</v>
      </c>
      <c r="BU165" s="9">
        <v>0.0</v>
      </c>
      <c r="BV165" s="9">
        <v>0.0</v>
      </c>
      <c r="BW165" s="10">
        <v>0.0</v>
      </c>
      <c r="BX165" s="14">
        <v>0.0</v>
      </c>
      <c r="BY165" s="9">
        <v>0.0</v>
      </c>
      <c r="BZ165" s="9">
        <v>0.0</v>
      </c>
      <c r="CA165" s="9">
        <v>0.0</v>
      </c>
      <c r="CB165" s="9">
        <v>0.0</v>
      </c>
      <c r="CC165" s="15" t="s">
        <v>104</v>
      </c>
      <c r="CD165" s="29"/>
    </row>
    <row r="166" ht="15.75" customHeight="1">
      <c r="A166" s="9">
        <v>165.0</v>
      </c>
      <c r="B166" s="10">
        <v>68.0</v>
      </c>
      <c r="C166" s="9" t="s">
        <v>81</v>
      </c>
      <c r="D166" s="11" t="s">
        <v>82</v>
      </c>
      <c r="E166" s="9">
        <v>2.0</v>
      </c>
      <c r="F166" s="12">
        <v>172.72</v>
      </c>
      <c r="G166" s="12">
        <v>95.3</v>
      </c>
      <c r="H166" s="12">
        <f t="shared" si="4"/>
        <v>31.94534936</v>
      </c>
      <c r="I166" s="9">
        <v>0.0</v>
      </c>
      <c r="J166" s="9">
        <v>2.0</v>
      </c>
      <c r="K166" s="9">
        <v>2.0</v>
      </c>
      <c r="L166" s="9">
        <v>0.0</v>
      </c>
      <c r="M166" s="9">
        <v>100.0</v>
      </c>
      <c r="N166" s="9">
        <v>0.0</v>
      </c>
      <c r="O166" s="9">
        <v>150.0</v>
      </c>
      <c r="P166" s="9">
        <v>0.0</v>
      </c>
      <c r="Q166" s="9">
        <v>24.0</v>
      </c>
      <c r="R166" s="9">
        <v>0.0</v>
      </c>
      <c r="S166" s="12">
        <v>98.1</v>
      </c>
      <c r="T166" s="9" t="s">
        <v>84</v>
      </c>
      <c r="U166" s="9" t="s">
        <v>84</v>
      </c>
      <c r="V166" s="9">
        <v>1.0</v>
      </c>
      <c r="W166" s="9">
        <v>0.0</v>
      </c>
      <c r="X166" s="9">
        <v>0.0</v>
      </c>
      <c r="Y166" s="9">
        <v>0.0</v>
      </c>
      <c r="Z166" s="9">
        <v>0.0</v>
      </c>
      <c r="AA166" s="9">
        <v>0.0</v>
      </c>
      <c r="AB166" s="9">
        <v>0.0</v>
      </c>
      <c r="AC166" s="9">
        <v>0.0</v>
      </c>
      <c r="AD166" s="9">
        <v>0.0</v>
      </c>
      <c r="AE166" s="9">
        <v>0.0</v>
      </c>
      <c r="AF166" s="9">
        <v>0.0</v>
      </c>
      <c r="AG166" s="9">
        <v>1.0</v>
      </c>
      <c r="AH166" s="9">
        <v>0.0</v>
      </c>
      <c r="AI166" s="9">
        <v>0.0</v>
      </c>
      <c r="AJ166" s="9">
        <v>0.0</v>
      </c>
      <c r="AK166" s="9">
        <v>0.0</v>
      </c>
      <c r="AL166" s="9">
        <v>0.0</v>
      </c>
      <c r="AM166" s="9">
        <v>0.0</v>
      </c>
      <c r="AN166" s="9">
        <v>0.0</v>
      </c>
      <c r="AO166" s="9">
        <v>0.0</v>
      </c>
      <c r="AP166" s="9" t="s">
        <v>84</v>
      </c>
      <c r="AQ166" s="9">
        <v>0.0</v>
      </c>
      <c r="AR166" s="9">
        <v>1.0</v>
      </c>
      <c r="AS166" s="9">
        <v>1.0</v>
      </c>
      <c r="AT166" s="9">
        <v>1.0</v>
      </c>
      <c r="AU166" s="18">
        <v>1.0</v>
      </c>
      <c r="AV166" s="9">
        <v>0.0</v>
      </c>
      <c r="AW166" s="9" t="s">
        <v>97</v>
      </c>
      <c r="AX166" s="24">
        <f>4.79/4.26</f>
        <v>1.124413146</v>
      </c>
      <c r="AY166" s="22">
        <v>0.0</v>
      </c>
      <c r="AZ166" s="10">
        <v>0.0</v>
      </c>
      <c r="BA166" s="10">
        <v>1.0</v>
      </c>
      <c r="BB166" s="24">
        <f>3.07/4.09</f>
        <v>0.7506112469</v>
      </c>
      <c r="BC166" s="22">
        <v>4.0</v>
      </c>
      <c r="BD166" s="22">
        <v>1.0</v>
      </c>
      <c r="BE166" s="22"/>
      <c r="BF166" s="9">
        <v>0.0</v>
      </c>
      <c r="BG166" s="9" t="s">
        <v>84</v>
      </c>
      <c r="BH166" s="9">
        <v>1.0</v>
      </c>
      <c r="BI166" s="9">
        <v>0.0</v>
      </c>
      <c r="BJ166" s="9">
        <v>0.0</v>
      </c>
      <c r="BK166" s="9">
        <v>0.0</v>
      </c>
      <c r="BL166" s="9">
        <v>0.0</v>
      </c>
      <c r="BM166" s="9">
        <v>0.0</v>
      </c>
      <c r="BN166" s="9">
        <v>0.0</v>
      </c>
      <c r="BO166" s="9">
        <v>0.0</v>
      </c>
      <c r="BP166" s="9" t="s">
        <v>84</v>
      </c>
      <c r="BQ166" s="9" t="s">
        <v>84</v>
      </c>
      <c r="BR166" s="9">
        <v>0.0</v>
      </c>
      <c r="BS166" s="9">
        <v>0.0</v>
      </c>
      <c r="BT166" s="9">
        <v>0.0</v>
      </c>
      <c r="BU166" s="9">
        <v>0.0</v>
      </c>
      <c r="BV166" s="9">
        <v>0.0</v>
      </c>
      <c r="BW166" s="10">
        <v>0.0</v>
      </c>
      <c r="BX166" s="14">
        <v>0.0</v>
      </c>
      <c r="BY166" s="9">
        <v>0.0</v>
      </c>
      <c r="BZ166" s="9">
        <v>0.0</v>
      </c>
      <c r="CA166" s="9">
        <v>0.0</v>
      </c>
      <c r="CB166" s="9">
        <v>0.0</v>
      </c>
      <c r="CC166" s="15" t="s">
        <v>148</v>
      </c>
      <c r="CD166" s="29"/>
    </row>
    <row r="167" ht="15.75" customHeight="1">
      <c r="A167" s="9">
        <v>166.0</v>
      </c>
      <c r="B167" s="10">
        <v>55.0</v>
      </c>
      <c r="C167" s="9" t="s">
        <v>81</v>
      </c>
      <c r="D167" s="11" t="s">
        <v>88</v>
      </c>
      <c r="E167" s="9">
        <v>9.0</v>
      </c>
      <c r="F167" s="12">
        <v>180.34</v>
      </c>
      <c r="G167" s="12">
        <v>116.6</v>
      </c>
      <c r="H167" s="12">
        <f t="shared" si="4"/>
        <v>35.85208519</v>
      </c>
      <c r="I167" s="9">
        <v>1.0</v>
      </c>
      <c r="J167" s="9">
        <v>2.0</v>
      </c>
      <c r="K167" s="9">
        <v>3.0</v>
      </c>
      <c r="L167" s="9">
        <v>0.0</v>
      </c>
      <c r="M167" s="9">
        <v>86.0</v>
      </c>
      <c r="N167" s="9">
        <v>0.0</v>
      </c>
      <c r="O167" s="9">
        <v>146.0</v>
      </c>
      <c r="P167" s="9">
        <v>0.0</v>
      </c>
      <c r="Q167" s="9">
        <v>18.0</v>
      </c>
      <c r="R167" s="9">
        <v>0.0</v>
      </c>
      <c r="S167" s="12">
        <v>98.1</v>
      </c>
      <c r="T167" s="9">
        <v>0.0</v>
      </c>
      <c r="U167" s="9">
        <v>97.0</v>
      </c>
      <c r="V167" s="9">
        <v>1.0</v>
      </c>
      <c r="W167" s="9">
        <v>0.0</v>
      </c>
      <c r="X167" s="9">
        <v>0.0</v>
      </c>
      <c r="Y167" s="9">
        <v>0.0</v>
      </c>
      <c r="Z167" s="9">
        <v>0.0</v>
      </c>
      <c r="AA167" s="9">
        <v>0.0</v>
      </c>
      <c r="AB167" s="9">
        <v>1.0</v>
      </c>
      <c r="AC167" s="9">
        <v>0.0</v>
      </c>
      <c r="AD167" s="9">
        <v>0.0</v>
      </c>
      <c r="AE167" s="9">
        <v>1.0</v>
      </c>
      <c r="AF167" s="9">
        <v>0.0</v>
      </c>
      <c r="AG167" s="9">
        <v>0.0</v>
      </c>
      <c r="AH167" s="9">
        <v>0.0</v>
      </c>
      <c r="AI167" s="9">
        <v>0.0</v>
      </c>
      <c r="AJ167" s="9">
        <v>0.0</v>
      </c>
      <c r="AK167" s="9">
        <v>0.0</v>
      </c>
      <c r="AL167" s="9">
        <v>0.0</v>
      </c>
      <c r="AM167" s="9">
        <v>0.0</v>
      </c>
      <c r="AN167" s="9">
        <v>0.0</v>
      </c>
      <c r="AO167" s="9">
        <v>1.0</v>
      </c>
      <c r="AP167" s="9">
        <v>1.0</v>
      </c>
      <c r="AQ167" s="9">
        <v>0.0</v>
      </c>
      <c r="AR167" s="9">
        <v>0.0</v>
      </c>
      <c r="AS167" s="9">
        <v>0.0</v>
      </c>
      <c r="AT167" s="9">
        <v>0.0</v>
      </c>
      <c r="AU167" s="9">
        <v>0.0</v>
      </c>
      <c r="AV167" s="9">
        <v>0.0</v>
      </c>
      <c r="AW167" s="9">
        <v>61.0</v>
      </c>
      <c r="AX167" s="24">
        <f>4.16/4.62</f>
        <v>0.9004329004</v>
      </c>
      <c r="AY167" s="22">
        <v>1.0</v>
      </c>
      <c r="AZ167" s="10">
        <v>0.0</v>
      </c>
      <c r="BA167" s="10">
        <v>0.0</v>
      </c>
      <c r="BB167" s="24">
        <f>2.65/3.19</f>
        <v>0.8307210031</v>
      </c>
      <c r="BC167" s="22">
        <v>1.0</v>
      </c>
      <c r="BD167" s="22">
        <v>0.0</v>
      </c>
      <c r="BE167" s="22"/>
      <c r="BF167" s="9">
        <v>0.0</v>
      </c>
      <c r="BG167" s="9" t="s">
        <v>84</v>
      </c>
      <c r="BH167" s="9">
        <v>1.0</v>
      </c>
      <c r="BI167" s="9">
        <v>0.0</v>
      </c>
      <c r="BJ167" s="9">
        <v>0.0</v>
      </c>
      <c r="BK167" s="9">
        <v>0.0</v>
      </c>
      <c r="BL167" s="9">
        <v>0.0</v>
      </c>
      <c r="BM167" s="9">
        <v>1.0</v>
      </c>
      <c r="BN167" s="9">
        <v>0.0</v>
      </c>
      <c r="BO167" s="9">
        <v>1.0</v>
      </c>
      <c r="BP167" s="9">
        <v>0.0</v>
      </c>
      <c r="BQ167" s="9">
        <v>1.0</v>
      </c>
      <c r="BR167" s="9">
        <v>0.0</v>
      </c>
      <c r="BS167" s="9">
        <v>0.0</v>
      </c>
      <c r="BT167" s="9">
        <v>0.0</v>
      </c>
      <c r="BU167" s="9">
        <v>0.0</v>
      </c>
      <c r="BV167" s="9">
        <v>0.0</v>
      </c>
      <c r="BW167" s="10">
        <v>0.0</v>
      </c>
      <c r="BX167" s="14">
        <v>0.0</v>
      </c>
      <c r="BY167" s="9">
        <v>1.0</v>
      </c>
      <c r="BZ167" s="9">
        <v>0.0</v>
      </c>
      <c r="CA167" s="9">
        <v>0.0</v>
      </c>
      <c r="CB167" s="9">
        <v>0.0</v>
      </c>
      <c r="CC167" s="15" t="s">
        <v>101</v>
      </c>
      <c r="CD167" s="29"/>
    </row>
    <row r="168" ht="15.75" customHeight="1">
      <c r="A168" s="9">
        <v>167.0</v>
      </c>
      <c r="B168" s="10">
        <v>59.0</v>
      </c>
      <c r="C168" s="9" t="s">
        <v>81</v>
      </c>
      <c r="D168" s="11" t="s">
        <v>82</v>
      </c>
      <c r="E168" s="9">
        <v>80.0</v>
      </c>
      <c r="F168" s="12">
        <v>180.34</v>
      </c>
      <c r="G168" s="12">
        <v>105.0</v>
      </c>
      <c r="H168" s="12">
        <f t="shared" si="4"/>
        <v>32.28532543</v>
      </c>
      <c r="I168" s="9">
        <v>0.0</v>
      </c>
      <c r="J168" s="9">
        <v>2.0</v>
      </c>
      <c r="K168" s="9">
        <v>2.0</v>
      </c>
      <c r="L168" s="9">
        <v>0.0</v>
      </c>
      <c r="M168" s="9">
        <v>84.0</v>
      </c>
      <c r="N168" s="9">
        <v>0.0</v>
      </c>
      <c r="O168" s="9">
        <v>126.0</v>
      </c>
      <c r="P168" s="9">
        <v>0.0</v>
      </c>
      <c r="Q168" s="9">
        <v>16.0</v>
      </c>
      <c r="R168" s="9">
        <v>0.0</v>
      </c>
      <c r="S168" s="12">
        <v>97.2</v>
      </c>
      <c r="T168" s="9">
        <v>0.0</v>
      </c>
      <c r="U168" s="9">
        <v>95.0</v>
      </c>
      <c r="V168" s="9">
        <v>0.0</v>
      </c>
      <c r="W168" s="9">
        <v>0.0</v>
      </c>
      <c r="X168" s="9">
        <v>0.0</v>
      </c>
      <c r="Y168" s="9">
        <v>0.0</v>
      </c>
      <c r="Z168" s="9">
        <v>0.0</v>
      </c>
      <c r="AA168" s="9">
        <v>0.0</v>
      </c>
      <c r="AB168" s="9">
        <v>0.0</v>
      </c>
      <c r="AC168" s="9">
        <v>0.0</v>
      </c>
      <c r="AD168" s="9">
        <v>0.0</v>
      </c>
      <c r="AE168" s="9">
        <v>1.0</v>
      </c>
      <c r="AF168" s="9">
        <v>0.0</v>
      </c>
      <c r="AG168" s="9">
        <v>0.0</v>
      </c>
      <c r="AH168" s="9">
        <v>0.0</v>
      </c>
      <c r="AI168" s="9">
        <v>0.0</v>
      </c>
      <c r="AJ168" s="9">
        <v>0.0</v>
      </c>
      <c r="AK168" s="9">
        <v>0.0</v>
      </c>
      <c r="AL168" s="9">
        <v>0.0</v>
      </c>
      <c r="AM168" s="9">
        <v>0.0</v>
      </c>
      <c r="AN168" s="9">
        <v>0.0</v>
      </c>
      <c r="AO168" s="9">
        <v>1.0</v>
      </c>
      <c r="AP168" s="9">
        <v>1.0</v>
      </c>
      <c r="AQ168" s="9">
        <v>1.0</v>
      </c>
      <c r="AR168" s="9">
        <v>1.0</v>
      </c>
      <c r="AS168" s="9">
        <v>1.0</v>
      </c>
      <c r="AT168" s="9">
        <v>1.0</v>
      </c>
      <c r="AU168" s="18">
        <v>1.0</v>
      </c>
      <c r="AV168" s="9">
        <v>0.0</v>
      </c>
      <c r="AW168" s="9">
        <v>46.3</v>
      </c>
      <c r="AX168" s="24">
        <f>4.87/3.44</f>
        <v>1.415697674</v>
      </c>
      <c r="AY168" s="22">
        <v>0.0</v>
      </c>
      <c r="AZ168" s="10">
        <v>0.0</v>
      </c>
      <c r="BA168" s="10">
        <v>1.0</v>
      </c>
      <c r="BB168" s="24">
        <f>2.44/3.36</f>
        <v>0.7261904762</v>
      </c>
      <c r="BC168" s="22">
        <v>2.0</v>
      </c>
      <c r="BD168" s="22">
        <v>1.0</v>
      </c>
      <c r="BE168" s="22"/>
      <c r="BF168" s="9">
        <v>0.0</v>
      </c>
      <c r="BG168" s="9" t="s">
        <v>84</v>
      </c>
      <c r="BH168" s="9">
        <v>1.0</v>
      </c>
      <c r="BI168" s="9">
        <v>0.0</v>
      </c>
      <c r="BJ168" s="9">
        <v>0.0</v>
      </c>
      <c r="BK168" s="9">
        <v>0.0</v>
      </c>
      <c r="BL168" s="9">
        <v>0.0</v>
      </c>
      <c r="BM168" s="9">
        <v>0.0</v>
      </c>
      <c r="BN168" s="9">
        <v>0.0</v>
      </c>
      <c r="BO168" s="9">
        <v>0.0</v>
      </c>
      <c r="BP168" s="9" t="s">
        <v>84</v>
      </c>
      <c r="BQ168" s="9" t="s">
        <v>84</v>
      </c>
      <c r="BR168" s="9">
        <v>1.0</v>
      </c>
      <c r="BS168" s="15" t="s">
        <v>152</v>
      </c>
      <c r="BT168" s="9">
        <v>0.0</v>
      </c>
      <c r="BU168" s="9">
        <v>0.0</v>
      </c>
      <c r="BV168" s="9">
        <v>0.0</v>
      </c>
      <c r="BW168" s="10" t="s">
        <v>94</v>
      </c>
      <c r="BX168" s="14" t="s">
        <v>94</v>
      </c>
      <c r="BY168" s="9">
        <v>0.0</v>
      </c>
      <c r="BZ168" s="9">
        <v>0.0</v>
      </c>
      <c r="CA168" s="9">
        <v>0.0</v>
      </c>
      <c r="CB168" s="9">
        <v>0.0</v>
      </c>
      <c r="CC168" s="15" t="s">
        <v>101</v>
      </c>
      <c r="CD168" s="29"/>
    </row>
    <row r="169" ht="15.75" customHeight="1">
      <c r="A169" s="9">
        <v>168.0</v>
      </c>
      <c r="B169" s="10">
        <v>79.0</v>
      </c>
      <c r="C169" s="9" t="s">
        <v>86</v>
      </c>
      <c r="D169" s="11" t="s">
        <v>82</v>
      </c>
      <c r="E169" s="9">
        <v>3.0</v>
      </c>
      <c r="F169" s="12">
        <v>177.8</v>
      </c>
      <c r="G169" s="12">
        <v>117.9</v>
      </c>
      <c r="H169" s="12">
        <f t="shared" si="4"/>
        <v>37.29497255</v>
      </c>
      <c r="I169" s="9">
        <v>1.0</v>
      </c>
      <c r="J169" s="9">
        <v>2.0</v>
      </c>
      <c r="K169" s="9">
        <v>2.0</v>
      </c>
      <c r="L169" s="9">
        <v>0.0</v>
      </c>
      <c r="M169" s="9">
        <v>73.0</v>
      </c>
      <c r="N169" s="9">
        <v>0.0</v>
      </c>
      <c r="O169" s="9">
        <v>177.0</v>
      </c>
      <c r="P169" s="9">
        <v>0.0</v>
      </c>
      <c r="Q169" s="9">
        <v>22.0</v>
      </c>
      <c r="R169" s="9">
        <v>0.0</v>
      </c>
      <c r="S169" s="12">
        <v>97.6</v>
      </c>
      <c r="T169" s="9">
        <v>0.0</v>
      </c>
      <c r="U169" s="9">
        <v>96.0</v>
      </c>
      <c r="V169" s="9">
        <v>0.0</v>
      </c>
      <c r="W169" s="9">
        <v>0.0</v>
      </c>
      <c r="X169" s="9">
        <v>0.0</v>
      </c>
      <c r="Y169" s="9">
        <v>0.0</v>
      </c>
      <c r="Z169" s="9">
        <v>0.0</v>
      </c>
      <c r="AA169" s="9">
        <v>0.0</v>
      </c>
      <c r="AB169" s="9">
        <v>0.0</v>
      </c>
      <c r="AC169" s="9">
        <v>0.0</v>
      </c>
      <c r="AD169" s="9">
        <v>0.0</v>
      </c>
      <c r="AE169" s="9">
        <v>0.0</v>
      </c>
      <c r="AF169" s="9">
        <v>0.0</v>
      </c>
      <c r="AG169" s="9">
        <v>0.0</v>
      </c>
      <c r="AH169" s="9">
        <v>0.0</v>
      </c>
      <c r="AI169" s="9">
        <v>1.0</v>
      </c>
      <c r="AJ169" s="9">
        <v>1.0</v>
      </c>
      <c r="AK169" s="9">
        <v>0.0</v>
      </c>
      <c r="AL169" s="9">
        <v>0.0</v>
      </c>
      <c r="AM169" s="9">
        <v>0.0</v>
      </c>
      <c r="AN169" s="9">
        <v>0.0</v>
      </c>
      <c r="AO169" s="9">
        <v>1.0</v>
      </c>
      <c r="AP169" s="9">
        <v>1.0</v>
      </c>
      <c r="AQ169" s="9">
        <v>0.0</v>
      </c>
      <c r="AR169" s="9">
        <v>0.0</v>
      </c>
      <c r="AS169" s="9">
        <v>1.0</v>
      </c>
      <c r="AT169" s="9">
        <v>0.0</v>
      </c>
      <c r="AU169" s="9">
        <v>0.0</v>
      </c>
      <c r="AV169" s="9">
        <v>0.0</v>
      </c>
      <c r="AW169" s="9">
        <v>20.4</v>
      </c>
      <c r="AX169" s="24">
        <f>4.45/4.37</f>
        <v>1.018306636</v>
      </c>
      <c r="AY169" s="22">
        <v>0.0</v>
      </c>
      <c r="AZ169" s="10">
        <v>0.0</v>
      </c>
      <c r="BA169" s="10">
        <v>1.0</v>
      </c>
      <c r="BB169" s="24">
        <f>3.44/3.75</f>
        <v>0.9173333333</v>
      </c>
      <c r="BC169" s="22">
        <v>1.0</v>
      </c>
      <c r="BD169" s="22">
        <v>0.0</v>
      </c>
      <c r="BE169" s="22"/>
      <c r="BF169" s="9">
        <v>0.0</v>
      </c>
      <c r="BG169" s="9" t="s">
        <v>84</v>
      </c>
      <c r="BH169" s="9">
        <v>0.0</v>
      </c>
      <c r="BI169" s="9">
        <v>0.0</v>
      </c>
      <c r="BJ169" s="9">
        <v>0.0</v>
      </c>
      <c r="BK169" s="9">
        <v>0.0</v>
      </c>
      <c r="BL169" s="9">
        <v>0.0</v>
      </c>
      <c r="BM169" s="9">
        <v>0.0</v>
      </c>
      <c r="BN169" s="9">
        <v>0.0</v>
      </c>
      <c r="BO169" s="9">
        <v>0.0</v>
      </c>
      <c r="BP169" s="9" t="s">
        <v>84</v>
      </c>
      <c r="BQ169" s="9" t="s">
        <v>84</v>
      </c>
      <c r="BR169" s="9">
        <v>0.0</v>
      </c>
      <c r="BS169" s="9">
        <v>0.0</v>
      </c>
      <c r="BT169" s="9">
        <v>0.0</v>
      </c>
      <c r="BU169" s="9">
        <v>0.0</v>
      </c>
      <c r="BV169" s="9">
        <v>0.0</v>
      </c>
      <c r="BW169" s="10">
        <v>0.0</v>
      </c>
      <c r="BX169" s="14">
        <v>0.0</v>
      </c>
      <c r="BY169" s="9">
        <v>0.0</v>
      </c>
      <c r="BZ169" s="9">
        <v>0.0</v>
      </c>
      <c r="CA169" s="9">
        <v>0.0</v>
      </c>
      <c r="CB169" s="9">
        <v>0.0</v>
      </c>
      <c r="CC169" s="15" t="s">
        <v>87</v>
      </c>
      <c r="CD169" s="29"/>
    </row>
    <row r="170" ht="15.75" customHeight="1">
      <c r="A170" s="9">
        <v>169.0</v>
      </c>
      <c r="B170" s="10">
        <v>58.0</v>
      </c>
      <c r="C170" s="9" t="s">
        <v>153</v>
      </c>
      <c r="D170" s="11" t="s">
        <v>88</v>
      </c>
      <c r="E170" s="9">
        <v>4.0</v>
      </c>
      <c r="F170" s="12">
        <v>187.96</v>
      </c>
      <c r="G170" s="12">
        <v>128.8</v>
      </c>
      <c r="H170" s="12">
        <f t="shared" si="4"/>
        <v>36.45734099</v>
      </c>
      <c r="I170" s="9">
        <v>1.0</v>
      </c>
      <c r="J170" s="9">
        <v>2.0</v>
      </c>
      <c r="K170" s="9">
        <v>2.0</v>
      </c>
      <c r="L170" s="9">
        <v>0.0</v>
      </c>
      <c r="M170" s="9">
        <v>75.0</v>
      </c>
      <c r="N170" s="9">
        <v>0.0</v>
      </c>
      <c r="O170" s="9">
        <v>163.0</v>
      </c>
      <c r="P170" s="9">
        <v>0.0</v>
      </c>
      <c r="Q170" s="9">
        <v>19.0</v>
      </c>
      <c r="R170" s="9">
        <v>1.0</v>
      </c>
      <c r="S170" s="12">
        <v>96.0</v>
      </c>
      <c r="T170" s="9">
        <v>0.0</v>
      </c>
      <c r="U170" s="9">
        <v>97.0</v>
      </c>
      <c r="V170" s="9">
        <v>0.0</v>
      </c>
      <c r="W170" s="9">
        <v>0.0</v>
      </c>
      <c r="X170" s="9">
        <v>0.0</v>
      </c>
      <c r="Y170" s="9">
        <v>1.0</v>
      </c>
      <c r="Z170" s="9">
        <v>0.0</v>
      </c>
      <c r="AA170" s="9">
        <v>0.0</v>
      </c>
      <c r="AB170" s="9">
        <v>1.0</v>
      </c>
      <c r="AC170" s="9">
        <v>0.0</v>
      </c>
      <c r="AD170" s="9">
        <v>0.0</v>
      </c>
      <c r="AE170" s="9">
        <v>0.0</v>
      </c>
      <c r="AF170" s="9">
        <v>0.0</v>
      </c>
      <c r="AG170" s="9">
        <v>1.0</v>
      </c>
      <c r="AH170" s="9">
        <v>0.0</v>
      </c>
      <c r="AI170" s="9">
        <v>0.0</v>
      </c>
      <c r="AJ170" s="9">
        <v>0.0</v>
      </c>
      <c r="AK170" s="9">
        <v>1.0</v>
      </c>
      <c r="AL170" s="9">
        <v>0.0</v>
      </c>
      <c r="AM170" s="9">
        <v>0.0</v>
      </c>
      <c r="AN170" s="9">
        <v>0.0</v>
      </c>
      <c r="AO170" s="9">
        <v>1.0</v>
      </c>
      <c r="AP170" s="9">
        <v>1.0</v>
      </c>
      <c r="AQ170" s="9">
        <v>1.0</v>
      </c>
      <c r="AR170" s="9">
        <v>1.0</v>
      </c>
      <c r="AS170" s="9">
        <v>1.0</v>
      </c>
      <c r="AT170" s="9">
        <v>0.0</v>
      </c>
      <c r="AU170" s="9">
        <v>0.0</v>
      </c>
      <c r="AV170" s="9">
        <v>0.0</v>
      </c>
      <c r="AW170" s="9">
        <v>93.7</v>
      </c>
      <c r="AX170" s="24">
        <f>5.86/4.34</f>
        <v>1.350230415</v>
      </c>
      <c r="AY170" s="22">
        <v>0.0</v>
      </c>
      <c r="AZ170" s="10">
        <v>0.0</v>
      </c>
      <c r="BA170" s="10">
        <v>1.0</v>
      </c>
      <c r="BB170" s="24">
        <f>4.24/3.11</f>
        <v>1.363344051</v>
      </c>
      <c r="BC170" s="22">
        <v>1.0</v>
      </c>
      <c r="BD170" s="22">
        <v>1.0</v>
      </c>
      <c r="BE170" s="22"/>
      <c r="BF170" s="9">
        <v>0.0</v>
      </c>
      <c r="BG170" s="9" t="s">
        <v>84</v>
      </c>
      <c r="BH170" s="9">
        <v>1.0</v>
      </c>
      <c r="BI170" s="9">
        <v>0.0</v>
      </c>
      <c r="BJ170" s="9">
        <v>0.0</v>
      </c>
      <c r="BK170" s="9">
        <v>0.0</v>
      </c>
      <c r="BL170" s="9">
        <v>0.0</v>
      </c>
      <c r="BM170" s="9">
        <v>0.0</v>
      </c>
      <c r="BN170" s="9">
        <v>0.0</v>
      </c>
      <c r="BO170" s="9">
        <v>1.0</v>
      </c>
      <c r="BP170" s="9">
        <v>0.0</v>
      </c>
      <c r="BQ170" s="9">
        <v>1.0</v>
      </c>
      <c r="BR170" s="9">
        <v>0.0</v>
      </c>
      <c r="BS170" s="9">
        <v>0.0</v>
      </c>
      <c r="BT170" s="9">
        <v>0.0</v>
      </c>
      <c r="BU170" s="9">
        <v>0.0</v>
      </c>
      <c r="BV170" s="9">
        <v>0.0</v>
      </c>
      <c r="BW170" s="10" t="s">
        <v>94</v>
      </c>
      <c r="BX170" s="14" t="s">
        <v>94</v>
      </c>
      <c r="BY170" s="9">
        <v>0.0</v>
      </c>
      <c r="BZ170" s="9">
        <v>1.0</v>
      </c>
      <c r="CA170" s="9">
        <v>0.0</v>
      </c>
      <c r="CB170" s="9">
        <v>0.0</v>
      </c>
      <c r="CC170" s="15" t="s">
        <v>92</v>
      </c>
      <c r="CD170" s="29"/>
    </row>
    <row r="171" ht="15.75" customHeight="1">
      <c r="A171" s="9">
        <v>170.0</v>
      </c>
      <c r="B171" s="10">
        <v>71.0</v>
      </c>
      <c r="C171" s="9" t="s">
        <v>86</v>
      </c>
      <c r="D171" s="11" t="s">
        <v>82</v>
      </c>
      <c r="E171" s="9">
        <v>7.0</v>
      </c>
      <c r="F171" s="12">
        <v>170.18</v>
      </c>
      <c r="G171" s="12">
        <v>90.7</v>
      </c>
      <c r="H171" s="12">
        <f t="shared" si="4"/>
        <v>31.31772804</v>
      </c>
      <c r="I171" s="9">
        <v>1.0</v>
      </c>
      <c r="J171" s="9">
        <v>3.0</v>
      </c>
      <c r="K171" s="9">
        <v>2.0</v>
      </c>
      <c r="L171" s="9">
        <v>1.0</v>
      </c>
      <c r="M171" s="9">
        <v>118.0</v>
      </c>
      <c r="N171" s="9">
        <v>0.0</v>
      </c>
      <c r="O171" s="9">
        <v>108.0</v>
      </c>
      <c r="P171" s="9">
        <v>0.0</v>
      </c>
      <c r="Q171" s="9">
        <v>24.0</v>
      </c>
      <c r="R171" s="9">
        <v>0.0</v>
      </c>
      <c r="S171" s="12">
        <v>97.4</v>
      </c>
      <c r="T171" s="9">
        <v>0.0</v>
      </c>
      <c r="U171" s="9">
        <v>98.0</v>
      </c>
      <c r="V171" s="9">
        <v>1.0</v>
      </c>
      <c r="W171" s="9">
        <v>0.0</v>
      </c>
      <c r="X171" s="9">
        <v>1.0</v>
      </c>
      <c r="Y171" s="9">
        <v>0.0</v>
      </c>
      <c r="Z171" s="9">
        <v>0.0</v>
      </c>
      <c r="AA171" s="9">
        <v>0.0</v>
      </c>
      <c r="AB171" s="9">
        <v>0.0</v>
      </c>
      <c r="AC171" s="9">
        <v>0.0</v>
      </c>
      <c r="AD171" s="9">
        <v>0.0</v>
      </c>
      <c r="AE171" s="9">
        <v>0.0</v>
      </c>
      <c r="AF171" s="9">
        <v>0.0</v>
      </c>
      <c r="AG171" s="9">
        <v>1.0</v>
      </c>
      <c r="AH171" s="9">
        <v>0.0</v>
      </c>
      <c r="AI171" s="9">
        <v>1.0</v>
      </c>
      <c r="AJ171" s="9">
        <v>0.0</v>
      </c>
      <c r="AK171" s="9">
        <v>0.0</v>
      </c>
      <c r="AL171" s="9">
        <v>0.0</v>
      </c>
      <c r="AM171" s="9">
        <v>0.0</v>
      </c>
      <c r="AN171" s="9">
        <v>1.0</v>
      </c>
      <c r="AO171" s="9">
        <v>1.0</v>
      </c>
      <c r="AP171" s="9">
        <v>1.0</v>
      </c>
      <c r="AQ171" s="9">
        <v>1.0</v>
      </c>
      <c r="AR171" s="9">
        <v>1.0</v>
      </c>
      <c r="AS171" s="9" t="s">
        <v>84</v>
      </c>
      <c r="AT171" s="9" t="s">
        <v>84</v>
      </c>
      <c r="AU171" s="9" t="s">
        <v>84</v>
      </c>
      <c r="AV171" s="9" t="s">
        <v>84</v>
      </c>
      <c r="AW171" s="9" t="s">
        <v>84</v>
      </c>
      <c r="AX171" s="24">
        <f>4.09/3.54</f>
        <v>1.155367232</v>
      </c>
      <c r="AY171" s="22">
        <v>0.0</v>
      </c>
      <c r="AZ171" s="10">
        <v>0.0</v>
      </c>
      <c r="BA171" s="10">
        <v>1.0</v>
      </c>
      <c r="BB171" s="24">
        <f>2.95/2.92</f>
        <v>1.010273973</v>
      </c>
      <c r="BC171" s="22">
        <v>4.0</v>
      </c>
      <c r="BD171" s="22">
        <v>1.0</v>
      </c>
      <c r="BE171" s="22"/>
      <c r="BF171" s="9">
        <v>0.0</v>
      </c>
      <c r="BG171" s="9" t="s">
        <v>84</v>
      </c>
      <c r="BH171" s="9">
        <v>1.0</v>
      </c>
      <c r="BI171" s="9">
        <v>0.0</v>
      </c>
      <c r="BJ171" s="9">
        <v>0.0</v>
      </c>
      <c r="BK171" s="9">
        <v>0.0</v>
      </c>
      <c r="BL171" s="9">
        <v>0.0</v>
      </c>
      <c r="BM171" s="9">
        <v>0.0</v>
      </c>
      <c r="BN171" s="9">
        <v>0.0</v>
      </c>
      <c r="BO171" s="9">
        <v>1.0</v>
      </c>
      <c r="BP171" s="9">
        <v>1.0</v>
      </c>
      <c r="BQ171" s="9">
        <v>1.0</v>
      </c>
      <c r="BR171" s="9">
        <v>0.0</v>
      </c>
      <c r="BS171" s="9">
        <v>0.0</v>
      </c>
      <c r="BT171" s="9">
        <v>0.0</v>
      </c>
      <c r="BU171" s="9">
        <v>0.0</v>
      </c>
      <c r="BV171" s="9">
        <v>0.0</v>
      </c>
      <c r="BW171" s="10" t="s">
        <v>94</v>
      </c>
      <c r="BX171" s="14" t="s">
        <v>94</v>
      </c>
      <c r="BY171" s="9">
        <v>0.0</v>
      </c>
      <c r="BZ171" s="9">
        <v>1.0</v>
      </c>
      <c r="CA171" s="9">
        <v>0.0</v>
      </c>
      <c r="CB171" s="9">
        <v>0.0</v>
      </c>
      <c r="CC171" s="15" t="s">
        <v>154</v>
      </c>
      <c r="CD171" s="29"/>
    </row>
    <row r="172" ht="15.75" customHeight="1">
      <c r="A172" s="9">
        <v>171.0</v>
      </c>
      <c r="B172" s="10">
        <v>52.0</v>
      </c>
      <c r="C172" s="9" t="s">
        <v>86</v>
      </c>
      <c r="D172" s="11" t="s">
        <v>82</v>
      </c>
      <c r="E172" s="9">
        <v>4.0</v>
      </c>
      <c r="F172" s="12">
        <v>175.26</v>
      </c>
      <c r="G172" s="12">
        <v>122.5</v>
      </c>
      <c r="H172" s="12">
        <f t="shared" si="4"/>
        <v>39.88140722</v>
      </c>
      <c r="I172" s="9">
        <v>1.0</v>
      </c>
      <c r="J172" s="9">
        <v>1.0</v>
      </c>
      <c r="K172" s="9">
        <v>2.0</v>
      </c>
      <c r="L172" s="9">
        <v>0.0</v>
      </c>
      <c r="M172" s="9">
        <v>109.0</v>
      </c>
      <c r="N172" s="9">
        <v>0.0</v>
      </c>
      <c r="O172" s="9">
        <v>137.0</v>
      </c>
      <c r="P172" s="9">
        <v>0.0</v>
      </c>
      <c r="Q172" s="9">
        <v>17.0</v>
      </c>
      <c r="R172" s="9">
        <v>0.0</v>
      </c>
      <c r="S172" s="12">
        <v>99.6</v>
      </c>
      <c r="T172" s="9">
        <v>0.0</v>
      </c>
      <c r="U172" s="9">
        <v>92.0</v>
      </c>
      <c r="V172" s="9">
        <v>0.0</v>
      </c>
      <c r="W172" s="9">
        <v>0.0</v>
      </c>
      <c r="X172" s="9">
        <v>0.0</v>
      </c>
      <c r="Y172" s="9">
        <v>1.0</v>
      </c>
      <c r="Z172" s="9">
        <v>0.0</v>
      </c>
      <c r="AA172" s="9">
        <v>0.0</v>
      </c>
      <c r="AB172" s="9">
        <v>1.0</v>
      </c>
      <c r="AC172" s="9">
        <v>0.0</v>
      </c>
      <c r="AD172" s="9">
        <v>0.0</v>
      </c>
      <c r="AE172" s="9">
        <v>1.0</v>
      </c>
      <c r="AF172" s="9">
        <v>0.0</v>
      </c>
      <c r="AG172" s="9">
        <v>0.0</v>
      </c>
      <c r="AH172" s="9">
        <v>0.0</v>
      </c>
      <c r="AI172" s="9">
        <v>0.0</v>
      </c>
      <c r="AJ172" s="9">
        <v>0.0</v>
      </c>
      <c r="AK172" s="9">
        <v>0.0</v>
      </c>
      <c r="AL172" s="9">
        <v>0.0</v>
      </c>
      <c r="AM172" s="9">
        <v>0.0</v>
      </c>
      <c r="AN172" s="9">
        <v>0.0</v>
      </c>
      <c r="AO172" s="9">
        <v>1.0</v>
      </c>
      <c r="AP172" s="9">
        <v>1.0</v>
      </c>
      <c r="AQ172" s="9" t="s">
        <v>84</v>
      </c>
      <c r="AR172" s="9" t="s">
        <v>84</v>
      </c>
      <c r="AS172" s="9">
        <v>1.0</v>
      </c>
      <c r="AT172" s="9">
        <v>1.0</v>
      </c>
      <c r="AU172" s="18">
        <v>1.0</v>
      </c>
      <c r="AV172" s="9">
        <v>0.0</v>
      </c>
      <c r="AW172" s="9">
        <v>49.9</v>
      </c>
      <c r="AX172" s="24">
        <f>4.72/4.51</f>
        <v>1.046563193</v>
      </c>
      <c r="AY172" s="22">
        <v>0.0</v>
      </c>
      <c r="AZ172" s="10">
        <v>0.0</v>
      </c>
      <c r="BA172" s="10">
        <v>1.0</v>
      </c>
      <c r="BB172" s="24">
        <f>3.22/3.77</f>
        <v>0.8541114058</v>
      </c>
      <c r="BC172" s="22">
        <v>2.0</v>
      </c>
      <c r="BD172" s="22">
        <v>1.0</v>
      </c>
      <c r="BE172" s="22"/>
      <c r="BF172" s="9" t="s">
        <v>84</v>
      </c>
      <c r="BG172" s="9" t="s">
        <v>84</v>
      </c>
      <c r="BH172" s="9">
        <v>0.0</v>
      </c>
      <c r="BI172" s="9">
        <v>0.0</v>
      </c>
      <c r="BJ172" s="9">
        <v>0.0</v>
      </c>
      <c r="BK172" s="9">
        <v>0.0</v>
      </c>
      <c r="BL172" s="9">
        <v>0.0</v>
      </c>
      <c r="BM172" s="9">
        <v>0.0</v>
      </c>
      <c r="BN172" s="9">
        <v>0.0</v>
      </c>
      <c r="BO172" s="9">
        <v>0.0</v>
      </c>
      <c r="BP172" s="9" t="s">
        <v>84</v>
      </c>
      <c r="BQ172" s="9" t="s">
        <v>84</v>
      </c>
      <c r="BR172" s="9">
        <v>0.0</v>
      </c>
      <c r="BS172" s="9">
        <v>0.0</v>
      </c>
      <c r="BT172" s="9">
        <v>0.0</v>
      </c>
      <c r="BU172" s="9">
        <v>0.0</v>
      </c>
      <c r="BV172" s="9">
        <v>0.0</v>
      </c>
      <c r="BW172" s="10">
        <v>0.0</v>
      </c>
      <c r="BX172" s="14">
        <v>1.0</v>
      </c>
      <c r="BY172" s="9">
        <v>0.0</v>
      </c>
      <c r="BZ172" s="9">
        <v>0.0</v>
      </c>
      <c r="CA172" s="9">
        <v>0.0</v>
      </c>
      <c r="CB172" s="9">
        <v>0.0</v>
      </c>
      <c r="CC172" s="15" t="s">
        <v>101</v>
      </c>
      <c r="CD172" s="29"/>
    </row>
    <row r="173" ht="15.75" customHeight="1">
      <c r="A173" s="9">
        <v>172.0</v>
      </c>
      <c r="B173" s="10">
        <v>56.0</v>
      </c>
      <c r="C173" s="9" t="s">
        <v>86</v>
      </c>
      <c r="D173" s="11" t="s">
        <v>82</v>
      </c>
      <c r="E173" s="9">
        <v>1.0</v>
      </c>
      <c r="F173" s="12">
        <v>165.1</v>
      </c>
      <c r="G173" s="12">
        <v>130.6</v>
      </c>
      <c r="H173" s="12">
        <f t="shared" si="4"/>
        <v>47.91252186</v>
      </c>
      <c r="I173" s="9">
        <v>1.0</v>
      </c>
      <c r="J173" s="9">
        <v>5.0</v>
      </c>
      <c r="K173" s="9">
        <v>3.0</v>
      </c>
      <c r="L173" s="9">
        <v>1.0</v>
      </c>
      <c r="M173" s="9">
        <v>132.0</v>
      </c>
      <c r="N173" s="9">
        <v>0.0</v>
      </c>
      <c r="O173" s="9">
        <v>121.0</v>
      </c>
      <c r="P173" s="9">
        <v>0.0</v>
      </c>
      <c r="Q173" s="9">
        <v>26.0</v>
      </c>
      <c r="R173" s="9">
        <v>0.0</v>
      </c>
      <c r="S173" s="12">
        <v>96.8</v>
      </c>
      <c r="T173" s="9" t="s">
        <v>84</v>
      </c>
      <c r="U173" s="9" t="s">
        <v>84</v>
      </c>
      <c r="V173" s="9">
        <v>1.0</v>
      </c>
      <c r="W173" s="9">
        <v>0.0</v>
      </c>
      <c r="X173" s="9">
        <v>1.0</v>
      </c>
      <c r="Y173" s="9">
        <v>0.0</v>
      </c>
      <c r="Z173" s="9">
        <v>0.0</v>
      </c>
      <c r="AA173" s="9">
        <v>0.0</v>
      </c>
      <c r="AB173" s="9">
        <v>0.0</v>
      </c>
      <c r="AC173" s="9">
        <v>1.0</v>
      </c>
      <c r="AD173" s="9">
        <v>0.0</v>
      </c>
      <c r="AE173" s="9">
        <v>1.0</v>
      </c>
      <c r="AF173" s="9">
        <v>1.0</v>
      </c>
      <c r="AG173" s="9">
        <v>0.0</v>
      </c>
      <c r="AH173" s="9">
        <v>0.0</v>
      </c>
      <c r="AI173" s="9">
        <v>0.0</v>
      </c>
      <c r="AJ173" s="9">
        <v>0.0</v>
      </c>
      <c r="AK173" s="9">
        <v>0.0</v>
      </c>
      <c r="AL173" s="9">
        <v>0.0</v>
      </c>
      <c r="AM173" s="9">
        <v>0.0</v>
      </c>
      <c r="AN173" s="9">
        <v>1.0</v>
      </c>
      <c r="AO173" s="9" t="s">
        <v>84</v>
      </c>
      <c r="AP173" s="9" t="s">
        <v>84</v>
      </c>
      <c r="AQ173" s="9">
        <v>1.0</v>
      </c>
      <c r="AR173" s="9">
        <v>1.0</v>
      </c>
      <c r="AS173" s="9">
        <v>1.0</v>
      </c>
      <c r="AT173" s="9">
        <v>1.0</v>
      </c>
      <c r="AU173" s="18">
        <v>1.0</v>
      </c>
      <c r="AV173" s="9">
        <v>0.0</v>
      </c>
      <c r="AW173" s="9" t="s">
        <v>97</v>
      </c>
      <c r="AX173" s="24">
        <f>4.78/3.85</f>
        <v>1.241558442</v>
      </c>
      <c r="AY173" s="22">
        <v>0.0</v>
      </c>
      <c r="AZ173" s="10">
        <v>0.0</v>
      </c>
      <c r="BA173" s="10">
        <v>1.0</v>
      </c>
      <c r="BB173" s="24">
        <f>2.98/3.41</f>
        <v>0.8739002933</v>
      </c>
      <c r="BC173" s="22">
        <v>2.0</v>
      </c>
      <c r="BD173" s="22">
        <v>1.0</v>
      </c>
      <c r="BE173" s="22"/>
      <c r="BF173" s="9">
        <v>0.0</v>
      </c>
      <c r="BG173" s="9" t="s">
        <v>84</v>
      </c>
      <c r="BH173" s="9">
        <v>1.0</v>
      </c>
      <c r="BI173" s="9">
        <v>0.0</v>
      </c>
      <c r="BJ173" s="9">
        <v>1.0</v>
      </c>
      <c r="BK173" s="9">
        <v>0.0</v>
      </c>
      <c r="BL173" s="9">
        <v>0.0</v>
      </c>
      <c r="BM173" s="9">
        <v>0.0</v>
      </c>
      <c r="BN173" s="9">
        <v>0.0</v>
      </c>
      <c r="BO173" s="9">
        <v>0.0</v>
      </c>
      <c r="BP173" s="9" t="s">
        <v>84</v>
      </c>
      <c r="BQ173" s="9" t="s">
        <v>84</v>
      </c>
      <c r="BR173" s="9">
        <v>0.0</v>
      </c>
      <c r="BS173" s="9">
        <v>0.0</v>
      </c>
      <c r="BT173" s="9">
        <v>0.0</v>
      </c>
      <c r="BU173" s="9">
        <v>0.0</v>
      </c>
      <c r="BV173" s="9">
        <v>1.0</v>
      </c>
      <c r="BW173" s="10" t="s">
        <v>84</v>
      </c>
      <c r="BX173" s="14" t="s">
        <v>84</v>
      </c>
      <c r="BY173" s="9" t="s">
        <v>84</v>
      </c>
      <c r="BZ173" s="9" t="s">
        <v>84</v>
      </c>
      <c r="CA173" s="9" t="s">
        <v>84</v>
      </c>
      <c r="CB173" s="9" t="s">
        <v>84</v>
      </c>
      <c r="CC173" s="15" t="s">
        <v>155</v>
      </c>
      <c r="CD173" s="29"/>
    </row>
    <row r="174" ht="15.75" customHeight="1">
      <c r="A174" s="9">
        <v>173.0</v>
      </c>
      <c r="B174" s="10">
        <v>76.0</v>
      </c>
      <c r="C174" s="9" t="s">
        <v>81</v>
      </c>
      <c r="D174" s="11" t="s">
        <v>131</v>
      </c>
      <c r="E174" s="9">
        <v>4.0</v>
      </c>
      <c r="F174" s="12">
        <v>172.72</v>
      </c>
      <c r="G174" s="12">
        <v>77.1</v>
      </c>
      <c r="H174" s="12">
        <f t="shared" si="4"/>
        <v>25.84455861</v>
      </c>
      <c r="I174" s="9">
        <v>1.0</v>
      </c>
      <c r="J174" s="9">
        <v>5.0</v>
      </c>
      <c r="K174" s="9">
        <v>2.0</v>
      </c>
      <c r="L174" s="9">
        <v>1.0</v>
      </c>
      <c r="M174" s="9">
        <v>125.0</v>
      </c>
      <c r="N174" s="9">
        <v>0.0</v>
      </c>
      <c r="O174" s="9">
        <v>135.0</v>
      </c>
      <c r="P174" s="9">
        <v>0.0</v>
      </c>
      <c r="Q174" s="9">
        <v>20.0</v>
      </c>
      <c r="R174" s="9">
        <v>0.0</v>
      </c>
      <c r="S174" s="12">
        <v>97.1</v>
      </c>
      <c r="T174" s="9">
        <v>0.0</v>
      </c>
      <c r="U174" s="9">
        <v>94.0</v>
      </c>
      <c r="V174" s="9">
        <v>1.0</v>
      </c>
      <c r="W174" s="9">
        <v>0.0</v>
      </c>
      <c r="X174" s="9">
        <v>0.0</v>
      </c>
      <c r="Y174" s="9">
        <v>0.0</v>
      </c>
      <c r="Z174" s="9">
        <v>0.0</v>
      </c>
      <c r="AA174" s="9">
        <v>1.0</v>
      </c>
      <c r="AB174" s="9">
        <v>1.0</v>
      </c>
      <c r="AC174" s="9">
        <v>1.0</v>
      </c>
      <c r="AD174" s="9">
        <v>0.0</v>
      </c>
      <c r="AE174" s="9">
        <v>1.0</v>
      </c>
      <c r="AF174" s="9">
        <v>0.0</v>
      </c>
      <c r="AG174" s="9">
        <v>1.0</v>
      </c>
      <c r="AH174" s="9">
        <v>0.0</v>
      </c>
      <c r="AI174" s="9">
        <v>0.0</v>
      </c>
      <c r="AJ174" s="9">
        <v>0.0</v>
      </c>
      <c r="AK174" s="9">
        <v>0.0</v>
      </c>
      <c r="AL174" s="9">
        <v>0.0</v>
      </c>
      <c r="AM174" s="9">
        <v>0.0</v>
      </c>
      <c r="AN174" s="9">
        <v>1.0</v>
      </c>
      <c r="AO174" s="9">
        <v>1.0</v>
      </c>
      <c r="AP174" s="9">
        <v>1.0</v>
      </c>
      <c r="AQ174" s="9">
        <v>1.0</v>
      </c>
      <c r="AR174" s="9">
        <v>1.0</v>
      </c>
      <c r="AS174" s="9">
        <v>0.0</v>
      </c>
      <c r="AT174" s="9">
        <v>0.0</v>
      </c>
      <c r="AU174" s="9">
        <v>0.0</v>
      </c>
      <c r="AV174" s="9">
        <v>0.0</v>
      </c>
      <c r="AW174" s="9">
        <v>40.7</v>
      </c>
      <c r="AX174" s="24">
        <f>4.86/3.59</f>
        <v>1.353760446</v>
      </c>
      <c r="AY174" s="22">
        <v>0.0</v>
      </c>
      <c r="AZ174" s="10">
        <v>0.0</v>
      </c>
      <c r="BA174" s="10">
        <v>1.0</v>
      </c>
      <c r="BB174" s="24">
        <f>2.6/3.56</f>
        <v>0.7303370787</v>
      </c>
      <c r="BC174" s="22">
        <v>5.0</v>
      </c>
      <c r="BD174" s="22">
        <v>1.0</v>
      </c>
      <c r="BE174" s="22"/>
      <c r="BF174" s="9">
        <v>0.0</v>
      </c>
      <c r="BG174" s="9" t="s">
        <v>84</v>
      </c>
      <c r="BH174" s="9">
        <v>1.0</v>
      </c>
      <c r="BI174" s="9">
        <v>0.0</v>
      </c>
      <c r="BJ174" s="9">
        <v>0.0</v>
      </c>
      <c r="BK174" s="9">
        <v>0.0</v>
      </c>
      <c r="BL174" s="9">
        <v>0.0</v>
      </c>
      <c r="BM174" s="9">
        <v>0.0</v>
      </c>
      <c r="BN174" s="9">
        <v>0.0</v>
      </c>
      <c r="BO174" s="9">
        <v>1.0</v>
      </c>
      <c r="BP174" s="9">
        <v>0.0</v>
      </c>
      <c r="BQ174" s="9">
        <v>1.0</v>
      </c>
      <c r="BR174" s="9">
        <v>0.0</v>
      </c>
      <c r="BS174" s="9">
        <v>0.0</v>
      </c>
      <c r="BT174" s="9">
        <v>0.0</v>
      </c>
      <c r="BU174" s="9">
        <v>0.0</v>
      </c>
      <c r="BV174" s="9">
        <v>0.0</v>
      </c>
      <c r="BW174" s="10" t="s">
        <v>94</v>
      </c>
      <c r="BX174" s="14" t="s">
        <v>94</v>
      </c>
      <c r="BY174" s="9">
        <v>0.0</v>
      </c>
      <c r="BZ174" s="9">
        <v>0.0</v>
      </c>
      <c r="CA174" s="9">
        <v>0.0</v>
      </c>
      <c r="CB174" s="9">
        <v>0.0</v>
      </c>
      <c r="CC174" s="15" t="s">
        <v>113</v>
      </c>
      <c r="CD174" s="29"/>
    </row>
    <row r="175" ht="15.75" customHeight="1">
      <c r="A175" s="9">
        <v>174.0</v>
      </c>
      <c r="B175" s="10">
        <v>87.0</v>
      </c>
      <c r="C175" s="9" t="s">
        <v>81</v>
      </c>
      <c r="D175" s="11" t="s">
        <v>82</v>
      </c>
      <c r="E175" s="9">
        <v>3.0</v>
      </c>
      <c r="F175" s="12">
        <v>182.88</v>
      </c>
      <c r="G175" s="12">
        <v>93.0</v>
      </c>
      <c r="H175" s="12">
        <f t="shared" si="4"/>
        <v>27.80676858</v>
      </c>
      <c r="I175" s="9">
        <v>1.0</v>
      </c>
      <c r="J175" s="9">
        <v>5.0</v>
      </c>
      <c r="K175" s="19">
        <v>2.0</v>
      </c>
      <c r="L175" s="9">
        <v>0.0</v>
      </c>
      <c r="M175" s="9">
        <v>94.0</v>
      </c>
      <c r="N175" s="9">
        <v>1.0</v>
      </c>
      <c r="O175" s="9">
        <v>85.0</v>
      </c>
      <c r="P175" s="9">
        <v>0.0</v>
      </c>
      <c r="Q175" s="9">
        <v>20.0</v>
      </c>
      <c r="R175" s="9">
        <v>0.0</v>
      </c>
      <c r="S175" s="12">
        <v>98.3</v>
      </c>
      <c r="T175" s="9">
        <v>1.0</v>
      </c>
      <c r="U175" s="9">
        <v>80.0</v>
      </c>
      <c r="V175" s="9">
        <v>1.0</v>
      </c>
      <c r="W175" s="9">
        <v>0.0</v>
      </c>
      <c r="X175" s="9">
        <v>0.0</v>
      </c>
      <c r="Y175" s="9">
        <v>0.0</v>
      </c>
      <c r="Z175" s="9">
        <v>1.0</v>
      </c>
      <c r="AA175" s="9">
        <v>0.0</v>
      </c>
      <c r="AB175" s="9">
        <v>0.0</v>
      </c>
      <c r="AC175" s="9">
        <v>0.0</v>
      </c>
      <c r="AD175" s="9">
        <v>0.0</v>
      </c>
      <c r="AE175" s="9">
        <v>1.0</v>
      </c>
      <c r="AF175" s="9">
        <v>0.0</v>
      </c>
      <c r="AG175" s="9">
        <v>0.0</v>
      </c>
      <c r="AH175" s="9">
        <v>0.0</v>
      </c>
      <c r="AI175" s="9">
        <v>0.0</v>
      </c>
      <c r="AJ175" s="9">
        <v>0.0</v>
      </c>
      <c r="AK175" s="9">
        <v>0.0</v>
      </c>
      <c r="AL175" s="9">
        <v>0.0</v>
      </c>
      <c r="AM175" s="9">
        <v>0.0</v>
      </c>
      <c r="AN175" s="9">
        <v>1.0</v>
      </c>
      <c r="AO175" s="9" t="s">
        <v>84</v>
      </c>
      <c r="AP175" s="9" t="s">
        <v>84</v>
      </c>
      <c r="AQ175" s="9">
        <v>0.0</v>
      </c>
      <c r="AR175" s="9">
        <v>1.0</v>
      </c>
      <c r="AS175" s="9" t="s">
        <v>84</v>
      </c>
      <c r="AT175" s="9" t="s">
        <v>84</v>
      </c>
      <c r="AU175" s="9" t="s">
        <v>84</v>
      </c>
      <c r="AV175" s="9" t="s">
        <v>84</v>
      </c>
      <c r="AW175" s="9" t="s">
        <v>84</v>
      </c>
      <c r="AX175" s="24">
        <f>6.25/3.41</f>
        <v>1.832844575</v>
      </c>
      <c r="AY175" s="22">
        <v>0.0</v>
      </c>
      <c r="AZ175" s="10">
        <v>0.0</v>
      </c>
      <c r="BA175" s="10">
        <v>1.0</v>
      </c>
      <c r="BB175" s="24">
        <f>3.88/3.73</f>
        <v>1.040214477</v>
      </c>
      <c r="BC175" s="22">
        <v>2.0</v>
      </c>
      <c r="BD175" s="22">
        <v>1.0</v>
      </c>
      <c r="BE175" s="22"/>
      <c r="BF175" s="9">
        <v>0.0</v>
      </c>
      <c r="BG175" s="9" t="s">
        <v>84</v>
      </c>
      <c r="BH175" s="9">
        <v>0.0</v>
      </c>
      <c r="BI175" s="9">
        <v>1.0</v>
      </c>
      <c r="BJ175" s="9">
        <v>0.0</v>
      </c>
      <c r="BK175" s="9">
        <v>0.0</v>
      </c>
      <c r="BL175" s="9">
        <v>0.0</v>
      </c>
      <c r="BM175" s="9">
        <v>0.0</v>
      </c>
      <c r="BN175" s="9">
        <v>0.0</v>
      </c>
      <c r="BO175" s="9">
        <v>0.0</v>
      </c>
      <c r="BP175" s="9" t="s">
        <v>84</v>
      </c>
      <c r="BQ175" s="9" t="s">
        <v>84</v>
      </c>
      <c r="BR175" s="9">
        <v>0.0</v>
      </c>
      <c r="BS175" s="9">
        <v>0.0</v>
      </c>
      <c r="BT175" s="9">
        <v>0.0</v>
      </c>
      <c r="BU175" s="9">
        <v>0.0</v>
      </c>
      <c r="BV175" s="9">
        <v>0.0</v>
      </c>
      <c r="BW175" s="10" t="s">
        <v>94</v>
      </c>
      <c r="BX175" s="14" t="s">
        <v>94</v>
      </c>
      <c r="BY175" s="9">
        <v>0.0</v>
      </c>
      <c r="BZ175" s="9">
        <v>0.0</v>
      </c>
      <c r="CA175" s="9">
        <v>0.0</v>
      </c>
      <c r="CB175" s="9">
        <v>0.0</v>
      </c>
      <c r="CC175" s="15" t="s">
        <v>104</v>
      </c>
      <c r="CD175" s="29"/>
    </row>
    <row r="176" ht="15.75" customHeight="1">
      <c r="A176" s="9">
        <v>175.0</v>
      </c>
      <c r="B176" s="10">
        <v>66.0</v>
      </c>
      <c r="C176" s="9" t="s">
        <v>86</v>
      </c>
      <c r="D176" s="11" t="s">
        <v>82</v>
      </c>
      <c r="E176" s="9">
        <v>6.0</v>
      </c>
      <c r="F176" s="12">
        <v>167.64000000000001</v>
      </c>
      <c r="G176" s="12">
        <v>36.3</v>
      </c>
      <c r="H176" s="12">
        <f t="shared" si="4"/>
        <v>12.9166925</v>
      </c>
      <c r="I176" s="9">
        <v>1.0</v>
      </c>
      <c r="J176" s="9">
        <v>3.0</v>
      </c>
      <c r="K176" s="19">
        <v>1.0</v>
      </c>
      <c r="L176" s="9">
        <v>0.0</v>
      </c>
      <c r="M176" s="9">
        <v>71.0</v>
      </c>
      <c r="N176" s="9">
        <v>1.0</v>
      </c>
      <c r="O176" s="9">
        <v>88.0</v>
      </c>
      <c r="P176" s="9">
        <v>0.0</v>
      </c>
      <c r="Q176" s="9">
        <v>18.0</v>
      </c>
      <c r="R176" s="9">
        <v>0.0</v>
      </c>
      <c r="S176" s="12">
        <v>98.5</v>
      </c>
      <c r="T176" s="9">
        <v>0.0</v>
      </c>
      <c r="U176" s="9">
        <v>97.0</v>
      </c>
      <c r="V176" s="9">
        <v>0.0</v>
      </c>
      <c r="W176" s="9">
        <v>0.0</v>
      </c>
      <c r="X176" s="9">
        <v>0.0</v>
      </c>
      <c r="Y176" s="9">
        <v>1.0</v>
      </c>
      <c r="Z176" s="9">
        <v>1.0</v>
      </c>
      <c r="AA176" s="9">
        <v>0.0</v>
      </c>
      <c r="AB176" s="9">
        <v>0.0</v>
      </c>
      <c r="AC176" s="9">
        <v>0.0</v>
      </c>
      <c r="AD176" s="9">
        <v>0.0</v>
      </c>
      <c r="AE176" s="9">
        <v>0.0</v>
      </c>
      <c r="AF176" s="9">
        <v>0.0</v>
      </c>
      <c r="AG176" s="9">
        <v>1.0</v>
      </c>
      <c r="AH176" s="9">
        <v>0.0</v>
      </c>
      <c r="AI176" s="9">
        <v>0.0</v>
      </c>
      <c r="AJ176" s="9">
        <v>0.0</v>
      </c>
      <c r="AK176" s="9">
        <v>0.0</v>
      </c>
      <c r="AL176" s="9">
        <v>0.0</v>
      </c>
      <c r="AM176" s="9">
        <v>0.0</v>
      </c>
      <c r="AN176" s="9">
        <v>0.0</v>
      </c>
      <c r="AO176" s="9">
        <v>1.0</v>
      </c>
      <c r="AP176" s="9">
        <v>1.0</v>
      </c>
      <c r="AQ176" s="9" t="s">
        <v>84</v>
      </c>
      <c r="AR176" s="9">
        <v>0.0</v>
      </c>
      <c r="AS176" s="9">
        <v>0.0</v>
      </c>
      <c r="AT176" s="9">
        <v>0.0</v>
      </c>
      <c r="AU176" s="9">
        <v>0.0</v>
      </c>
      <c r="AV176" s="9">
        <v>0.0</v>
      </c>
      <c r="AW176" s="9">
        <v>41.4</v>
      </c>
      <c r="AX176" s="24">
        <f>3.97/4.77</f>
        <v>0.8322851153</v>
      </c>
      <c r="AY176" s="22">
        <v>0.0</v>
      </c>
      <c r="AZ176" s="10">
        <v>0.0</v>
      </c>
      <c r="BA176" s="10">
        <v>0.0</v>
      </c>
      <c r="BB176" s="24">
        <f>3.29/3.28</f>
        <v>1.00304878</v>
      </c>
      <c r="BC176" s="22">
        <v>1.0</v>
      </c>
      <c r="BD176" s="22">
        <v>0.0</v>
      </c>
      <c r="BE176" s="22"/>
      <c r="BF176" s="9" t="s">
        <v>84</v>
      </c>
      <c r="BG176" s="9" t="s">
        <v>84</v>
      </c>
      <c r="BH176" s="9">
        <v>0.0</v>
      </c>
      <c r="BI176" s="9">
        <v>1.0</v>
      </c>
      <c r="BJ176" s="9">
        <v>0.0</v>
      </c>
      <c r="BK176" s="9">
        <v>0.0</v>
      </c>
      <c r="BL176" s="9">
        <v>0.0</v>
      </c>
      <c r="BM176" s="9">
        <v>0.0</v>
      </c>
      <c r="BN176" s="9">
        <v>0.0</v>
      </c>
      <c r="BO176" s="9">
        <v>0.0</v>
      </c>
      <c r="BP176" s="9" t="s">
        <v>84</v>
      </c>
      <c r="BQ176" s="9" t="s">
        <v>84</v>
      </c>
      <c r="BR176" s="9">
        <v>0.0</v>
      </c>
      <c r="BS176" s="9">
        <v>0.0</v>
      </c>
      <c r="BT176" s="9">
        <v>0.0</v>
      </c>
      <c r="BU176" s="9">
        <v>0.0</v>
      </c>
      <c r="BV176" s="9">
        <v>0.0</v>
      </c>
      <c r="BW176" s="10">
        <v>0.0</v>
      </c>
      <c r="BX176" s="14">
        <v>0.0</v>
      </c>
      <c r="BY176" s="9">
        <v>0.0</v>
      </c>
      <c r="BZ176" s="9">
        <v>1.0</v>
      </c>
      <c r="CA176" s="9">
        <v>0.0</v>
      </c>
      <c r="CB176" s="9">
        <v>0.0</v>
      </c>
      <c r="CC176" s="15" t="s">
        <v>113</v>
      </c>
      <c r="CD176" s="29"/>
    </row>
    <row r="177" ht="15.75" customHeight="1">
      <c r="A177" s="9">
        <v>176.0</v>
      </c>
      <c r="B177" s="10">
        <v>68.0</v>
      </c>
      <c r="C177" s="23" t="s">
        <v>81</v>
      </c>
      <c r="D177" s="23" t="s">
        <v>88</v>
      </c>
      <c r="E177" s="23" t="s">
        <v>116</v>
      </c>
      <c r="F177" s="12">
        <v>172.72</v>
      </c>
      <c r="G177" s="12">
        <v>85.7</v>
      </c>
      <c r="H177" s="12">
        <f t="shared" si="4"/>
        <v>28.72734984</v>
      </c>
      <c r="I177" s="9">
        <v>0.0</v>
      </c>
      <c r="J177" s="9">
        <v>2.0</v>
      </c>
      <c r="K177" s="9">
        <v>1.0</v>
      </c>
      <c r="L177" s="9">
        <v>0.0</v>
      </c>
      <c r="M177" s="9">
        <v>90.0</v>
      </c>
      <c r="N177" s="9">
        <v>0.0</v>
      </c>
      <c r="O177" s="9">
        <v>116.0</v>
      </c>
      <c r="P177" s="9">
        <v>0.0</v>
      </c>
      <c r="Q177" s="9">
        <v>19.0</v>
      </c>
      <c r="R177" s="9">
        <v>0.0</v>
      </c>
      <c r="S177" s="12">
        <v>97.6</v>
      </c>
      <c r="T177" s="9">
        <v>0.0</v>
      </c>
      <c r="U177" s="9">
        <v>96.0</v>
      </c>
      <c r="V177" s="9">
        <v>0.0</v>
      </c>
      <c r="W177" s="9">
        <v>0.0</v>
      </c>
      <c r="X177" s="9">
        <v>0.0</v>
      </c>
      <c r="Y177" s="9">
        <v>0.0</v>
      </c>
      <c r="Z177" s="9">
        <v>0.0</v>
      </c>
      <c r="AA177" s="9">
        <v>0.0</v>
      </c>
      <c r="AB177" s="9">
        <v>0.0</v>
      </c>
      <c r="AC177" s="9">
        <v>0.0</v>
      </c>
      <c r="AD177" s="9">
        <v>0.0</v>
      </c>
      <c r="AE177" s="9">
        <v>1.0</v>
      </c>
      <c r="AF177" s="9">
        <v>1.0</v>
      </c>
      <c r="AG177" s="9">
        <v>0.0</v>
      </c>
      <c r="AH177" s="9">
        <v>0.0</v>
      </c>
      <c r="AI177" s="9">
        <v>1.0</v>
      </c>
      <c r="AJ177" s="9">
        <v>0.0</v>
      </c>
      <c r="AK177" s="9">
        <v>0.0</v>
      </c>
      <c r="AL177" s="9">
        <v>0.0</v>
      </c>
      <c r="AM177" s="9">
        <v>0.0</v>
      </c>
      <c r="AN177" s="9">
        <v>0.0</v>
      </c>
      <c r="AO177" s="9">
        <v>1.0</v>
      </c>
      <c r="AP177" s="9">
        <v>1.0</v>
      </c>
      <c r="AQ177" s="9">
        <v>0.0</v>
      </c>
      <c r="AR177" s="9">
        <v>0.0</v>
      </c>
      <c r="AS177" s="9">
        <v>0.0</v>
      </c>
      <c r="AT177" s="9">
        <v>0.0</v>
      </c>
      <c r="AU177" s="9">
        <v>0.0</v>
      </c>
      <c r="AV177" s="9">
        <v>0.0</v>
      </c>
      <c r="AW177" s="9">
        <v>27.8</v>
      </c>
      <c r="AX177" s="24">
        <f>4.16/3.4</f>
        <v>1.223529412</v>
      </c>
      <c r="AY177" s="22">
        <v>0.0</v>
      </c>
      <c r="AZ177" s="10">
        <v>0.0</v>
      </c>
      <c r="BA177" s="10">
        <v>1.0</v>
      </c>
      <c r="BB177" s="24">
        <f>2.71/3.53</f>
        <v>0.7677053824</v>
      </c>
      <c r="BC177" s="22">
        <v>1.0</v>
      </c>
      <c r="BD177" s="22">
        <v>0.0</v>
      </c>
      <c r="BE177" s="22"/>
      <c r="BF177" s="9">
        <v>0.0</v>
      </c>
      <c r="BG177" s="9" t="s">
        <v>84</v>
      </c>
      <c r="BH177" s="9">
        <v>0.0</v>
      </c>
      <c r="BI177" s="9">
        <v>0.0</v>
      </c>
      <c r="BJ177" s="9">
        <v>0.0</v>
      </c>
      <c r="BK177" s="9">
        <v>0.0</v>
      </c>
      <c r="BL177" s="28">
        <v>0.0</v>
      </c>
      <c r="BM177" s="9">
        <v>0.0</v>
      </c>
      <c r="BN177" s="9">
        <v>0.0</v>
      </c>
      <c r="BO177" s="9">
        <v>0.0</v>
      </c>
      <c r="BP177" s="9" t="s">
        <v>84</v>
      </c>
      <c r="BQ177" s="9" t="s">
        <v>84</v>
      </c>
      <c r="BR177" s="9">
        <v>1.0</v>
      </c>
      <c r="BS177" s="15" t="s">
        <v>156</v>
      </c>
      <c r="BT177" s="9">
        <v>0.0</v>
      </c>
      <c r="BU177" s="9">
        <v>0.0</v>
      </c>
      <c r="BV177" s="9">
        <v>0.0</v>
      </c>
      <c r="BW177" s="10">
        <v>0.0</v>
      </c>
      <c r="BX177" s="14">
        <v>0.0</v>
      </c>
      <c r="BY177" s="9">
        <v>0.0</v>
      </c>
      <c r="BZ177" s="9">
        <v>0.0</v>
      </c>
      <c r="CA177" s="9">
        <v>0.0</v>
      </c>
      <c r="CB177" s="9">
        <v>0.0</v>
      </c>
      <c r="CC177" s="15" t="s">
        <v>87</v>
      </c>
      <c r="CD177" s="29"/>
    </row>
    <row r="178" ht="15.75" customHeight="1">
      <c r="A178" s="9">
        <v>177.0</v>
      </c>
      <c r="B178" s="10">
        <v>56.0</v>
      </c>
      <c r="C178" s="23" t="s">
        <v>81</v>
      </c>
      <c r="D178" s="23" t="s">
        <v>82</v>
      </c>
      <c r="E178" s="23" t="s">
        <v>83</v>
      </c>
      <c r="F178" s="12">
        <v>185.42000000000002</v>
      </c>
      <c r="G178" s="12">
        <v>103.0</v>
      </c>
      <c r="H178" s="12">
        <f t="shared" si="4"/>
        <v>29.95877637</v>
      </c>
      <c r="I178" s="9">
        <v>1.0</v>
      </c>
      <c r="J178" s="9">
        <v>4.0</v>
      </c>
      <c r="K178" s="9">
        <v>1.0</v>
      </c>
      <c r="L178" s="9">
        <v>1.0</v>
      </c>
      <c r="M178" s="9">
        <v>114.0</v>
      </c>
      <c r="N178" s="9">
        <v>0.0</v>
      </c>
      <c r="O178" s="9">
        <v>117.0</v>
      </c>
      <c r="P178" s="9">
        <v>0.0</v>
      </c>
      <c r="Q178" s="9">
        <v>22.0</v>
      </c>
      <c r="R178" s="9">
        <v>0.0</v>
      </c>
      <c r="S178" s="12">
        <v>99.1</v>
      </c>
      <c r="T178" s="9">
        <v>0.0</v>
      </c>
      <c r="U178" s="9">
        <v>93.0</v>
      </c>
      <c r="V178" s="9">
        <v>0.0</v>
      </c>
      <c r="W178" s="9">
        <v>0.0</v>
      </c>
      <c r="X178" s="9">
        <v>0.0</v>
      </c>
      <c r="Y178" s="9">
        <v>0.0</v>
      </c>
      <c r="Z178" s="9">
        <v>0.0</v>
      </c>
      <c r="AA178" s="9">
        <v>1.0</v>
      </c>
      <c r="AB178" s="9">
        <v>0.0</v>
      </c>
      <c r="AC178" s="9">
        <v>0.0</v>
      </c>
      <c r="AD178" s="9">
        <v>0.0</v>
      </c>
      <c r="AE178" s="9">
        <v>1.0</v>
      </c>
      <c r="AF178" s="9">
        <v>1.0</v>
      </c>
      <c r="AG178" s="9">
        <v>0.0</v>
      </c>
      <c r="AH178" s="9">
        <v>0.0</v>
      </c>
      <c r="AI178" s="9">
        <v>1.0</v>
      </c>
      <c r="AJ178" s="9">
        <v>1.0</v>
      </c>
      <c r="AK178" s="9">
        <v>1.0</v>
      </c>
      <c r="AL178" s="9">
        <v>0.0</v>
      </c>
      <c r="AM178" s="9">
        <v>0.0</v>
      </c>
      <c r="AN178" s="9">
        <v>0.0</v>
      </c>
      <c r="AO178" s="9">
        <v>1.0</v>
      </c>
      <c r="AP178" s="9">
        <v>1.0</v>
      </c>
      <c r="AQ178" s="9" t="s">
        <v>84</v>
      </c>
      <c r="AR178" s="9">
        <v>0.0</v>
      </c>
      <c r="AS178" s="9">
        <v>0.0</v>
      </c>
      <c r="AT178" s="9">
        <v>0.0</v>
      </c>
      <c r="AU178" s="9">
        <v>0.0</v>
      </c>
      <c r="AV178" s="9">
        <v>0.0</v>
      </c>
      <c r="AW178" s="9">
        <v>31.2</v>
      </c>
      <c r="AX178" s="24">
        <f>5.94/4.63</f>
        <v>1.282937365</v>
      </c>
      <c r="AY178" s="22">
        <v>0.0</v>
      </c>
      <c r="AZ178" s="10">
        <v>0.0</v>
      </c>
      <c r="BA178" s="10">
        <v>1.0</v>
      </c>
      <c r="BB178" s="24">
        <f>3.29/3.56</f>
        <v>0.9241573034</v>
      </c>
      <c r="BC178" s="22">
        <v>1.0</v>
      </c>
      <c r="BD178" s="22">
        <v>1.0</v>
      </c>
      <c r="BE178" s="22"/>
      <c r="BF178" s="9" t="s">
        <v>84</v>
      </c>
      <c r="BG178" s="9" t="s">
        <v>84</v>
      </c>
      <c r="BH178" s="9">
        <v>0.0</v>
      </c>
      <c r="BI178" s="9">
        <v>0.0</v>
      </c>
      <c r="BJ178" s="9">
        <v>0.0</v>
      </c>
      <c r="BK178" s="9">
        <v>0.0</v>
      </c>
      <c r="BL178" s="28">
        <v>0.0</v>
      </c>
      <c r="BM178" s="9">
        <v>0.0</v>
      </c>
      <c r="BN178" s="9">
        <v>0.0</v>
      </c>
      <c r="BO178" s="9">
        <v>0.0</v>
      </c>
      <c r="BP178" s="9" t="s">
        <v>84</v>
      </c>
      <c r="BQ178" s="9" t="s">
        <v>84</v>
      </c>
      <c r="BR178" s="9">
        <v>0.0</v>
      </c>
      <c r="BS178" s="9">
        <v>0.0</v>
      </c>
      <c r="BT178" s="9">
        <v>0.0</v>
      </c>
      <c r="BU178" s="9">
        <v>1.0</v>
      </c>
      <c r="BV178" s="9">
        <v>0.0</v>
      </c>
      <c r="BW178" s="10">
        <v>0.0</v>
      </c>
      <c r="BX178" s="14">
        <v>0.0</v>
      </c>
      <c r="BY178" s="9">
        <v>0.0</v>
      </c>
      <c r="BZ178" s="9">
        <v>1.0</v>
      </c>
      <c r="CA178" s="9">
        <v>0.0</v>
      </c>
      <c r="CB178" s="9">
        <v>0.0</v>
      </c>
      <c r="CC178" s="15" t="s">
        <v>104</v>
      </c>
      <c r="CD178" s="29"/>
    </row>
    <row r="179" ht="15.75" customHeight="1">
      <c r="A179" s="9">
        <v>178.0</v>
      </c>
      <c r="B179" s="10">
        <v>35.0</v>
      </c>
      <c r="C179" s="23" t="s">
        <v>86</v>
      </c>
      <c r="D179" s="23" t="s">
        <v>88</v>
      </c>
      <c r="E179" s="23" t="s">
        <v>96</v>
      </c>
      <c r="F179" s="12">
        <v>152.4</v>
      </c>
      <c r="G179" s="12">
        <v>73.8</v>
      </c>
      <c r="H179" s="12">
        <f t="shared" si="4"/>
        <v>31.77506355</v>
      </c>
      <c r="I179" s="9">
        <v>1.0</v>
      </c>
      <c r="J179" s="9">
        <v>1.0</v>
      </c>
      <c r="K179" s="9">
        <v>1.0</v>
      </c>
      <c r="L179" s="9">
        <v>1.0</v>
      </c>
      <c r="M179" s="9">
        <v>117.0</v>
      </c>
      <c r="N179" s="9">
        <v>0.0</v>
      </c>
      <c r="O179" s="9">
        <v>145.0</v>
      </c>
      <c r="P179" s="9">
        <v>0.0</v>
      </c>
      <c r="Q179" s="9">
        <v>16.0</v>
      </c>
      <c r="R179" s="9">
        <v>0.0</v>
      </c>
      <c r="S179" s="12">
        <v>98.9</v>
      </c>
      <c r="T179" s="9">
        <v>0.0</v>
      </c>
      <c r="U179" s="9">
        <v>99.0</v>
      </c>
      <c r="V179" s="9">
        <v>0.0</v>
      </c>
      <c r="W179" s="9">
        <v>0.0</v>
      </c>
      <c r="X179" s="9">
        <v>0.0</v>
      </c>
      <c r="Y179" s="9">
        <v>0.0</v>
      </c>
      <c r="Z179" s="9">
        <v>0.0</v>
      </c>
      <c r="AA179" s="9">
        <v>0.0</v>
      </c>
      <c r="AB179" s="9">
        <v>0.0</v>
      </c>
      <c r="AC179" s="9">
        <v>0.0</v>
      </c>
      <c r="AD179" s="9">
        <v>0.0</v>
      </c>
      <c r="AE179" s="9">
        <v>0.0</v>
      </c>
      <c r="AF179" s="9">
        <v>1.0</v>
      </c>
      <c r="AG179" s="9">
        <v>0.0</v>
      </c>
      <c r="AH179" s="9">
        <v>0.0</v>
      </c>
      <c r="AI179" s="9">
        <v>0.0</v>
      </c>
      <c r="AJ179" s="9">
        <v>0.0</v>
      </c>
      <c r="AK179" s="9">
        <v>0.0</v>
      </c>
      <c r="AL179" s="9">
        <v>1.0</v>
      </c>
      <c r="AM179" s="9">
        <v>0.0</v>
      </c>
      <c r="AN179" s="9">
        <v>0.0</v>
      </c>
      <c r="AO179" s="9">
        <v>1.0</v>
      </c>
      <c r="AP179" s="9">
        <v>0.0</v>
      </c>
      <c r="AQ179" s="9">
        <v>0.0</v>
      </c>
      <c r="AR179" s="9">
        <v>0.0</v>
      </c>
      <c r="AS179" s="9">
        <v>0.0</v>
      </c>
      <c r="AT179" s="9">
        <v>0.0</v>
      </c>
      <c r="AU179" s="9">
        <v>0.0</v>
      </c>
      <c r="AV179" s="9">
        <v>0.0</v>
      </c>
      <c r="AW179" s="9">
        <v>35.0</v>
      </c>
      <c r="AX179" s="24">
        <f>4/4.37</f>
        <v>0.9153318078</v>
      </c>
      <c r="AY179" s="22">
        <v>0.0</v>
      </c>
      <c r="AZ179" s="10">
        <v>1.0</v>
      </c>
      <c r="BA179" s="10">
        <v>0.0</v>
      </c>
      <c r="BB179" s="24">
        <f>2.89/2.67</f>
        <v>1.082397004</v>
      </c>
      <c r="BC179" s="22">
        <v>1.0</v>
      </c>
      <c r="BD179" s="22">
        <v>0.0</v>
      </c>
      <c r="BE179" s="22"/>
      <c r="BF179" s="9">
        <v>0.0</v>
      </c>
      <c r="BG179" s="9" t="s">
        <v>84</v>
      </c>
      <c r="BH179" s="9">
        <v>1.0</v>
      </c>
      <c r="BI179" s="9">
        <v>0.0</v>
      </c>
      <c r="BJ179" s="9">
        <v>0.0</v>
      </c>
      <c r="BK179" s="9">
        <v>0.0</v>
      </c>
      <c r="BL179" s="28">
        <v>0.0</v>
      </c>
      <c r="BM179" s="9">
        <v>0.0</v>
      </c>
      <c r="BN179" s="9">
        <v>0.0</v>
      </c>
      <c r="BO179" s="9">
        <v>0.0</v>
      </c>
      <c r="BP179" s="9" t="s">
        <v>84</v>
      </c>
      <c r="BQ179" s="9" t="s">
        <v>84</v>
      </c>
      <c r="BR179" s="9">
        <v>1.0</v>
      </c>
      <c r="BS179" s="15" t="s">
        <v>157</v>
      </c>
      <c r="BT179" s="9">
        <v>1.0</v>
      </c>
      <c r="BU179" s="9">
        <v>0.0</v>
      </c>
      <c r="BV179" s="9">
        <v>0.0</v>
      </c>
      <c r="BW179" s="10">
        <v>0.0</v>
      </c>
      <c r="BX179" s="14">
        <v>0.0</v>
      </c>
      <c r="BY179" s="9">
        <v>0.0</v>
      </c>
      <c r="BZ179" s="9">
        <v>0.0</v>
      </c>
      <c r="CA179" s="9">
        <v>0.0</v>
      </c>
      <c r="CB179" s="9">
        <v>0.0</v>
      </c>
      <c r="CC179" s="15" t="s">
        <v>102</v>
      </c>
      <c r="CD179" s="29"/>
    </row>
    <row r="180" ht="15.75" customHeight="1">
      <c r="A180" s="9">
        <v>179.0</v>
      </c>
      <c r="B180" s="30">
        <v>60.0</v>
      </c>
      <c r="C180" s="31" t="s">
        <v>81</v>
      </c>
      <c r="D180" s="18" t="s">
        <v>127</v>
      </c>
      <c r="E180" s="31" t="s">
        <v>132</v>
      </c>
      <c r="F180" s="32">
        <v>172.72</v>
      </c>
      <c r="G180" s="32">
        <v>109.8</v>
      </c>
      <c r="H180" s="12">
        <f t="shared" si="4"/>
        <v>36.80586946</v>
      </c>
      <c r="I180" s="18">
        <v>1.0</v>
      </c>
      <c r="J180" s="18">
        <v>3.0</v>
      </c>
      <c r="K180" s="18">
        <v>2.0</v>
      </c>
      <c r="L180" s="18">
        <v>0.0</v>
      </c>
      <c r="M180" s="18">
        <v>82.0</v>
      </c>
      <c r="N180" s="18">
        <v>0.0</v>
      </c>
      <c r="O180" s="18">
        <v>123.0</v>
      </c>
      <c r="P180" s="18">
        <v>0.0</v>
      </c>
      <c r="Q180" s="18">
        <v>20.0</v>
      </c>
      <c r="R180" s="18">
        <v>0.0</v>
      </c>
      <c r="S180" s="32">
        <v>98.2</v>
      </c>
      <c r="T180" s="18">
        <v>0.0</v>
      </c>
      <c r="U180" s="18">
        <v>92.0</v>
      </c>
      <c r="V180" s="18">
        <v>1.0</v>
      </c>
      <c r="W180" s="9">
        <v>0.0</v>
      </c>
      <c r="X180" s="18">
        <v>0.0</v>
      </c>
      <c r="Y180" s="18">
        <v>0.0</v>
      </c>
      <c r="Z180" s="18">
        <v>1.0</v>
      </c>
      <c r="AA180" s="18">
        <v>0.0</v>
      </c>
      <c r="AB180" s="18">
        <v>0.0</v>
      </c>
      <c r="AC180" s="18">
        <v>0.0</v>
      </c>
      <c r="AD180" s="18">
        <v>0.0</v>
      </c>
      <c r="AE180" s="18">
        <v>0.0</v>
      </c>
      <c r="AF180" s="18">
        <v>1.0</v>
      </c>
      <c r="AG180" s="18">
        <v>1.0</v>
      </c>
      <c r="AH180" s="18">
        <v>0.0</v>
      </c>
      <c r="AI180" s="18">
        <v>0.0</v>
      </c>
      <c r="AJ180" s="18">
        <v>0.0</v>
      </c>
      <c r="AK180" s="18">
        <v>0.0</v>
      </c>
      <c r="AL180" s="18">
        <v>0.0</v>
      </c>
      <c r="AM180" s="18">
        <v>0.0</v>
      </c>
      <c r="AN180" s="18">
        <v>0.0</v>
      </c>
      <c r="AO180" s="18">
        <v>1.0</v>
      </c>
      <c r="AP180" s="18">
        <v>1.0</v>
      </c>
      <c r="AQ180" s="18" t="s">
        <v>84</v>
      </c>
      <c r="AR180" s="18">
        <v>1.0</v>
      </c>
      <c r="AS180" s="18">
        <v>1.0</v>
      </c>
      <c r="AT180" s="18">
        <v>1.0</v>
      </c>
      <c r="AU180" s="18">
        <v>1.0</v>
      </c>
      <c r="AV180" s="18">
        <v>0.0</v>
      </c>
      <c r="AW180" s="18">
        <v>22.7</v>
      </c>
      <c r="AX180" s="33">
        <f>6.23/3.47</f>
        <v>1.795389049</v>
      </c>
      <c r="AY180" s="22">
        <v>0.0</v>
      </c>
      <c r="AZ180" s="10">
        <v>0.0</v>
      </c>
      <c r="BA180" s="10">
        <v>1.0</v>
      </c>
      <c r="BB180" s="33">
        <f>2.7/3.37</f>
        <v>0.8011869436</v>
      </c>
      <c r="BC180" s="30">
        <v>2.0</v>
      </c>
      <c r="BD180" s="34">
        <v>1.0</v>
      </c>
      <c r="BE180" s="34"/>
      <c r="BF180" s="18">
        <v>0.0</v>
      </c>
      <c r="BG180" s="18" t="s">
        <v>84</v>
      </c>
      <c r="BH180" s="18">
        <v>0.0</v>
      </c>
      <c r="BI180" s="18">
        <v>0.0</v>
      </c>
      <c r="BJ180" s="18">
        <v>0.0</v>
      </c>
      <c r="BK180" s="18">
        <v>0.0</v>
      </c>
      <c r="BL180" s="18">
        <v>0.0</v>
      </c>
      <c r="BM180" s="18">
        <v>0.0</v>
      </c>
      <c r="BN180" s="18">
        <v>0.0</v>
      </c>
      <c r="BO180" s="18">
        <v>0.0</v>
      </c>
      <c r="BP180" s="18" t="s">
        <v>84</v>
      </c>
      <c r="BQ180" s="18" t="s">
        <v>84</v>
      </c>
      <c r="BR180" s="18">
        <v>0.0</v>
      </c>
      <c r="BS180" s="18">
        <v>0.0</v>
      </c>
      <c r="BT180" s="18">
        <v>0.0</v>
      </c>
      <c r="BU180" s="18">
        <v>1.0</v>
      </c>
      <c r="BV180" s="18">
        <v>0.0</v>
      </c>
      <c r="BW180" s="34">
        <v>0.0</v>
      </c>
      <c r="BX180" s="35">
        <v>0.0</v>
      </c>
      <c r="BY180" s="18">
        <v>0.0</v>
      </c>
      <c r="BZ180" s="18">
        <v>0.0</v>
      </c>
      <c r="CA180" s="18">
        <v>0.0</v>
      </c>
      <c r="CB180" s="18">
        <v>0.0</v>
      </c>
      <c r="CC180" s="36" t="s">
        <v>104</v>
      </c>
      <c r="CD180" s="37"/>
    </row>
    <row r="181" ht="15.75" customHeight="1">
      <c r="A181" s="9">
        <v>180.0</v>
      </c>
      <c r="B181" s="9">
        <v>77.0</v>
      </c>
      <c r="C181" s="23" t="s">
        <v>81</v>
      </c>
      <c r="D181" s="38" t="s">
        <v>82</v>
      </c>
      <c r="E181" s="28">
        <v>1.0</v>
      </c>
      <c r="F181" s="12">
        <v>177.8</v>
      </c>
      <c r="G181" s="39">
        <v>63.5</v>
      </c>
      <c r="H181" s="12">
        <f t="shared" si="4"/>
        <v>20.08677487</v>
      </c>
      <c r="I181" s="9">
        <v>1.0</v>
      </c>
      <c r="J181" s="9">
        <v>5.0</v>
      </c>
      <c r="K181" s="9">
        <v>2.0</v>
      </c>
      <c r="L181" s="9">
        <v>1.0</v>
      </c>
      <c r="M181" s="9">
        <v>123.0</v>
      </c>
      <c r="N181" s="9">
        <v>1.0</v>
      </c>
      <c r="O181" s="9">
        <v>91.0</v>
      </c>
      <c r="P181" s="9">
        <v>0.0</v>
      </c>
      <c r="Q181" s="9">
        <v>18.0</v>
      </c>
      <c r="R181" s="9">
        <v>0.0</v>
      </c>
      <c r="S181" s="12">
        <v>98.9</v>
      </c>
      <c r="T181" s="9">
        <v>0.0</v>
      </c>
      <c r="U181" s="9">
        <v>94.0</v>
      </c>
      <c r="V181" s="9">
        <v>1.0</v>
      </c>
      <c r="W181" s="9">
        <v>0.0</v>
      </c>
      <c r="X181" s="9">
        <v>0.0</v>
      </c>
      <c r="Y181" s="9">
        <v>1.0</v>
      </c>
      <c r="Z181" s="9">
        <v>1.0</v>
      </c>
      <c r="AA181" s="9">
        <v>0.0</v>
      </c>
      <c r="AB181" s="9">
        <v>0.0</v>
      </c>
      <c r="AC181" s="9">
        <v>0.0</v>
      </c>
      <c r="AD181" s="9">
        <v>0.0</v>
      </c>
      <c r="AE181" s="9">
        <v>0.0</v>
      </c>
      <c r="AF181" s="9">
        <v>0.0</v>
      </c>
      <c r="AG181" s="9">
        <v>0.0</v>
      </c>
      <c r="AH181" s="9">
        <v>0.0</v>
      </c>
      <c r="AI181" s="9">
        <v>0.0</v>
      </c>
      <c r="AJ181" s="9">
        <v>0.0</v>
      </c>
      <c r="AK181" s="9">
        <v>0.0</v>
      </c>
      <c r="AL181" s="9">
        <v>0.0</v>
      </c>
      <c r="AM181" s="9">
        <v>0.0</v>
      </c>
      <c r="AN181" s="9">
        <v>0.0</v>
      </c>
      <c r="AO181" s="9">
        <v>1.0</v>
      </c>
      <c r="AP181" s="9">
        <v>1.0</v>
      </c>
      <c r="AQ181" s="9">
        <v>0.0</v>
      </c>
      <c r="AR181" s="9">
        <v>1.0</v>
      </c>
      <c r="AS181" s="9">
        <v>0.0</v>
      </c>
      <c r="AT181" s="9">
        <v>0.0</v>
      </c>
      <c r="AU181" s="9">
        <v>0.0</v>
      </c>
      <c r="AV181" s="9">
        <v>0.0</v>
      </c>
      <c r="AW181" s="9">
        <v>29.9</v>
      </c>
      <c r="AX181" s="24">
        <f>3.67/4.97</f>
        <v>0.7384305835</v>
      </c>
      <c r="AY181" s="22">
        <v>0.0</v>
      </c>
      <c r="AZ181" s="10">
        <v>0.0</v>
      </c>
      <c r="BA181" s="10">
        <v>0.0</v>
      </c>
      <c r="BB181" s="24">
        <f>2.14/3.21</f>
        <v>0.6666666667</v>
      </c>
      <c r="BC181" s="28">
        <v>1.0</v>
      </c>
      <c r="BD181" s="28">
        <v>0.0</v>
      </c>
      <c r="BE181" s="28"/>
      <c r="BF181" s="28">
        <v>0.0</v>
      </c>
      <c r="BG181" s="9" t="s">
        <v>84</v>
      </c>
      <c r="BH181" s="9">
        <v>0.0</v>
      </c>
      <c r="BI181" s="9">
        <v>0.0</v>
      </c>
      <c r="BJ181" s="9">
        <v>0.0</v>
      </c>
      <c r="BK181" s="9">
        <v>0.0</v>
      </c>
      <c r="BL181" s="9">
        <v>0.0</v>
      </c>
      <c r="BM181" s="9">
        <v>0.0</v>
      </c>
      <c r="BN181" s="9">
        <v>0.0</v>
      </c>
      <c r="BO181" s="9">
        <v>0.0</v>
      </c>
      <c r="BP181" s="9" t="s">
        <v>84</v>
      </c>
      <c r="BQ181" s="9" t="s">
        <v>84</v>
      </c>
      <c r="BR181" s="9">
        <v>0.0</v>
      </c>
      <c r="BS181" s="9">
        <v>0.0</v>
      </c>
      <c r="BT181" s="9">
        <v>0.0</v>
      </c>
      <c r="BU181" s="9">
        <v>0.0</v>
      </c>
      <c r="BV181" s="9">
        <v>0.0</v>
      </c>
      <c r="BW181" s="26" t="s">
        <v>94</v>
      </c>
      <c r="BX181" s="9">
        <v>0.0</v>
      </c>
      <c r="BY181" s="9">
        <v>0.0</v>
      </c>
      <c r="BZ181" s="9">
        <v>1.0</v>
      </c>
      <c r="CA181" s="9">
        <v>0.0</v>
      </c>
      <c r="CB181" s="9">
        <v>0.0</v>
      </c>
      <c r="CC181" s="15" t="s">
        <v>104</v>
      </c>
      <c r="CD181" s="16"/>
    </row>
    <row r="182" ht="15.75" customHeight="1">
      <c r="A182" s="40"/>
      <c r="B182" s="17"/>
      <c r="F182" s="41"/>
      <c r="G182" s="41"/>
      <c r="I182" s="40"/>
      <c r="S182" s="42"/>
      <c r="X182" s="40"/>
      <c r="AG182" s="40"/>
      <c r="AQ182" s="40"/>
      <c r="AX182" s="43"/>
      <c r="AY182" s="43"/>
      <c r="AZ182" s="44"/>
      <c r="BA182" s="44"/>
      <c r="BB182" s="43"/>
      <c r="BC182" s="44"/>
      <c r="BD182" s="44"/>
      <c r="BE182" s="44"/>
      <c r="BW182" s="44"/>
      <c r="BX182" s="45"/>
    </row>
    <row r="183" ht="15.75" customHeight="1">
      <c r="A183" s="40"/>
      <c r="B183" s="17"/>
      <c r="F183" s="41"/>
      <c r="G183" s="41"/>
      <c r="I183" s="40"/>
      <c r="S183" s="42"/>
      <c r="X183" s="40"/>
      <c r="AG183" s="40"/>
      <c r="AQ183" s="40"/>
      <c r="AX183" s="43"/>
      <c r="AY183" s="43"/>
      <c r="AZ183" s="44"/>
      <c r="BA183" s="44"/>
      <c r="BB183" s="43"/>
      <c r="BC183" s="44"/>
      <c r="BD183" s="44"/>
      <c r="BE183" s="44"/>
      <c r="BW183" s="44"/>
      <c r="BX183" s="45"/>
    </row>
    <row r="184" ht="15.75" customHeight="1">
      <c r="A184" s="40"/>
      <c r="B184" s="17"/>
      <c r="F184" s="41"/>
      <c r="G184" s="41"/>
      <c r="I184" s="40"/>
      <c r="S184" s="42"/>
      <c r="X184" s="40"/>
      <c r="AG184" s="40"/>
      <c r="AQ184" s="40"/>
      <c r="AX184" s="43"/>
      <c r="AY184" s="43"/>
      <c r="AZ184" s="44"/>
      <c r="BA184" s="44"/>
      <c r="BB184" s="43"/>
      <c r="BC184" s="44"/>
      <c r="BD184" s="44"/>
      <c r="BE184" s="44"/>
      <c r="BW184" s="44"/>
      <c r="BX184" s="45"/>
    </row>
    <row r="185" ht="15.75" customHeight="1">
      <c r="A185" s="40"/>
      <c r="B185" s="17"/>
      <c r="F185" s="41"/>
      <c r="G185" s="41"/>
      <c r="I185" s="40"/>
      <c r="S185" s="42"/>
      <c r="X185" s="40"/>
      <c r="AG185" s="40"/>
      <c r="AQ185" s="40"/>
      <c r="AX185" s="43"/>
      <c r="AY185" s="43"/>
      <c r="AZ185" s="44"/>
      <c r="BA185" s="44"/>
      <c r="BB185" s="43"/>
      <c r="BC185" s="44"/>
      <c r="BD185" s="44"/>
      <c r="BE185" s="44"/>
      <c r="BW185" s="44"/>
      <c r="BX185" s="45"/>
    </row>
    <row r="186" ht="15.75" customHeight="1">
      <c r="A186" s="40"/>
      <c r="B186" s="17"/>
      <c r="F186" s="41"/>
      <c r="G186" s="41"/>
      <c r="I186" s="40"/>
      <c r="S186" s="42"/>
      <c r="X186" s="40"/>
      <c r="AG186" s="40"/>
      <c r="AQ186" s="40"/>
      <c r="AX186" s="43"/>
      <c r="AY186" s="43"/>
      <c r="AZ186" s="44"/>
      <c r="BA186" s="44"/>
      <c r="BB186" s="43"/>
      <c r="BC186" s="44"/>
      <c r="BD186" s="44"/>
      <c r="BE186" s="44"/>
      <c r="BW186" s="44"/>
      <c r="BX186" s="45"/>
    </row>
    <row r="187" ht="15.75" customHeight="1">
      <c r="A187" s="40"/>
      <c r="B187" s="17"/>
      <c r="F187" s="41"/>
      <c r="G187" s="41"/>
      <c r="I187" s="40"/>
      <c r="S187" s="42"/>
      <c r="X187" s="40"/>
      <c r="AG187" s="40"/>
      <c r="AQ187" s="40"/>
      <c r="AX187" s="43"/>
      <c r="AY187" s="43"/>
      <c r="AZ187" s="44"/>
      <c r="BA187" s="44"/>
      <c r="BB187" s="43"/>
      <c r="BC187" s="44"/>
      <c r="BD187" s="44"/>
      <c r="BE187" s="44"/>
      <c r="BW187" s="44"/>
      <c r="BX187" s="45"/>
    </row>
    <row r="188" ht="15.75" customHeight="1">
      <c r="A188" s="40"/>
      <c r="B188" s="17"/>
      <c r="F188" s="41"/>
      <c r="G188" s="41"/>
      <c r="I188" s="40"/>
      <c r="S188" s="42"/>
      <c r="X188" s="40"/>
      <c r="AG188" s="40"/>
      <c r="AQ188" s="40"/>
      <c r="AX188" s="43"/>
      <c r="AY188" s="43"/>
      <c r="AZ188" s="44"/>
      <c r="BA188" s="44"/>
      <c r="BB188" s="43"/>
      <c r="BC188" s="44"/>
      <c r="BD188" s="44"/>
      <c r="BE188" s="44"/>
      <c r="BW188" s="44"/>
      <c r="BX188" s="45"/>
    </row>
    <row r="189" ht="15.75" customHeight="1">
      <c r="A189" s="40"/>
      <c r="B189" s="17"/>
      <c r="F189" s="41"/>
      <c r="G189" s="41"/>
      <c r="I189" s="40"/>
      <c r="S189" s="42"/>
      <c r="X189" s="40"/>
      <c r="AG189" s="40"/>
      <c r="AQ189" s="40"/>
      <c r="AX189" s="43"/>
      <c r="AY189" s="43"/>
      <c r="AZ189" s="44"/>
      <c r="BA189" s="44"/>
      <c r="BB189" s="43"/>
      <c r="BC189" s="44"/>
      <c r="BD189" s="44"/>
      <c r="BE189" s="44"/>
      <c r="BW189" s="44"/>
      <c r="BX189" s="45"/>
    </row>
    <row r="190" ht="15.75" customHeight="1">
      <c r="A190" s="40"/>
      <c r="B190" s="17"/>
      <c r="F190" s="41"/>
      <c r="G190" s="41"/>
      <c r="I190" s="40"/>
      <c r="S190" s="42"/>
      <c r="X190" s="40"/>
      <c r="AG190" s="40"/>
      <c r="AQ190" s="40"/>
      <c r="AX190" s="43"/>
      <c r="AY190" s="43"/>
      <c r="AZ190" s="44"/>
      <c r="BA190" s="44"/>
      <c r="BB190" s="43"/>
      <c r="BC190" s="44"/>
      <c r="BD190" s="44"/>
      <c r="BE190" s="44"/>
      <c r="BW190" s="44"/>
      <c r="BX190" s="45"/>
    </row>
    <row r="191" ht="15.75" customHeight="1">
      <c r="A191" s="40"/>
      <c r="B191" s="17"/>
      <c r="F191" s="41"/>
      <c r="G191" s="41"/>
      <c r="I191" s="40"/>
      <c r="S191" s="42"/>
      <c r="X191" s="40"/>
      <c r="AG191" s="40"/>
      <c r="AQ191" s="40"/>
      <c r="AX191" s="43"/>
      <c r="AY191" s="43"/>
      <c r="AZ191" s="44"/>
      <c r="BA191" s="44"/>
      <c r="BB191" s="43"/>
      <c r="BC191" s="44"/>
      <c r="BD191" s="44"/>
      <c r="BE191" s="44"/>
      <c r="BW191" s="44"/>
      <c r="BX191" s="45"/>
    </row>
    <row r="192" ht="15.75" customHeight="1">
      <c r="A192" s="40"/>
      <c r="B192" s="17"/>
      <c r="F192" s="41"/>
      <c r="G192" s="41"/>
      <c r="I192" s="40"/>
      <c r="S192" s="42"/>
      <c r="X192" s="40"/>
      <c r="AG192" s="40"/>
      <c r="AQ192" s="40"/>
      <c r="AX192" s="43"/>
      <c r="AY192" s="43"/>
      <c r="AZ192" s="44"/>
      <c r="BA192" s="44"/>
      <c r="BB192" s="43"/>
      <c r="BC192" s="44"/>
      <c r="BD192" s="44"/>
      <c r="BE192" s="44"/>
      <c r="BW192" s="44"/>
      <c r="BX192" s="45"/>
    </row>
    <row r="193" ht="15.75" customHeight="1">
      <c r="A193" s="40"/>
      <c r="B193" s="17"/>
      <c r="F193" s="41"/>
      <c r="G193" s="41"/>
      <c r="I193" s="40"/>
      <c r="S193" s="42"/>
      <c r="X193" s="40"/>
      <c r="AG193" s="40"/>
      <c r="AQ193" s="40"/>
      <c r="AX193" s="43"/>
      <c r="AY193" s="43"/>
      <c r="AZ193" s="44"/>
      <c r="BA193" s="44"/>
      <c r="BB193" s="43"/>
      <c r="BC193" s="44"/>
      <c r="BD193" s="44"/>
      <c r="BE193" s="44"/>
      <c r="BW193" s="44"/>
      <c r="BX193" s="45"/>
    </row>
    <row r="194" ht="15.75" customHeight="1">
      <c r="A194" s="40"/>
      <c r="B194" s="17"/>
      <c r="F194" s="41"/>
      <c r="G194" s="41"/>
      <c r="I194" s="40"/>
      <c r="S194" s="42"/>
      <c r="X194" s="40"/>
      <c r="AG194" s="40"/>
      <c r="AQ194" s="40"/>
      <c r="AX194" s="43"/>
      <c r="AY194" s="43"/>
      <c r="AZ194" s="44"/>
      <c r="BA194" s="44"/>
      <c r="BB194" s="43"/>
      <c r="BC194" s="44"/>
      <c r="BD194" s="44"/>
      <c r="BE194" s="44"/>
      <c r="BW194" s="44"/>
      <c r="BX194" s="45"/>
    </row>
    <row r="195" ht="15.75" customHeight="1">
      <c r="A195" s="40"/>
      <c r="B195" s="17"/>
      <c r="F195" s="41"/>
      <c r="G195" s="41"/>
      <c r="I195" s="40"/>
      <c r="S195" s="42"/>
      <c r="X195" s="40"/>
      <c r="AG195" s="40"/>
      <c r="AQ195" s="40"/>
      <c r="AX195" s="43"/>
      <c r="AY195" s="43"/>
      <c r="AZ195" s="44"/>
      <c r="BA195" s="44"/>
      <c r="BB195" s="43"/>
      <c r="BC195" s="44"/>
      <c r="BD195" s="44"/>
      <c r="BE195" s="44"/>
      <c r="BW195" s="44"/>
      <c r="BX195" s="45"/>
    </row>
    <row r="196" ht="15.75" customHeight="1">
      <c r="A196" s="40"/>
      <c r="B196" s="17"/>
      <c r="F196" s="41"/>
      <c r="G196" s="41"/>
      <c r="I196" s="40"/>
      <c r="S196" s="42"/>
      <c r="X196" s="40"/>
      <c r="AG196" s="40"/>
      <c r="AQ196" s="40"/>
      <c r="AX196" s="43"/>
      <c r="AY196" s="43"/>
      <c r="AZ196" s="44"/>
      <c r="BA196" s="44"/>
      <c r="BB196" s="43"/>
      <c r="BC196" s="44"/>
      <c r="BD196" s="44"/>
      <c r="BE196" s="44"/>
      <c r="BW196" s="44"/>
      <c r="BX196" s="45"/>
    </row>
    <row r="197" ht="15.75" customHeight="1">
      <c r="A197" s="40"/>
      <c r="B197" s="17"/>
      <c r="F197" s="41"/>
      <c r="G197" s="41"/>
      <c r="I197" s="40"/>
      <c r="S197" s="42"/>
      <c r="X197" s="40"/>
      <c r="AG197" s="40"/>
      <c r="AQ197" s="40"/>
      <c r="AX197" s="43"/>
      <c r="AY197" s="43"/>
      <c r="AZ197" s="44"/>
      <c r="BA197" s="44"/>
      <c r="BB197" s="43"/>
      <c r="BC197" s="44"/>
      <c r="BD197" s="44"/>
      <c r="BE197" s="44"/>
      <c r="BW197" s="44"/>
      <c r="BX197" s="45"/>
    </row>
    <row r="198" ht="15.75" customHeight="1">
      <c r="A198" s="40"/>
      <c r="B198" s="17"/>
      <c r="F198" s="41"/>
      <c r="G198" s="41"/>
      <c r="I198" s="40"/>
      <c r="S198" s="42"/>
      <c r="X198" s="40"/>
      <c r="AG198" s="40"/>
      <c r="AQ198" s="40"/>
      <c r="AX198" s="43"/>
      <c r="AY198" s="43"/>
      <c r="AZ198" s="44"/>
      <c r="BA198" s="44"/>
      <c r="BB198" s="43"/>
      <c r="BC198" s="44"/>
      <c r="BD198" s="44"/>
      <c r="BE198" s="44"/>
      <c r="BW198" s="44"/>
      <c r="BX198" s="45"/>
    </row>
    <row r="199" ht="15.75" customHeight="1">
      <c r="A199" s="40"/>
      <c r="B199" s="17"/>
      <c r="F199" s="41"/>
      <c r="G199" s="41"/>
      <c r="I199" s="40"/>
      <c r="S199" s="42"/>
      <c r="X199" s="40"/>
      <c r="AG199" s="40"/>
      <c r="AQ199" s="40"/>
      <c r="AX199" s="43"/>
      <c r="AY199" s="43"/>
      <c r="AZ199" s="44"/>
      <c r="BA199" s="44"/>
      <c r="BB199" s="43"/>
      <c r="BC199" s="44"/>
      <c r="BD199" s="44"/>
      <c r="BE199" s="44"/>
      <c r="BW199" s="44"/>
      <c r="BX199" s="45"/>
    </row>
    <row r="200" ht="15.75" customHeight="1">
      <c r="A200" s="40"/>
      <c r="B200" s="17"/>
      <c r="F200" s="41"/>
      <c r="G200" s="41"/>
      <c r="I200" s="40"/>
      <c r="S200" s="42"/>
      <c r="X200" s="40"/>
      <c r="AG200" s="40"/>
      <c r="AQ200" s="40"/>
      <c r="AX200" s="43"/>
      <c r="AY200" s="43"/>
      <c r="AZ200" s="44"/>
      <c r="BA200" s="44"/>
      <c r="BB200" s="43"/>
      <c r="BC200" s="44"/>
      <c r="BD200" s="44"/>
      <c r="BE200" s="44"/>
      <c r="BW200" s="44"/>
      <c r="BX200" s="45"/>
    </row>
    <row r="201" ht="15.75" customHeight="1">
      <c r="A201" s="40"/>
      <c r="B201" s="17"/>
      <c r="F201" s="41"/>
      <c r="G201" s="41"/>
      <c r="I201" s="40"/>
      <c r="S201" s="42"/>
      <c r="X201" s="40"/>
      <c r="AG201" s="40"/>
      <c r="AQ201" s="40"/>
      <c r="AX201" s="43"/>
      <c r="AY201" s="43"/>
      <c r="AZ201" s="44"/>
      <c r="BA201" s="44"/>
      <c r="BB201" s="43"/>
      <c r="BC201" s="44"/>
      <c r="BD201" s="44"/>
      <c r="BE201" s="44"/>
      <c r="BW201" s="44"/>
      <c r="BX201" s="45"/>
    </row>
    <row r="202" ht="15.75" customHeight="1">
      <c r="A202" s="40"/>
      <c r="B202" s="17"/>
      <c r="F202" s="41"/>
      <c r="G202" s="41"/>
      <c r="I202" s="40"/>
      <c r="S202" s="42"/>
      <c r="X202" s="40"/>
      <c r="AG202" s="40"/>
      <c r="AQ202" s="40"/>
      <c r="AX202" s="43"/>
      <c r="AY202" s="43"/>
      <c r="AZ202" s="44"/>
      <c r="BA202" s="44"/>
      <c r="BB202" s="43"/>
      <c r="BC202" s="44"/>
      <c r="BD202" s="44"/>
      <c r="BE202" s="44"/>
      <c r="BW202" s="44"/>
      <c r="BX202" s="45"/>
    </row>
    <row r="203" ht="15.75" customHeight="1">
      <c r="A203" s="40"/>
      <c r="B203" s="17"/>
      <c r="F203" s="41"/>
      <c r="G203" s="41"/>
      <c r="I203" s="40"/>
      <c r="S203" s="42"/>
      <c r="X203" s="40"/>
      <c r="AG203" s="40"/>
      <c r="AQ203" s="40"/>
      <c r="AX203" s="43"/>
      <c r="AY203" s="43"/>
      <c r="AZ203" s="44"/>
      <c r="BA203" s="44"/>
      <c r="BB203" s="43"/>
      <c r="BC203" s="44"/>
      <c r="BD203" s="44"/>
      <c r="BE203" s="44"/>
      <c r="BW203" s="44"/>
      <c r="BX203" s="45"/>
    </row>
    <row r="204" ht="15.75" customHeight="1">
      <c r="A204" s="40"/>
      <c r="B204" s="17"/>
      <c r="F204" s="41"/>
      <c r="G204" s="41"/>
      <c r="I204" s="40"/>
      <c r="S204" s="42"/>
      <c r="X204" s="40"/>
      <c r="AG204" s="40"/>
      <c r="AQ204" s="40"/>
      <c r="AX204" s="43"/>
      <c r="AY204" s="43"/>
      <c r="AZ204" s="44"/>
      <c r="BA204" s="44"/>
      <c r="BB204" s="43"/>
      <c r="BC204" s="44"/>
      <c r="BD204" s="44"/>
      <c r="BE204" s="44"/>
      <c r="BW204" s="44"/>
      <c r="BX204" s="45"/>
    </row>
    <row r="205" ht="15.75" customHeight="1">
      <c r="A205" s="40"/>
      <c r="B205" s="17"/>
      <c r="F205" s="41"/>
      <c r="G205" s="41"/>
      <c r="I205" s="40"/>
      <c r="S205" s="42"/>
      <c r="X205" s="40"/>
      <c r="AG205" s="40"/>
      <c r="AQ205" s="40"/>
      <c r="AX205" s="43"/>
      <c r="AY205" s="43"/>
      <c r="AZ205" s="44"/>
      <c r="BA205" s="44"/>
      <c r="BB205" s="43"/>
      <c r="BC205" s="44"/>
      <c r="BD205" s="44"/>
      <c r="BE205" s="44"/>
      <c r="BW205" s="44"/>
      <c r="BX205" s="45"/>
    </row>
    <row r="206" ht="15.75" customHeight="1">
      <c r="A206" s="40"/>
      <c r="B206" s="17"/>
      <c r="F206" s="41"/>
      <c r="G206" s="41"/>
      <c r="I206" s="40"/>
      <c r="S206" s="42"/>
      <c r="X206" s="40"/>
      <c r="AG206" s="40"/>
      <c r="AQ206" s="40"/>
      <c r="AX206" s="43"/>
      <c r="AY206" s="43"/>
      <c r="AZ206" s="44"/>
      <c r="BA206" s="44"/>
      <c r="BB206" s="43"/>
      <c r="BC206" s="44"/>
      <c r="BD206" s="44"/>
      <c r="BE206" s="44"/>
      <c r="BW206" s="44"/>
      <c r="BX206" s="45"/>
    </row>
    <row r="207" ht="15.75" customHeight="1">
      <c r="A207" s="40"/>
      <c r="B207" s="17"/>
      <c r="F207" s="41"/>
      <c r="G207" s="41"/>
      <c r="I207" s="40"/>
      <c r="S207" s="42"/>
      <c r="X207" s="40"/>
      <c r="AG207" s="40"/>
      <c r="AQ207" s="40"/>
      <c r="AX207" s="43"/>
      <c r="AY207" s="43"/>
      <c r="AZ207" s="44"/>
      <c r="BA207" s="44"/>
      <c r="BB207" s="43"/>
      <c r="BC207" s="44"/>
      <c r="BD207" s="44"/>
      <c r="BE207" s="44"/>
      <c r="BW207" s="44"/>
      <c r="BX207" s="45"/>
    </row>
    <row r="208" ht="15.75" customHeight="1">
      <c r="A208" s="40"/>
      <c r="B208" s="17"/>
      <c r="F208" s="41"/>
      <c r="G208" s="41"/>
      <c r="I208" s="40"/>
      <c r="S208" s="42"/>
      <c r="X208" s="40"/>
      <c r="AG208" s="40"/>
      <c r="AQ208" s="40"/>
      <c r="AX208" s="43"/>
      <c r="AY208" s="43"/>
      <c r="AZ208" s="44"/>
      <c r="BA208" s="44"/>
      <c r="BB208" s="43"/>
      <c r="BC208" s="44"/>
      <c r="BD208" s="44"/>
      <c r="BE208" s="44"/>
      <c r="BW208" s="44"/>
      <c r="BX208" s="45"/>
    </row>
    <row r="209" ht="15.75" customHeight="1">
      <c r="A209" s="40"/>
      <c r="B209" s="17"/>
      <c r="F209" s="41"/>
      <c r="G209" s="41"/>
      <c r="I209" s="40"/>
      <c r="S209" s="42"/>
      <c r="X209" s="40"/>
      <c r="AG209" s="40"/>
      <c r="AQ209" s="40"/>
      <c r="AX209" s="43"/>
      <c r="AY209" s="43"/>
      <c r="AZ209" s="44"/>
      <c r="BA209" s="44"/>
      <c r="BB209" s="43"/>
      <c r="BC209" s="44"/>
      <c r="BD209" s="44"/>
      <c r="BE209" s="44"/>
      <c r="BW209" s="44"/>
      <c r="BX209" s="45"/>
    </row>
    <row r="210" ht="15.75" customHeight="1">
      <c r="A210" s="40"/>
      <c r="B210" s="17"/>
      <c r="F210" s="41"/>
      <c r="G210" s="41"/>
      <c r="I210" s="40"/>
      <c r="S210" s="42"/>
      <c r="X210" s="40"/>
      <c r="AG210" s="40"/>
      <c r="AQ210" s="40"/>
      <c r="AX210" s="43"/>
      <c r="AY210" s="43"/>
      <c r="AZ210" s="44"/>
      <c r="BA210" s="44"/>
      <c r="BB210" s="43"/>
      <c r="BC210" s="44"/>
      <c r="BD210" s="44"/>
      <c r="BE210" s="44"/>
      <c r="BW210" s="44"/>
      <c r="BX210" s="45"/>
    </row>
    <row r="211" ht="15.75" customHeight="1">
      <c r="A211" s="40"/>
      <c r="B211" s="17"/>
      <c r="F211" s="41"/>
      <c r="G211" s="41"/>
      <c r="I211" s="40"/>
      <c r="S211" s="42"/>
      <c r="X211" s="40"/>
      <c r="AG211" s="40"/>
      <c r="AQ211" s="40"/>
      <c r="AX211" s="43"/>
      <c r="AY211" s="43"/>
      <c r="AZ211" s="44"/>
      <c r="BA211" s="44"/>
      <c r="BB211" s="43"/>
      <c r="BC211" s="44"/>
      <c r="BD211" s="44"/>
      <c r="BE211" s="44"/>
      <c r="BW211" s="44"/>
      <c r="BX211" s="45"/>
    </row>
    <row r="212" ht="15.75" customHeight="1">
      <c r="A212" s="40"/>
      <c r="B212" s="17"/>
      <c r="F212" s="41"/>
      <c r="G212" s="41"/>
      <c r="I212" s="40"/>
      <c r="S212" s="42"/>
      <c r="X212" s="40"/>
      <c r="AG212" s="40"/>
      <c r="AQ212" s="40"/>
      <c r="AX212" s="43"/>
      <c r="AY212" s="43"/>
      <c r="AZ212" s="44"/>
      <c r="BA212" s="44"/>
      <c r="BB212" s="43"/>
      <c r="BC212" s="44"/>
      <c r="BD212" s="44"/>
      <c r="BE212" s="44"/>
      <c r="BW212" s="44"/>
      <c r="BX212" s="45"/>
    </row>
    <row r="213" ht="15.75" customHeight="1">
      <c r="A213" s="40"/>
      <c r="B213" s="17"/>
      <c r="F213" s="41"/>
      <c r="G213" s="41"/>
      <c r="I213" s="40"/>
      <c r="S213" s="42"/>
      <c r="X213" s="40"/>
      <c r="AG213" s="40"/>
      <c r="AQ213" s="40"/>
      <c r="AX213" s="43"/>
      <c r="AY213" s="43"/>
      <c r="AZ213" s="44"/>
      <c r="BA213" s="44"/>
      <c r="BB213" s="43"/>
      <c r="BC213" s="44"/>
      <c r="BD213" s="44"/>
      <c r="BE213" s="44"/>
      <c r="BW213" s="44"/>
      <c r="BX213" s="45"/>
    </row>
    <row r="214" ht="15.75" customHeight="1">
      <c r="A214" s="40"/>
      <c r="B214" s="17"/>
      <c r="F214" s="41"/>
      <c r="G214" s="41"/>
      <c r="I214" s="40"/>
      <c r="S214" s="42"/>
      <c r="X214" s="40"/>
      <c r="AG214" s="40"/>
      <c r="AQ214" s="40"/>
      <c r="AX214" s="43"/>
      <c r="AY214" s="43"/>
      <c r="AZ214" s="44"/>
      <c r="BA214" s="44"/>
      <c r="BB214" s="43"/>
      <c r="BC214" s="44"/>
      <c r="BD214" s="44"/>
      <c r="BE214" s="44"/>
      <c r="BW214" s="44"/>
      <c r="BX214" s="45"/>
    </row>
    <row r="215" ht="15.75" customHeight="1">
      <c r="A215" s="40"/>
      <c r="B215" s="17"/>
      <c r="F215" s="41"/>
      <c r="G215" s="41"/>
      <c r="I215" s="40"/>
      <c r="S215" s="42"/>
      <c r="X215" s="40"/>
      <c r="AG215" s="40"/>
      <c r="AQ215" s="40"/>
      <c r="AX215" s="43"/>
      <c r="AY215" s="43"/>
      <c r="AZ215" s="44"/>
      <c r="BA215" s="44"/>
      <c r="BB215" s="43"/>
      <c r="BC215" s="44"/>
      <c r="BD215" s="44"/>
      <c r="BE215" s="44"/>
      <c r="BW215" s="44"/>
      <c r="BX215" s="45"/>
    </row>
    <row r="216" ht="15.75" customHeight="1">
      <c r="A216" s="40"/>
      <c r="B216" s="17"/>
      <c r="F216" s="41"/>
      <c r="G216" s="41"/>
      <c r="I216" s="40"/>
      <c r="S216" s="42"/>
      <c r="X216" s="40"/>
      <c r="AG216" s="40"/>
      <c r="AQ216" s="40"/>
      <c r="AX216" s="43"/>
      <c r="AY216" s="43"/>
      <c r="AZ216" s="44"/>
      <c r="BA216" s="44"/>
      <c r="BB216" s="43"/>
      <c r="BC216" s="44"/>
      <c r="BD216" s="44"/>
      <c r="BE216" s="44"/>
      <c r="BW216" s="44"/>
      <c r="BX216" s="45"/>
    </row>
    <row r="217" ht="15.75" customHeight="1">
      <c r="A217" s="40"/>
      <c r="B217" s="17"/>
      <c r="F217" s="41"/>
      <c r="G217" s="41"/>
      <c r="I217" s="40"/>
      <c r="S217" s="42"/>
      <c r="X217" s="40"/>
      <c r="AG217" s="40"/>
      <c r="AQ217" s="40"/>
      <c r="AX217" s="43"/>
      <c r="AY217" s="43"/>
      <c r="AZ217" s="44"/>
      <c r="BA217" s="44"/>
      <c r="BB217" s="43"/>
      <c r="BC217" s="44"/>
      <c r="BD217" s="44"/>
      <c r="BE217" s="44"/>
      <c r="BW217" s="44"/>
      <c r="BX217" s="45"/>
    </row>
    <row r="218" ht="15.75" customHeight="1">
      <c r="A218" s="40"/>
      <c r="B218" s="17"/>
      <c r="F218" s="41"/>
      <c r="G218" s="41"/>
      <c r="I218" s="40"/>
      <c r="S218" s="42"/>
      <c r="X218" s="40"/>
      <c r="AG218" s="40"/>
      <c r="AQ218" s="40"/>
      <c r="AX218" s="43"/>
      <c r="AY218" s="43"/>
      <c r="AZ218" s="44"/>
      <c r="BA218" s="44"/>
      <c r="BB218" s="43"/>
      <c r="BC218" s="44"/>
      <c r="BD218" s="44"/>
      <c r="BE218" s="44"/>
      <c r="BW218" s="44"/>
      <c r="BX218" s="45"/>
    </row>
    <row r="219" ht="15.75" customHeight="1">
      <c r="A219" s="40"/>
      <c r="B219" s="17"/>
      <c r="F219" s="41"/>
      <c r="G219" s="41"/>
      <c r="I219" s="40"/>
      <c r="S219" s="42"/>
      <c r="X219" s="40"/>
      <c r="AG219" s="40"/>
      <c r="AQ219" s="40"/>
      <c r="AX219" s="43"/>
      <c r="AY219" s="43"/>
      <c r="AZ219" s="44"/>
      <c r="BA219" s="44"/>
      <c r="BB219" s="43"/>
      <c r="BC219" s="44"/>
      <c r="BD219" s="44"/>
      <c r="BE219" s="44"/>
      <c r="BW219" s="44"/>
      <c r="BX219" s="45"/>
    </row>
    <row r="220" ht="15.75" customHeight="1">
      <c r="A220" s="40"/>
      <c r="B220" s="17"/>
      <c r="F220" s="41"/>
      <c r="G220" s="41"/>
      <c r="I220" s="40"/>
      <c r="S220" s="42"/>
      <c r="X220" s="40"/>
      <c r="AG220" s="40"/>
      <c r="AQ220" s="40"/>
      <c r="AX220" s="43"/>
      <c r="AY220" s="43"/>
      <c r="AZ220" s="44"/>
      <c r="BA220" s="44"/>
      <c r="BB220" s="43"/>
      <c r="BC220" s="44"/>
      <c r="BD220" s="44"/>
      <c r="BE220" s="44"/>
      <c r="BW220" s="44"/>
      <c r="BX220" s="45"/>
    </row>
    <row r="221" ht="15.75" customHeight="1">
      <c r="A221" s="40"/>
      <c r="B221" s="17"/>
      <c r="F221" s="41"/>
      <c r="G221" s="41"/>
      <c r="I221" s="40"/>
      <c r="S221" s="42"/>
      <c r="X221" s="40"/>
      <c r="AG221" s="40"/>
      <c r="AQ221" s="40"/>
      <c r="AX221" s="43"/>
      <c r="AY221" s="43"/>
      <c r="AZ221" s="44"/>
      <c r="BA221" s="44"/>
      <c r="BB221" s="43"/>
      <c r="BC221" s="44"/>
      <c r="BD221" s="44"/>
      <c r="BE221" s="44"/>
      <c r="BW221" s="44"/>
      <c r="BX221" s="45"/>
    </row>
    <row r="222" ht="15.75" customHeight="1">
      <c r="A222" s="40"/>
      <c r="B222" s="17"/>
      <c r="F222" s="41"/>
      <c r="G222" s="41"/>
      <c r="I222" s="40"/>
      <c r="S222" s="42"/>
      <c r="X222" s="40"/>
      <c r="AG222" s="40"/>
      <c r="AQ222" s="40"/>
      <c r="AX222" s="43"/>
      <c r="AY222" s="43"/>
      <c r="AZ222" s="44"/>
      <c r="BA222" s="44"/>
      <c r="BB222" s="43"/>
      <c r="BC222" s="44"/>
      <c r="BD222" s="44"/>
      <c r="BE222" s="44"/>
      <c r="BW222" s="44"/>
      <c r="BX222" s="45"/>
    </row>
    <row r="223" ht="15.75" customHeight="1">
      <c r="A223" s="40"/>
      <c r="B223" s="17"/>
      <c r="F223" s="41"/>
      <c r="G223" s="41"/>
      <c r="I223" s="40"/>
      <c r="S223" s="42"/>
      <c r="X223" s="40"/>
      <c r="AG223" s="40"/>
      <c r="AQ223" s="40"/>
      <c r="AX223" s="43"/>
      <c r="AY223" s="43"/>
      <c r="AZ223" s="44"/>
      <c r="BA223" s="44"/>
      <c r="BB223" s="43"/>
      <c r="BC223" s="44"/>
      <c r="BD223" s="44"/>
      <c r="BE223" s="44"/>
      <c r="BW223" s="44"/>
      <c r="BX223" s="45"/>
    </row>
    <row r="224" ht="15.75" customHeight="1">
      <c r="A224" s="40"/>
      <c r="B224" s="17"/>
      <c r="F224" s="41"/>
      <c r="G224" s="41"/>
      <c r="I224" s="40"/>
      <c r="S224" s="42"/>
      <c r="X224" s="40"/>
      <c r="AG224" s="40"/>
      <c r="AQ224" s="40"/>
      <c r="AX224" s="43"/>
      <c r="AY224" s="43"/>
      <c r="AZ224" s="44"/>
      <c r="BA224" s="44"/>
      <c r="BB224" s="43"/>
      <c r="BC224" s="44"/>
      <c r="BD224" s="44"/>
      <c r="BE224" s="44"/>
      <c r="BW224" s="44"/>
      <c r="BX224" s="45"/>
    </row>
    <row r="225" ht="15.75" customHeight="1">
      <c r="A225" s="40"/>
      <c r="B225" s="17"/>
      <c r="F225" s="41"/>
      <c r="G225" s="41"/>
      <c r="I225" s="40"/>
      <c r="S225" s="42"/>
      <c r="X225" s="40"/>
      <c r="AG225" s="40"/>
      <c r="AQ225" s="40"/>
      <c r="AX225" s="43"/>
      <c r="AY225" s="43"/>
      <c r="AZ225" s="44"/>
      <c r="BA225" s="44"/>
      <c r="BB225" s="43"/>
      <c r="BC225" s="44"/>
      <c r="BD225" s="44"/>
      <c r="BE225" s="44"/>
      <c r="BW225" s="44"/>
      <c r="BX225" s="45"/>
    </row>
    <row r="226" ht="15.75" customHeight="1">
      <c r="A226" s="40"/>
      <c r="B226" s="17"/>
      <c r="F226" s="41"/>
      <c r="G226" s="41"/>
      <c r="I226" s="40"/>
      <c r="S226" s="42"/>
      <c r="X226" s="40"/>
      <c r="AG226" s="40"/>
      <c r="AQ226" s="40"/>
      <c r="AX226" s="43"/>
      <c r="AY226" s="43"/>
      <c r="AZ226" s="44"/>
      <c r="BA226" s="44"/>
      <c r="BB226" s="43"/>
      <c r="BC226" s="44"/>
      <c r="BD226" s="44"/>
      <c r="BE226" s="44"/>
      <c r="BW226" s="44"/>
      <c r="BX226" s="45"/>
    </row>
    <row r="227" ht="15.75" customHeight="1">
      <c r="A227" s="40"/>
      <c r="B227" s="17"/>
      <c r="F227" s="41"/>
      <c r="G227" s="41"/>
      <c r="I227" s="40"/>
      <c r="S227" s="42"/>
      <c r="X227" s="40"/>
      <c r="AG227" s="40"/>
      <c r="AQ227" s="40"/>
      <c r="AX227" s="43"/>
      <c r="AY227" s="43"/>
      <c r="AZ227" s="44"/>
      <c r="BA227" s="44"/>
      <c r="BB227" s="43"/>
      <c r="BC227" s="44"/>
      <c r="BD227" s="44"/>
      <c r="BE227" s="44"/>
      <c r="BW227" s="44"/>
      <c r="BX227" s="45"/>
    </row>
    <row r="228" ht="15.75" customHeight="1">
      <c r="A228" s="40"/>
      <c r="B228" s="17"/>
      <c r="F228" s="41"/>
      <c r="G228" s="41"/>
      <c r="I228" s="40"/>
      <c r="S228" s="42"/>
      <c r="X228" s="40"/>
      <c r="AG228" s="40"/>
      <c r="AQ228" s="40"/>
      <c r="AX228" s="43"/>
      <c r="AY228" s="43"/>
      <c r="AZ228" s="44"/>
      <c r="BA228" s="44"/>
      <c r="BB228" s="43"/>
      <c r="BC228" s="44"/>
      <c r="BD228" s="44"/>
      <c r="BE228" s="44"/>
      <c r="BW228" s="44"/>
      <c r="BX228" s="45"/>
    </row>
    <row r="229" ht="15.75" customHeight="1">
      <c r="A229" s="40"/>
      <c r="B229" s="17"/>
      <c r="F229" s="41"/>
      <c r="G229" s="41"/>
      <c r="I229" s="40"/>
      <c r="S229" s="42"/>
      <c r="X229" s="40"/>
      <c r="AG229" s="40"/>
      <c r="AQ229" s="40"/>
      <c r="AX229" s="43"/>
      <c r="AY229" s="43"/>
      <c r="AZ229" s="44"/>
      <c r="BA229" s="44"/>
      <c r="BB229" s="43"/>
      <c r="BC229" s="44"/>
      <c r="BD229" s="44"/>
      <c r="BE229" s="44"/>
      <c r="BW229" s="44"/>
      <c r="BX229" s="45"/>
    </row>
    <row r="230" ht="15.75" customHeight="1">
      <c r="A230" s="40"/>
      <c r="B230" s="17"/>
      <c r="F230" s="41"/>
      <c r="G230" s="41"/>
      <c r="I230" s="40"/>
      <c r="S230" s="42"/>
      <c r="X230" s="40"/>
      <c r="AG230" s="40"/>
      <c r="AQ230" s="40"/>
      <c r="AX230" s="43"/>
      <c r="AY230" s="43"/>
      <c r="AZ230" s="44"/>
      <c r="BA230" s="44"/>
      <c r="BB230" s="43"/>
      <c r="BC230" s="44"/>
      <c r="BD230" s="44"/>
      <c r="BE230" s="44"/>
      <c r="BW230" s="44"/>
      <c r="BX230" s="45"/>
    </row>
    <row r="231" ht="15.75" customHeight="1">
      <c r="A231" s="40"/>
      <c r="B231" s="17"/>
      <c r="F231" s="41"/>
      <c r="G231" s="41"/>
      <c r="I231" s="40"/>
      <c r="S231" s="42"/>
      <c r="X231" s="40"/>
      <c r="AG231" s="40"/>
      <c r="AQ231" s="40"/>
      <c r="AX231" s="43"/>
      <c r="AY231" s="43"/>
      <c r="AZ231" s="44"/>
      <c r="BA231" s="44"/>
      <c r="BB231" s="43"/>
      <c r="BC231" s="44"/>
      <c r="BD231" s="44"/>
      <c r="BE231" s="44"/>
      <c r="BW231" s="44"/>
      <c r="BX231" s="45"/>
    </row>
    <row r="232" ht="15.75" customHeight="1">
      <c r="A232" s="40"/>
      <c r="B232" s="17"/>
      <c r="F232" s="41"/>
      <c r="G232" s="41"/>
      <c r="I232" s="40"/>
      <c r="S232" s="42"/>
      <c r="X232" s="40"/>
      <c r="AG232" s="40"/>
      <c r="AQ232" s="40"/>
      <c r="AX232" s="43"/>
      <c r="AY232" s="43"/>
      <c r="AZ232" s="44"/>
      <c r="BA232" s="44"/>
      <c r="BB232" s="43"/>
      <c r="BC232" s="44"/>
      <c r="BD232" s="44"/>
      <c r="BE232" s="44"/>
      <c r="BW232" s="44"/>
      <c r="BX232" s="45"/>
    </row>
    <row r="233" ht="15.75" customHeight="1">
      <c r="A233" s="40"/>
      <c r="B233" s="17"/>
      <c r="F233" s="41"/>
      <c r="G233" s="41"/>
      <c r="I233" s="40"/>
      <c r="S233" s="42"/>
      <c r="X233" s="40"/>
      <c r="AG233" s="40"/>
      <c r="AQ233" s="40"/>
      <c r="AX233" s="43"/>
      <c r="AY233" s="43"/>
      <c r="AZ233" s="44"/>
      <c r="BA233" s="44"/>
      <c r="BB233" s="43"/>
      <c r="BC233" s="44"/>
      <c r="BD233" s="44"/>
      <c r="BE233" s="44"/>
      <c r="BW233" s="44"/>
      <c r="BX233" s="45"/>
    </row>
    <row r="234" ht="15.75" customHeight="1">
      <c r="A234" s="40"/>
      <c r="B234" s="17"/>
      <c r="F234" s="41"/>
      <c r="G234" s="41"/>
      <c r="I234" s="40"/>
      <c r="S234" s="42"/>
      <c r="X234" s="40"/>
      <c r="AG234" s="40"/>
      <c r="AQ234" s="40"/>
      <c r="AX234" s="43"/>
      <c r="AY234" s="43"/>
      <c r="AZ234" s="44"/>
      <c r="BA234" s="44"/>
      <c r="BB234" s="43"/>
      <c r="BC234" s="44"/>
      <c r="BD234" s="44"/>
      <c r="BE234" s="44"/>
      <c r="BW234" s="44"/>
      <c r="BX234" s="45"/>
    </row>
    <row r="235" ht="15.75" customHeight="1">
      <c r="A235" s="40"/>
      <c r="B235" s="17"/>
      <c r="F235" s="41"/>
      <c r="G235" s="41"/>
      <c r="I235" s="40"/>
      <c r="S235" s="42"/>
      <c r="X235" s="40"/>
      <c r="AG235" s="40"/>
      <c r="AQ235" s="40"/>
      <c r="AX235" s="43"/>
      <c r="AY235" s="43"/>
      <c r="AZ235" s="44"/>
      <c r="BA235" s="44"/>
      <c r="BB235" s="43"/>
      <c r="BC235" s="44"/>
      <c r="BD235" s="44"/>
      <c r="BE235" s="44"/>
      <c r="BW235" s="44"/>
      <c r="BX235" s="45"/>
    </row>
    <row r="236" ht="15.75" customHeight="1">
      <c r="A236" s="40"/>
      <c r="B236" s="17"/>
      <c r="F236" s="41"/>
      <c r="G236" s="41"/>
      <c r="I236" s="40"/>
      <c r="S236" s="42"/>
      <c r="X236" s="40"/>
      <c r="AG236" s="40"/>
      <c r="AQ236" s="40"/>
      <c r="AX236" s="43"/>
      <c r="AY236" s="43"/>
      <c r="AZ236" s="44"/>
      <c r="BA236" s="44"/>
      <c r="BB236" s="43"/>
      <c r="BC236" s="44"/>
      <c r="BD236" s="44"/>
      <c r="BE236" s="44"/>
      <c r="BW236" s="44"/>
      <c r="BX236" s="45"/>
    </row>
    <row r="237" ht="15.75" customHeight="1">
      <c r="A237" s="40"/>
      <c r="B237" s="17"/>
      <c r="F237" s="41"/>
      <c r="G237" s="41"/>
      <c r="I237" s="40"/>
      <c r="S237" s="42"/>
      <c r="X237" s="40"/>
      <c r="AG237" s="40"/>
      <c r="AQ237" s="40"/>
      <c r="AX237" s="43"/>
      <c r="AY237" s="43"/>
      <c r="AZ237" s="44"/>
      <c r="BA237" s="44"/>
      <c r="BB237" s="43"/>
      <c r="BC237" s="44"/>
      <c r="BD237" s="44"/>
      <c r="BE237" s="44"/>
      <c r="BW237" s="44"/>
      <c r="BX237" s="45"/>
    </row>
    <row r="238" ht="15.75" customHeight="1">
      <c r="A238" s="40"/>
      <c r="B238" s="17"/>
      <c r="F238" s="41"/>
      <c r="G238" s="41"/>
      <c r="I238" s="40"/>
      <c r="S238" s="42"/>
      <c r="X238" s="40"/>
      <c r="AG238" s="40"/>
      <c r="AQ238" s="40"/>
      <c r="AX238" s="43"/>
      <c r="AY238" s="43"/>
      <c r="AZ238" s="44"/>
      <c r="BA238" s="44"/>
      <c r="BB238" s="43"/>
      <c r="BC238" s="44"/>
      <c r="BD238" s="44"/>
      <c r="BE238" s="44"/>
      <c r="BW238" s="44"/>
      <c r="BX238" s="45"/>
    </row>
    <row r="239" ht="15.75" customHeight="1">
      <c r="A239" s="40"/>
      <c r="B239" s="17"/>
      <c r="F239" s="41"/>
      <c r="G239" s="41"/>
      <c r="I239" s="40"/>
      <c r="S239" s="42"/>
      <c r="X239" s="40"/>
      <c r="AG239" s="40"/>
      <c r="AQ239" s="40"/>
      <c r="AX239" s="43"/>
      <c r="AY239" s="43"/>
      <c r="AZ239" s="44"/>
      <c r="BA239" s="44"/>
      <c r="BB239" s="43"/>
      <c r="BC239" s="44"/>
      <c r="BD239" s="44"/>
      <c r="BE239" s="44"/>
      <c r="BW239" s="44"/>
      <c r="BX239" s="45"/>
    </row>
    <row r="240" ht="15.75" customHeight="1">
      <c r="A240" s="40"/>
      <c r="B240" s="17"/>
      <c r="F240" s="41"/>
      <c r="G240" s="41"/>
      <c r="I240" s="40"/>
      <c r="S240" s="42"/>
      <c r="X240" s="40"/>
      <c r="AG240" s="40"/>
      <c r="AQ240" s="40"/>
      <c r="AX240" s="43"/>
      <c r="AY240" s="43"/>
      <c r="AZ240" s="44"/>
      <c r="BA240" s="44"/>
      <c r="BB240" s="43"/>
      <c r="BC240" s="44"/>
      <c r="BD240" s="44"/>
      <c r="BE240" s="44"/>
      <c r="BW240" s="44"/>
      <c r="BX240" s="45"/>
    </row>
    <row r="241" ht="15.75" customHeight="1">
      <c r="A241" s="40"/>
      <c r="B241" s="17"/>
      <c r="F241" s="41"/>
      <c r="G241" s="41"/>
      <c r="I241" s="40"/>
      <c r="S241" s="42"/>
      <c r="X241" s="40"/>
      <c r="AG241" s="40"/>
      <c r="AQ241" s="40"/>
      <c r="AX241" s="43"/>
      <c r="AY241" s="43"/>
      <c r="AZ241" s="44"/>
      <c r="BA241" s="44"/>
      <c r="BB241" s="43"/>
      <c r="BC241" s="44"/>
      <c r="BD241" s="44"/>
      <c r="BE241" s="44"/>
      <c r="BW241" s="44"/>
      <c r="BX241" s="45"/>
    </row>
    <row r="242" ht="15.75" customHeight="1">
      <c r="A242" s="40"/>
      <c r="B242" s="17"/>
      <c r="F242" s="41"/>
      <c r="G242" s="41"/>
      <c r="I242" s="40"/>
      <c r="S242" s="42"/>
      <c r="X242" s="40"/>
      <c r="AG242" s="40"/>
      <c r="AQ242" s="40"/>
      <c r="AX242" s="43"/>
      <c r="AY242" s="43"/>
      <c r="AZ242" s="44"/>
      <c r="BA242" s="44"/>
      <c r="BB242" s="43"/>
      <c r="BC242" s="44"/>
      <c r="BD242" s="44"/>
      <c r="BE242" s="44"/>
      <c r="BW242" s="44"/>
      <c r="BX242" s="45"/>
    </row>
    <row r="243" ht="15.75" customHeight="1">
      <c r="A243" s="40"/>
      <c r="B243" s="17"/>
      <c r="F243" s="41"/>
      <c r="G243" s="41"/>
      <c r="I243" s="40"/>
      <c r="S243" s="42"/>
      <c r="X243" s="40"/>
      <c r="AG243" s="40"/>
      <c r="AQ243" s="40"/>
      <c r="AX243" s="43"/>
      <c r="AY243" s="43"/>
      <c r="AZ243" s="44"/>
      <c r="BA243" s="44"/>
      <c r="BB243" s="43"/>
      <c r="BC243" s="44"/>
      <c r="BD243" s="44"/>
      <c r="BE243" s="44"/>
      <c r="BW243" s="44"/>
      <c r="BX243" s="45"/>
    </row>
    <row r="244" ht="15.75" customHeight="1">
      <c r="A244" s="40"/>
      <c r="B244" s="17"/>
      <c r="F244" s="41"/>
      <c r="G244" s="41"/>
      <c r="I244" s="40"/>
      <c r="S244" s="42"/>
      <c r="X244" s="40"/>
      <c r="AG244" s="40"/>
      <c r="AQ244" s="40"/>
      <c r="AX244" s="43"/>
      <c r="AY244" s="43"/>
      <c r="AZ244" s="44"/>
      <c r="BA244" s="44"/>
      <c r="BB244" s="43"/>
      <c r="BC244" s="44"/>
      <c r="BD244" s="44"/>
      <c r="BE244" s="44"/>
      <c r="BW244" s="44"/>
      <c r="BX244" s="45"/>
    </row>
    <row r="245" ht="15.75" customHeight="1">
      <c r="A245" s="40"/>
      <c r="B245" s="17"/>
      <c r="F245" s="41"/>
      <c r="G245" s="41"/>
      <c r="I245" s="40"/>
      <c r="S245" s="42"/>
      <c r="X245" s="40"/>
      <c r="AG245" s="40"/>
      <c r="AQ245" s="40"/>
      <c r="AX245" s="43"/>
      <c r="AY245" s="43"/>
      <c r="AZ245" s="44"/>
      <c r="BA245" s="44"/>
      <c r="BB245" s="43"/>
      <c r="BC245" s="44"/>
      <c r="BD245" s="44"/>
      <c r="BE245" s="44"/>
      <c r="BW245" s="44"/>
      <c r="BX245" s="45"/>
    </row>
    <row r="246" ht="15.75" customHeight="1">
      <c r="A246" s="40"/>
      <c r="B246" s="17"/>
      <c r="F246" s="41"/>
      <c r="G246" s="41"/>
      <c r="I246" s="40"/>
      <c r="S246" s="42"/>
      <c r="X246" s="40"/>
      <c r="AG246" s="40"/>
      <c r="AQ246" s="40"/>
      <c r="AX246" s="43"/>
      <c r="AY246" s="43"/>
      <c r="AZ246" s="44"/>
      <c r="BA246" s="44"/>
      <c r="BB246" s="43"/>
      <c r="BC246" s="44"/>
      <c r="BD246" s="44"/>
      <c r="BE246" s="44"/>
      <c r="BW246" s="44"/>
      <c r="BX246" s="45"/>
    </row>
    <row r="247" ht="15.75" customHeight="1">
      <c r="A247" s="40"/>
      <c r="B247" s="17"/>
      <c r="F247" s="41"/>
      <c r="G247" s="41"/>
      <c r="I247" s="40"/>
      <c r="S247" s="42"/>
      <c r="X247" s="40"/>
      <c r="AG247" s="40"/>
      <c r="AQ247" s="40"/>
      <c r="AX247" s="43"/>
      <c r="AY247" s="43"/>
      <c r="AZ247" s="44"/>
      <c r="BA247" s="44"/>
      <c r="BB247" s="43"/>
      <c r="BC247" s="44"/>
      <c r="BD247" s="44"/>
      <c r="BE247" s="44"/>
      <c r="BW247" s="44"/>
      <c r="BX247" s="45"/>
    </row>
    <row r="248" ht="15.75" customHeight="1">
      <c r="A248" s="40"/>
      <c r="B248" s="17"/>
      <c r="F248" s="41"/>
      <c r="G248" s="41"/>
      <c r="I248" s="40"/>
      <c r="S248" s="42"/>
      <c r="X248" s="40"/>
      <c r="AG248" s="40"/>
      <c r="AQ248" s="40"/>
      <c r="AX248" s="43"/>
      <c r="AY248" s="43"/>
      <c r="AZ248" s="44"/>
      <c r="BA248" s="44"/>
      <c r="BB248" s="43"/>
      <c r="BC248" s="44"/>
      <c r="BD248" s="44"/>
      <c r="BE248" s="44"/>
      <c r="BW248" s="44"/>
      <c r="BX248" s="45"/>
    </row>
    <row r="249" ht="15.75" customHeight="1">
      <c r="A249" s="40"/>
      <c r="B249" s="17"/>
      <c r="F249" s="41"/>
      <c r="G249" s="41"/>
      <c r="I249" s="40"/>
      <c r="S249" s="42"/>
      <c r="X249" s="40"/>
      <c r="AG249" s="40"/>
      <c r="AQ249" s="40"/>
      <c r="AX249" s="43"/>
      <c r="AY249" s="43"/>
      <c r="AZ249" s="44"/>
      <c r="BA249" s="44"/>
      <c r="BB249" s="43"/>
      <c r="BC249" s="44"/>
      <c r="BD249" s="44"/>
      <c r="BE249" s="44"/>
      <c r="BW249" s="44"/>
      <c r="BX249" s="45"/>
    </row>
    <row r="250" ht="15.75" customHeight="1">
      <c r="A250" s="40"/>
      <c r="B250" s="17"/>
      <c r="F250" s="41"/>
      <c r="G250" s="41"/>
      <c r="I250" s="40"/>
      <c r="S250" s="42"/>
      <c r="X250" s="40"/>
      <c r="AG250" s="40"/>
      <c r="AQ250" s="40"/>
      <c r="AX250" s="43"/>
      <c r="AY250" s="43"/>
      <c r="AZ250" s="44"/>
      <c r="BA250" s="44"/>
      <c r="BB250" s="43"/>
      <c r="BC250" s="44"/>
      <c r="BD250" s="44"/>
      <c r="BE250" s="44"/>
      <c r="BW250" s="44"/>
      <c r="BX250" s="45"/>
    </row>
    <row r="251" ht="15.75" customHeight="1">
      <c r="A251" s="40"/>
      <c r="B251" s="17"/>
      <c r="F251" s="41"/>
      <c r="G251" s="41"/>
      <c r="I251" s="40"/>
      <c r="S251" s="42"/>
      <c r="X251" s="40"/>
      <c r="AG251" s="40"/>
      <c r="AQ251" s="40"/>
      <c r="AX251" s="43"/>
      <c r="AY251" s="43"/>
      <c r="AZ251" s="44"/>
      <c r="BA251" s="44"/>
      <c r="BB251" s="43"/>
      <c r="BC251" s="44"/>
      <c r="BD251" s="44"/>
      <c r="BE251" s="44"/>
      <c r="BW251" s="44"/>
      <c r="BX251" s="45"/>
    </row>
    <row r="252" ht="15.75" customHeight="1">
      <c r="A252" s="40"/>
      <c r="B252" s="17"/>
      <c r="F252" s="41"/>
      <c r="G252" s="41"/>
      <c r="I252" s="40"/>
      <c r="S252" s="42"/>
      <c r="X252" s="40"/>
      <c r="AG252" s="40"/>
      <c r="AQ252" s="40"/>
      <c r="AX252" s="43"/>
      <c r="AY252" s="43"/>
      <c r="AZ252" s="44"/>
      <c r="BA252" s="44"/>
      <c r="BB252" s="43"/>
      <c r="BC252" s="44"/>
      <c r="BD252" s="44"/>
      <c r="BE252" s="44"/>
      <c r="BW252" s="44"/>
      <c r="BX252" s="45"/>
    </row>
    <row r="253" ht="15.75" customHeight="1">
      <c r="A253" s="40"/>
      <c r="B253" s="17"/>
      <c r="F253" s="41"/>
      <c r="G253" s="41"/>
      <c r="I253" s="40"/>
      <c r="S253" s="42"/>
      <c r="X253" s="40"/>
      <c r="AG253" s="40"/>
      <c r="AQ253" s="40"/>
      <c r="AX253" s="43"/>
      <c r="AY253" s="43"/>
      <c r="AZ253" s="44"/>
      <c r="BA253" s="44"/>
      <c r="BB253" s="43"/>
      <c r="BC253" s="44"/>
      <c r="BD253" s="44"/>
      <c r="BE253" s="44"/>
      <c r="BW253" s="44"/>
      <c r="BX253" s="45"/>
    </row>
    <row r="254" ht="15.75" customHeight="1">
      <c r="A254" s="40"/>
      <c r="B254" s="17"/>
      <c r="F254" s="41"/>
      <c r="G254" s="41"/>
      <c r="I254" s="40"/>
      <c r="S254" s="42"/>
      <c r="X254" s="40"/>
      <c r="AG254" s="40"/>
      <c r="AQ254" s="40"/>
      <c r="AX254" s="43"/>
      <c r="AY254" s="43"/>
      <c r="AZ254" s="44"/>
      <c r="BA254" s="44"/>
      <c r="BB254" s="43"/>
      <c r="BC254" s="44"/>
      <c r="BD254" s="44"/>
      <c r="BE254" s="44"/>
      <c r="BW254" s="44"/>
      <c r="BX254" s="45"/>
    </row>
    <row r="255" ht="15.75" customHeight="1">
      <c r="A255" s="40"/>
      <c r="B255" s="17"/>
      <c r="F255" s="41"/>
      <c r="G255" s="41"/>
      <c r="I255" s="40"/>
      <c r="S255" s="42"/>
      <c r="X255" s="40"/>
      <c r="AG255" s="40"/>
      <c r="AQ255" s="40"/>
      <c r="AX255" s="43"/>
      <c r="AY255" s="43"/>
      <c r="AZ255" s="44"/>
      <c r="BA255" s="44"/>
      <c r="BB255" s="43"/>
      <c r="BC255" s="44"/>
      <c r="BD255" s="44"/>
      <c r="BE255" s="44"/>
      <c r="BW255" s="44"/>
      <c r="BX255" s="45"/>
    </row>
    <row r="256" ht="15.75" customHeight="1">
      <c r="A256" s="40"/>
      <c r="B256" s="17"/>
      <c r="F256" s="41"/>
      <c r="G256" s="41"/>
      <c r="I256" s="40"/>
      <c r="S256" s="42"/>
      <c r="X256" s="40"/>
      <c r="AG256" s="40"/>
      <c r="AQ256" s="40"/>
      <c r="AX256" s="43"/>
      <c r="AY256" s="43"/>
      <c r="AZ256" s="44"/>
      <c r="BA256" s="44"/>
      <c r="BB256" s="43"/>
      <c r="BC256" s="44"/>
      <c r="BD256" s="44"/>
      <c r="BE256" s="44"/>
      <c r="BW256" s="44"/>
      <c r="BX256" s="45"/>
    </row>
    <row r="257" ht="15.75" customHeight="1">
      <c r="A257" s="40"/>
      <c r="B257" s="17"/>
      <c r="F257" s="41"/>
      <c r="G257" s="41"/>
      <c r="I257" s="40"/>
      <c r="S257" s="42"/>
      <c r="X257" s="40"/>
      <c r="AG257" s="40"/>
      <c r="AQ257" s="40"/>
      <c r="AX257" s="43"/>
      <c r="AY257" s="43"/>
      <c r="AZ257" s="44"/>
      <c r="BA257" s="44"/>
      <c r="BB257" s="43"/>
      <c r="BC257" s="44"/>
      <c r="BD257" s="44"/>
      <c r="BE257" s="44"/>
      <c r="BW257" s="44"/>
      <c r="BX257" s="45"/>
    </row>
    <row r="258" ht="15.75" customHeight="1">
      <c r="A258" s="40"/>
      <c r="B258" s="17"/>
      <c r="F258" s="41"/>
      <c r="G258" s="41"/>
      <c r="I258" s="40"/>
      <c r="S258" s="42"/>
      <c r="X258" s="40"/>
      <c r="AG258" s="40"/>
      <c r="AQ258" s="40"/>
      <c r="AX258" s="43"/>
      <c r="AY258" s="43"/>
      <c r="AZ258" s="44"/>
      <c r="BA258" s="44"/>
      <c r="BB258" s="43"/>
      <c r="BC258" s="44"/>
      <c r="BD258" s="44"/>
      <c r="BE258" s="44"/>
      <c r="BW258" s="44"/>
      <c r="BX258" s="45"/>
    </row>
    <row r="259" ht="15.75" customHeight="1">
      <c r="A259" s="40"/>
      <c r="B259" s="17"/>
      <c r="F259" s="41"/>
      <c r="G259" s="41"/>
      <c r="I259" s="40"/>
      <c r="S259" s="42"/>
      <c r="X259" s="40"/>
      <c r="AG259" s="40"/>
      <c r="AQ259" s="40"/>
      <c r="AX259" s="43"/>
      <c r="AY259" s="43"/>
      <c r="AZ259" s="44"/>
      <c r="BA259" s="44"/>
      <c r="BB259" s="43"/>
      <c r="BC259" s="44"/>
      <c r="BD259" s="44"/>
      <c r="BE259" s="44"/>
      <c r="BW259" s="44"/>
      <c r="BX259" s="45"/>
    </row>
    <row r="260" ht="15.75" customHeight="1">
      <c r="A260" s="40"/>
      <c r="B260" s="17"/>
      <c r="F260" s="41"/>
      <c r="G260" s="41"/>
      <c r="I260" s="40"/>
      <c r="S260" s="42"/>
      <c r="X260" s="40"/>
      <c r="AG260" s="40"/>
      <c r="AQ260" s="40"/>
      <c r="AX260" s="43"/>
      <c r="AY260" s="43"/>
      <c r="AZ260" s="44"/>
      <c r="BA260" s="44"/>
      <c r="BB260" s="43"/>
      <c r="BC260" s="44"/>
      <c r="BD260" s="44"/>
      <c r="BE260" s="44"/>
      <c r="BW260" s="44"/>
      <c r="BX260" s="45"/>
    </row>
    <row r="261" ht="15.75" customHeight="1">
      <c r="A261" s="40"/>
      <c r="B261" s="17"/>
      <c r="F261" s="41"/>
      <c r="G261" s="41"/>
      <c r="I261" s="40"/>
      <c r="S261" s="42"/>
      <c r="X261" s="40"/>
      <c r="AG261" s="40"/>
      <c r="AQ261" s="40"/>
      <c r="AX261" s="43"/>
      <c r="AY261" s="43"/>
      <c r="AZ261" s="44"/>
      <c r="BA261" s="44"/>
      <c r="BB261" s="43"/>
      <c r="BC261" s="44"/>
      <c r="BD261" s="44"/>
      <c r="BE261" s="44"/>
      <c r="BW261" s="44"/>
      <c r="BX261" s="45"/>
    </row>
    <row r="262" ht="15.75" customHeight="1">
      <c r="A262" s="40"/>
      <c r="B262" s="17"/>
      <c r="F262" s="41"/>
      <c r="G262" s="41"/>
      <c r="I262" s="40"/>
      <c r="S262" s="42"/>
      <c r="X262" s="40"/>
      <c r="AG262" s="40"/>
      <c r="AQ262" s="40"/>
      <c r="AX262" s="43"/>
      <c r="AY262" s="43"/>
      <c r="AZ262" s="44"/>
      <c r="BA262" s="44"/>
      <c r="BB262" s="43"/>
      <c r="BC262" s="44"/>
      <c r="BD262" s="44"/>
      <c r="BE262" s="44"/>
      <c r="BW262" s="44"/>
      <c r="BX262" s="45"/>
    </row>
    <row r="263" ht="15.75" customHeight="1">
      <c r="A263" s="40"/>
      <c r="B263" s="17"/>
      <c r="F263" s="41"/>
      <c r="G263" s="41"/>
      <c r="I263" s="40"/>
      <c r="S263" s="42"/>
      <c r="X263" s="40"/>
      <c r="AG263" s="40"/>
      <c r="AQ263" s="40"/>
      <c r="AX263" s="43"/>
      <c r="AY263" s="43"/>
      <c r="AZ263" s="44"/>
      <c r="BA263" s="44"/>
      <c r="BB263" s="43"/>
      <c r="BC263" s="44"/>
      <c r="BD263" s="44"/>
      <c r="BE263" s="44"/>
      <c r="BW263" s="44"/>
      <c r="BX263" s="45"/>
    </row>
    <row r="264" ht="15.75" customHeight="1">
      <c r="A264" s="40"/>
      <c r="B264" s="17"/>
      <c r="F264" s="41"/>
      <c r="G264" s="41"/>
      <c r="I264" s="40"/>
      <c r="S264" s="42"/>
      <c r="X264" s="40"/>
      <c r="AG264" s="40"/>
      <c r="AQ264" s="40"/>
      <c r="AX264" s="43"/>
      <c r="AY264" s="43"/>
      <c r="AZ264" s="44"/>
      <c r="BA264" s="44"/>
      <c r="BB264" s="43"/>
      <c r="BC264" s="44"/>
      <c r="BD264" s="44"/>
      <c r="BE264" s="44"/>
      <c r="BW264" s="44"/>
      <c r="BX264" s="45"/>
    </row>
    <row r="265" ht="15.75" customHeight="1">
      <c r="A265" s="40"/>
      <c r="B265" s="17"/>
      <c r="F265" s="41"/>
      <c r="G265" s="41"/>
      <c r="I265" s="40"/>
      <c r="S265" s="42"/>
      <c r="X265" s="40"/>
      <c r="AG265" s="40"/>
      <c r="AQ265" s="40"/>
      <c r="AX265" s="43"/>
      <c r="AY265" s="43"/>
      <c r="AZ265" s="44"/>
      <c r="BA265" s="44"/>
      <c r="BB265" s="43"/>
      <c r="BC265" s="44"/>
      <c r="BD265" s="44"/>
      <c r="BE265" s="44"/>
      <c r="BW265" s="44"/>
      <c r="BX265" s="45"/>
    </row>
    <row r="266" ht="15.75" customHeight="1">
      <c r="A266" s="40"/>
      <c r="B266" s="17"/>
      <c r="F266" s="41"/>
      <c r="G266" s="41"/>
      <c r="I266" s="40"/>
      <c r="S266" s="42"/>
      <c r="X266" s="40"/>
      <c r="AG266" s="40"/>
      <c r="AQ266" s="40"/>
      <c r="AX266" s="43"/>
      <c r="AY266" s="43"/>
      <c r="AZ266" s="44"/>
      <c r="BA266" s="44"/>
      <c r="BB266" s="43"/>
      <c r="BC266" s="44"/>
      <c r="BD266" s="44"/>
      <c r="BE266" s="44"/>
      <c r="BW266" s="44"/>
      <c r="BX266" s="45"/>
    </row>
    <row r="267" ht="15.75" customHeight="1">
      <c r="A267" s="40"/>
      <c r="B267" s="17"/>
      <c r="F267" s="41"/>
      <c r="G267" s="41"/>
      <c r="I267" s="40"/>
      <c r="S267" s="42"/>
      <c r="X267" s="40"/>
      <c r="AG267" s="40"/>
      <c r="AQ267" s="40"/>
      <c r="AX267" s="43"/>
      <c r="AY267" s="43"/>
      <c r="AZ267" s="44"/>
      <c r="BA267" s="44"/>
      <c r="BB267" s="43"/>
      <c r="BC267" s="44"/>
      <c r="BD267" s="44"/>
      <c r="BE267" s="44"/>
      <c r="BW267" s="44"/>
      <c r="BX267" s="45"/>
    </row>
    <row r="268" ht="15.75" customHeight="1">
      <c r="A268" s="40"/>
      <c r="B268" s="17"/>
      <c r="F268" s="41"/>
      <c r="G268" s="41"/>
      <c r="I268" s="40"/>
      <c r="S268" s="42"/>
      <c r="X268" s="40"/>
      <c r="AG268" s="40"/>
      <c r="AQ268" s="40"/>
      <c r="AX268" s="43"/>
      <c r="AY268" s="43"/>
      <c r="AZ268" s="44"/>
      <c r="BA268" s="44"/>
      <c r="BB268" s="43"/>
      <c r="BC268" s="44"/>
      <c r="BD268" s="44"/>
      <c r="BE268" s="44"/>
      <c r="BW268" s="44"/>
      <c r="BX268" s="45"/>
    </row>
    <row r="269" ht="15.75" customHeight="1">
      <c r="A269" s="40"/>
      <c r="B269" s="17"/>
      <c r="F269" s="41"/>
      <c r="G269" s="41"/>
      <c r="I269" s="40"/>
      <c r="S269" s="42"/>
      <c r="X269" s="40"/>
      <c r="AG269" s="40"/>
      <c r="AQ269" s="40"/>
      <c r="AX269" s="43"/>
      <c r="AY269" s="43"/>
      <c r="AZ269" s="44"/>
      <c r="BA269" s="44"/>
      <c r="BB269" s="43"/>
      <c r="BC269" s="44"/>
      <c r="BD269" s="44"/>
      <c r="BE269" s="44"/>
      <c r="BW269" s="44"/>
      <c r="BX269" s="45"/>
    </row>
    <row r="270" ht="15.75" customHeight="1">
      <c r="A270" s="40"/>
      <c r="B270" s="17"/>
      <c r="F270" s="41"/>
      <c r="G270" s="41"/>
      <c r="I270" s="40"/>
      <c r="S270" s="42"/>
      <c r="X270" s="40"/>
      <c r="AG270" s="40"/>
      <c r="AQ270" s="40"/>
      <c r="AX270" s="43"/>
      <c r="AY270" s="43"/>
      <c r="AZ270" s="44"/>
      <c r="BA270" s="44"/>
      <c r="BB270" s="43"/>
      <c r="BC270" s="44"/>
      <c r="BD270" s="44"/>
      <c r="BE270" s="44"/>
      <c r="BW270" s="44"/>
      <c r="BX270" s="45"/>
    </row>
    <row r="271" ht="15.75" customHeight="1">
      <c r="A271" s="40"/>
      <c r="B271" s="17"/>
      <c r="F271" s="41"/>
      <c r="G271" s="41"/>
      <c r="I271" s="40"/>
      <c r="S271" s="42"/>
      <c r="X271" s="40"/>
      <c r="AG271" s="40"/>
      <c r="AQ271" s="40"/>
      <c r="AX271" s="43"/>
      <c r="AY271" s="43"/>
      <c r="AZ271" s="44"/>
      <c r="BA271" s="44"/>
      <c r="BB271" s="43"/>
      <c r="BC271" s="44"/>
      <c r="BD271" s="44"/>
      <c r="BE271" s="44"/>
      <c r="BW271" s="44"/>
      <c r="BX271" s="45"/>
    </row>
    <row r="272" ht="15.75" customHeight="1">
      <c r="A272" s="40"/>
      <c r="B272" s="17"/>
      <c r="F272" s="41"/>
      <c r="G272" s="41"/>
      <c r="I272" s="40"/>
      <c r="S272" s="42"/>
      <c r="X272" s="40"/>
      <c r="AG272" s="40"/>
      <c r="AQ272" s="40"/>
      <c r="AX272" s="43"/>
      <c r="AY272" s="43"/>
      <c r="AZ272" s="44"/>
      <c r="BA272" s="44"/>
      <c r="BB272" s="43"/>
      <c r="BC272" s="44"/>
      <c r="BD272" s="44"/>
      <c r="BE272" s="44"/>
      <c r="BW272" s="44"/>
      <c r="BX272" s="45"/>
    </row>
    <row r="273" ht="15.75" customHeight="1">
      <c r="A273" s="40"/>
      <c r="B273" s="17"/>
      <c r="F273" s="41"/>
      <c r="G273" s="41"/>
      <c r="I273" s="40"/>
      <c r="S273" s="42"/>
      <c r="X273" s="40"/>
      <c r="AG273" s="40"/>
      <c r="AQ273" s="40"/>
      <c r="AX273" s="43"/>
      <c r="AY273" s="43"/>
      <c r="AZ273" s="44"/>
      <c r="BA273" s="44"/>
      <c r="BB273" s="43"/>
      <c r="BC273" s="44"/>
      <c r="BD273" s="44"/>
      <c r="BE273" s="44"/>
      <c r="BW273" s="44"/>
      <c r="BX273" s="45"/>
    </row>
    <row r="274" ht="15.75" customHeight="1">
      <c r="A274" s="40"/>
      <c r="B274" s="17"/>
      <c r="F274" s="41"/>
      <c r="G274" s="41"/>
      <c r="I274" s="40"/>
      <c r="S274" s="42"/>
      <c r="X274" s="40"/>
      <c r="AG274" s="40"/>
      <c r="AQ274" s="40"/>
      <c r="AX274" s="43"/>
      <c r="AY274" s="43"/>
      <c r="AZ274" s="44"/>
      <c r="BA274" s="44"/>
      <c r="BB274" s="43"/>
      <c r="BC274" s="44"/>
      <c r="BD274" s="44"/>
      <c r="BE274" s="44"/>
      <c r="BW274" s="44"/>
      <c r="BX274" s="45"/>
    </row>
    <row r="275" ht="15.75" customHeight="1">
      <c r="A275" s="40"/>
      <c r="B275" s="17"/>
      <c r="F275" s="41"/>
      <c r="G275" s="41"/>
      <c r="I275" s="40"/>
      <c r="S275" s="42"/>
      <c r="X275" s="40"/>
      <c r="AG275" s="40"/>
      <c r="AQ275" s="40"/>
      <c r="AX275" s="43"/>
      <c r="AY275" s="43"/>
      <c r="AZ275" s="44"/>
      <c r="BA275" s="44"/>
      <c r="BB275" s="43"/>
      <c r="BC275" s="44"/>
      <c r="BD275" s="44"/>
      <c r="BE275" s="44"/>
      <c r="BW275" s="44"/>
      <c r="BX275" s="45"/>
    </row>
    <row r="276" ht="15.75" customHeight="1">
      <c r="A276" s="40"/>
      <c r="B276" s="17"/>
      <c r="F276" s="41"/>
      <c r="G276" s="41"/>
      <c r="I276" s="40"/>
      <c r="S276" s="42"/>
      <c r="X276" s="40"/>
      <c r="AG276" s="40"/>
      <c r="AQ276" s="40"/>
      <c r="AX276" s="43"/>
      <c r="AY276" s="43"/>
      <c r="AZ276" s="44"/>
      <c r="BA276" s="44"/>
      <c r="BB276" s="43"/>
      <c r="BC276" s="44"/>
      <c r="BD276" s="44"/>
      <c r="BE276" s="44"/>
      <c r="BW276" s="44"/>
      <c r="BX276" s="45"/>
    </row>
    <row r="277" ht="15.75" customHeight="1">
      <c r="A277" s="40"/>
      <c r="B277" s="17"/>
      <c r="F277" s="41"/>
      <c r="G277" s="41"/>
      <c r="I277" s="40"/>
      <c r="S277" s="42"/>
      <c r="X277" s="40"/>
      <c r="AG277" s="40"/>
      <c r="AQ277" s="40"/>
      <c r="AX277" s="43"/>
      <c r="AY277" s="43"/>
      <c r="AZ277" s="44"/>
      <c r="BA277" s="44"/>
      <c r="BB277" s="43"/>
      <c r="BC277" s="44"/>
      <c r="BD277" s="44"/>
      <c r="BE277" s="44"/>
      <c r="BW277" s="44"/>
      <c r="BX277" s="45"/>
    </row>
    <row r="278" ht="15.75" customHeight="1">
      <c r="A278" s="40"/>
      <c r="B278" s="17"/>
      <c r="F278" s="41"/>
      <c r="G278" s="41"/>
      <c r="I278" s="40"/>
      <c r="S278" s="42"/>
      <c r="X278" s="40"/>
      <c r="AG278" s="40"/>
      <c r="AQ278" s="40"/>
      <c r="AX278" s="43"/>
      <c r="AY278" s="43"/>
      <c r="AZ278" s="44"/>
      <c r="BA278" s="44"/>
      <c r="BB278" s="43"/>
      <c r="BC278" s="44"/>
      <c r="BD278" s="44"/>
      <c r="BE278" s="44"/>
      <c r="BW278" s="44"/>
      <c r="BX278" s="45"/>
    </row>
    <row r="279" ht="15.75" customHeight="1">
      <c r="A279" s="40"/>
      <c r="B279" s="17"/>
      <c r="F279" s="41"/>
      <c r="G279" s="41"/>
      <c r="I279" s="40"/>
      <c r="S279" s="42"/>
      <c r="X279" s="40"/>
      <c r="AG279" s="40"/>
      <c r="AQ279" s="40"/>
      <c r="AX279" s="43"/>
      <c r="AY279" s="43"/>
      <c r="AZ279" s="44"/>
      <c r="BA279" s="44"/>
      <c r="BB279" s="43"/>
      <c r="BC279" s="44"/>
      <c r="BD279" s="44"/>
      <c r="BE279" s="44"/>
      <c r="BW279" s="44"/>
      <c r="BX279" s="45"/>
    </row>
    <row r="280" ht="15.75" customHeight="1">
      <c r="A280" s="40"/>
      <c r="B280" s="17"/>
      <c r="F280" s="41"/>
      <c r="G280" s="41"/>
      <c r="I280" s="40"/>
      <c r="S280" s="42"/>
      <c r="X280" s="40"/>
      <c r="AG280" s="40"/>
      <c r="AQ280" s="40"/>
      <c r="AX280" s="43"/>
      <c r="AY280" s="43"/>
      <c r="AZ280" s="44"/>
      <c r="BA280" s="44"/>
      <c r="BB280" s="43"/>
      <c r="BC280" s="44"/>
      <c r="BD280" s="44"/>
      <c r="BE280" s="44"/>
      <c r="BW280" s="44"/>
      <c r="BX280" s="45"/>
    </row>
    <row r="281" ht="15.75" customHeight="1">
      <c r="A281" s="40"/>
      <c r="B281" s="17"/>
      <c r="F281" s="41"/>
      <c r="G281" s="41"/>
      <c r="I281" s="40"/>
      <c r="S281" s="42"/>
      <c r="X281" s="40"/>
      <c r="AG281" s="40"/>
      <c r="AQ281" s="40"/>
      <c r="AX281" s="43"/>
      <c r="AY281" s="43"/>
      <c r="AZ281" s="44"/>
      <c r="BA281" s="44"/>
      <c r="BB281" s="43"/>
      <c r="BC281" s="44"/>
      <c r="BD281" s="44"/>
      <c r="BE281" s="44"/>
      <c r="BW281" s="44"/>
      <c r="BX281" s="45"/>
    </row>
    <row r="282" ht="15.75" customHeight="1">
      <c r="A282" s="40"/>
      <c r="B282" s="17"/>
      <c r="F282" s="41"/>
      <c r="G282" s="41"/>
      <c r="I282" s="40"/>
      <c r="S282" s="42"/>
      <c r="X282" s="40"/>
      <c r="AG282" s="40"/>
      <c r="AQ282" s="40"/>
      <c r="AX282" s="43"/>
      <c r="AY282" s="43"/>
      <c r="AZ282" s="44"/>
      <c r="BA282" s="44"/>
      <c r="BB282" s="43"/>
      <c r="BC282" s="44"/>
      <c r="BD282" s="44"/>
      <c r="BE282" s="44"/>
      <c r="BW282" s="44"/>
      <c r="BX282" s="45"/>
    </row>
    <row r="283" ht="15.75" customHeight="1">
      <c r="A283" s="40"/>
      <c r="B283" s="17"/>
      <c r="F283" s="41"/>
      <c r="G283" s="41"/>
      <c r="I283" s="40"/>
      <c r="S283" s="42"/>
      <c r="X283" s="40"/>
      <c r="AG283" s="40"/>
      <c r="AQ283" s="40"/>
      <c r="AX283" s="43"/>
      <c r="AY283" s="43"/>
      <c r="AZ283" s="44"/>
      <c r="BA283" s="44"/>
      <c r="BB283" s="43"/>
      <c r="BC283" s="44"/>
      <c r="BD283" s="44"/>
      <c r="BE283" s="44"/>
      <c r="BW283" s="44"/>
      <c r="BX283" s="45"/>
    </row>
    <row r="284" ht="15.75" customHeight="1">
      <c r="A284" s="40"/>
      <c r="B284" s="17"/>
      <c r="F284" s="41"/>
      <c r="G284" s="41"/>
      <c r="I284" s="40"/>
      <c r="S284" s="42"/>
      <c r="X284" s="40"/>
      <c r="AG284" s="40"/>
      <c r="AQ284" s="40"/>
      <c r="AX284" s="43"/>
      <c r="AY284" s="43"/>
      <c r="AZ284" s="44"/>
      <c r="BA284" s="44"/>
      <c r="BB284" s="43"/>
      <c r="BC284" s="44"/>
      <c r="BD284" s="44"/>
      <c r="BE284" s="44"/>
      <c r="BW284" s="44"/>
      <c r="BX284" s="45"/>
    </row>
    <row r="285" ht="15.75" customHeight="1">
      <c r="A285" s="40"/>
      <c r="B285" s="17"/>
      <c r="F285" s="41"/>
      <c r="G285" s="41"/>
      <c r="I285" s="40"/>
      <c r="S285" s="42"/>
      <c r="X285" s="40"/>
      <c r="AG285" s="40"/>
      <c r="AQ285" s="40"/>
      <c r="AX285" s="43"/>
      <c r="AY285" s="43"/>
      <c r="AZ285" s="44"/>
      <c r="BA285" s="44"/>
      <c r="BB285" s="43"/>
      <c r="BC285" s="44"/>
      <c r="BD285" s="44"/>
      <c r="BE285" s="44"/>
      <c r="BW285" s="44"/>
      <c r="BX285" s="45"/>
    </row>
    <row r="286" ht="15.75" customHeight="1">
      <c r="A286" s="40"/>
      <c r="B286" s="17"/>
      <c r="F286" s="41"/>
      <c r="G286" s="41"/>
      <c r="I286" s="40"/>
      <c r="S286" s="42"/>
      <c r="X286" s="40"/>
      <c r="AG286" s="40"/>
      <c r="AQ286" s="40"/>
      <c r="AX286" s="43"/>
      <c r="AY286" s="43"/>
      <c r="AZ286" s="44"/>
      <c r="BA286" s="44"/>
      <c r="BB286" s="43"/>
      <c r="BC286" s="44"/>
      <c r="BD286" s="44"/>
      <c r="BE286" s="44"/>
      <c r="BW286" s="44"/>
      <c r="BX286" s="45"/>
    </row>
    <row r="287" ht="15.75" customHeight="1">
      <c r="A287" s="40"/>
      <c r="B287" s="17"/>
      <c r="F287" s="41"/>
      <c r="G287" s="41"/>
      <c r="I287" s="40"/>
      <c r="S287" s="42"/>
      <c r="X287" s="40"/>
      <c r="AG287" s="40"/>
      <c r="AQ287" s="40"/>
      <c r="AX287" s="43"/>
      <c r="AY287" s="43"/>
      <c r="AZ287" s="44"/>
      <c r="BA287" s="44"/>
      <c r="BB287" s="43"/>
      <c r="BC287" s="44"/>
      <c r="BD287" s="44"/>
      <c r="BE287" s="44"/>
      <c r="BW287" s="44"/>
      <c r="BX287" s="45"/>
    </row>
    <row r="288" ht="15.75" customHeight="1">
      <c r="A288" s="40"/>
      <c r="B288" s="17"/>
      <c r="F288" s="41"/>
      <c r="G288" s="41"/>
      <c r="I288" s="40"/>
      <c r="S288" s="42"/>
      <c r="X288" s="40"/>
      <c r="AG288" s="40"/>
      <c r="AQ288" s="40"/>
      <c r="AX288" s="43"/>
      <c r="AY288" s="43"/>
      <c r="AZ288" s="44"/>
      <c r="BA288" s="44"/>
      <c r="BB288" s="43"/>
      <c r="BC288" s="44"/>
      <c r="BD288" s="44"/>
      <c r="BE288" s="44"/>
      <c r="BW288" s="44"/>
      <c r="BX288" s="45"/>
    </row>
    <row r="289" ht="15.75" customHeight="1">
      <c r="A289" s="40"/>
      <c r="B289" s="17"/>
      <c r="F289" s="41"/>
      <c r="G289" s="41"/>
      <c r="I289" s="40"/>
      <c r="S289" s="42"/>
      <c r="X289" s="40"/>
      <c r="AG289" s="40"/>
      <c r="AQ289" s="40"/>
      <c r="AX289" s="43"/>
      <c r="AY289" s="43"/>
      <c r="AZ289" s="44"/>
      <c r="BA289" s="44"/>
      <c r="BB289" s="43"/>
      <c r="BC289" s="44"/>
      <c r="BD289" s="44"/>
      <c r="BE289" s="44"/>
      <c r="BW289" s="44"/>
      <c r="BX289" s="45"/>
    </row>
    <row r="290" ht="15.75" customHeight="1">
      <c r="A290" s="40"/>
      <c r="B290" s="17"/>
      <c r="F290" s="41"/>
      <c r="G290" s="41"/>
      <c r="I290" s="40"/>
      <c r="S290" s="42"/>
      <c r="X290" s="40"/>
      <c r="AG290" s="40"/>
      <c r="AQ290" s="40"/>
      <c r="AX290" s="43"/>
      <c r="AY290" s="43"/>
      <c r="AZ290" s="44"/>
      <c r="BA290" s="44"/>
      <c r="BB290" s="43"/>
      <c r="BC290" s="44"/>
      <c r="BD290" s="44"/>
      <c r="BE290" s="44"/>
      <c r="BW290" s="44"/>
      <c r="BX290" s="45"/>
    </row>
    <row r="291" ht="15.75" customHeight="1">
      <c r="A291" s="40"/>
      <c r="B291" s="17"/>
      <c r="F291" s="41"/>
      <c r="G291" s="41"/>
      <c r="I291" s="40"/>
      <c r="S291" s="42"/>
      <c r="X291" s="40"/>
      <c r="AG291" s="40"/>
      <c r="AQ291" s="40"/>
      <c r="AX291" s="43"/>
      <c r="AY291" s="43"/>
      <c r="AZ291" s="44"/>
      <c r="BA291" s="44"/>
      <c r="BB291" s="43"/>
      <c r="BC291" s="44"/>
      <c r="BD291" s="44"/>
      <c r="BE291" s="44"/>
      <c r="BW291" s="44"/>
      <c r="BX291" s="45"/>
    </row>
    <row r="292" ht="15.75" customHeight="1">
      <c r="A292" s="40"/>
      <c r="B292" s="17"/>
      <c r="F292" s="41"/>
      <c r="G292" s="41"/>
      <c r="I292" s="40"/>
      <c r="S292" s="42"/>
      <c r="X292" s="40"/>
      <c r="AG292" s="40"/>
      <c r="AQ292" s="40"/>
      <c r="AX292" s="43"/>
      <c r="AY292" s="43"/>
      <c r="AZ292" s="44"/>
      <c r="BA292" s="44"/>
      <c r="BB292" s="43"/>
      <c r="BC292" s="44"/>
      <c r="BD292" s="44"/>
      <c r="BE292" s="44"/>
      <c r="BW292" s="44"/>
      <c r="BX292" s="45"/>
    </row>
    <row r="293" ht="15.75" customHeight="1">
      <c r="A293" s="40"/>
      <c r="B293" s="17"/>
      <c r="F293" s="41"/>
      <c r="G293" s="41"/>
      <c r="I293" s="40"/>
      <c r="S293" s="42"/>
      <c r="X293" s="40"/>
      <c r="AG293" s="40"/>
      <c r="AQ293" s="40"/>
      <c r="AX293" s="43"/>
      <c r="AY293" s="43"/>
      <c r="AZ293" s="44"/>
      <c r="BA293" s="44"/>
      <c r="BB293" s="43"/>
      <c r="BC293" s="44"/>
      <c r="BD293" s="44"/>
      <c r="BE293" s="44"/>
      <c r="BW293" s="44"/>
      <c r="BX293" s="45"/>
    </row>
    <row r="294" ht="15.75" customHeight="1">
      <c r="A294" s="40"/>
      <c r="B294" s="17"/>
      <c r="F294" s="41"/>
      <c r="G294" s="41"/>
      <c r="I294" s="40"/>
      <c r="S294" s="42"/>
      <c r="X294" s="40"/>
      <c r="AG294" s="40"/>
      <c r="AQ294" s="40"/>
      <c r="AX294" s="43"/>
      <c r="AY294" s="43"/>
      <c r="AZ294" s="44"/>
      <c r="BA294" s="44"/>
      <c r="BB294" s="43"/>
      <c r="BC294" s="44"/>
      <c r="BD294" s="44"/>
      <c r="BE294" s="44"/>
      <c r="BW294" s="44"/>
      <c r="BX294" s="45"/>
    </row>
    <row r="295" ht="15.75" customHeight="1">
      <c r="A295" s="40"/>
      <c r="B295" s="17"/>
      <c r="F295" s="41"/>
      <c r="G295" s="41"/>
      <c r="I295" s="40"/>
      <c r="S295" s="42"/>
      <c r="X295" s="40"/>
      <c r="AG295" s="40"/>
      <c r="AQ295" s="40"/>
      <c r="AX295" s="43"/>
      <c r="AY295" s="43"/>
      <c r="AZ295" s="44"/>
      <c r="BA295" s="44"/>
      <c r="BB295" s="43"/>
      <c r="BC295" s="44"/>
      <c r="BD295" s="44"/>
      <c r="BE295" s="44"/>
      <c r="BW295" s="44"/>
      <c r="BX295" s="45"/>
    </row>
    <row r="296" ht="15.75" customHeight="1">
      <c r="A296" s="40"/>
      <c r="B296" s="17"/>
      <c r="F296" s="41"/>
      <c r="G296" s="41"/>
      <c r="I296" s="40"/>
      <c r="S296" s="42"/>
      <c r="X296" s="40"/>
      <c r="AG296" s="40"/>
      <c r="AQ296" s="40"/>
      <c r="AX296" s="43"/>
      <c r="AY296" s="43"/>
      <c r="AZ296" s="44"/>
      <c r="BA296" s="44"/>
      <c r="BB296" s="43"/>
      <c r="BC296" s="44"/>
      <c r="BD296" s="44"/>
      <c r="BE296" s="44"/>
      <c r="BW296" s="44"/>
      <c r="BX296" s="45"/>
    </row>
    <row r="297" ht="15.75" customHeight="1">
      <c r="A297" s="40"/>
      <c r="B297" s="17"/>
      <c r="F297" s="41"/>
      <c r="G297" s="41"/>
      <c r="I297" s="40"/>
      <c r="S297" s="42"/>
      <c r="X297" s="40"/>
      <c r="AG297" s="40"/>
      <c r="AQ297" s="40"/>
      <c r="AX297" s="43"/>
      <c r="AY297" s="43"/>
      <c r="AZ297" s="44"/>
      <c r="BA297" s="44"/>
      <c r="BB297" s="43"/>
      <c r="BC297" s="44"/>
      <c r="BD297" s="44"/>
      <c r="BE297" s="44"/>
      <c r="BW297" s="44"/>
      <c r="BX297" s="45"/>
    </row>
    <row r="298" ht="15.75" customHeight="1">
      <c r="A298" s="40"/>
      <c r="B298" s="17"/>
      <c r="F298" s="41"/>
      <c r="G298" s="41"/>
      <c r="I298" s="40"/>
      <c r="S298" s="42"/>
      <c r="X298" s="40"/>
      <c r="AG298" s="40"/>
      <c r="AQ298" s="40"/>
      <c r="AX298" s="43"/>
      <c r="AY298" s="43"/>
      <c r="AZ298" s="44"/>
      <c r="BA298" s="44"/>
      <c r="BB298" s="43"/>
      <c r="BC298" s="44"/>
      <c r="BD298" s="44"/>
      <c r="BE298" s="44"/>
      <c r="BW298" s="44"/>
      <c r="BX298" s="45"/>
    </row>
    <row r="299" ht="15.75" customHeight="1">
      <c r="A299" s="40"/>
      <c r="B299" s="17"/>
      <c r="F299" s="41"/>
      <c r="G299" s="41"/>
      <c r="I299" s="40"/>
      <c r="S299" s="42"/>
      <c r="X299" s="40"/>
      <c r="AG299" s="40"/>
      <c r="AQ299" s="40"/>
      <c r="AX299" s="43"/>
      <c r="AY299" s="43"/>
      <c r="AZ299" s="44"/>
      <c r="BA299" s="44"/>
      <c r="BB299" s="43"/>
      <c r="BC299" s="44"/>
      <c r="BD299" s="44"/>
      <c r="BE299" s="44"/>
      <c r="BW299" s="44"/>
      <c r="BX299" s="45"/>
    </row>
    <row r="300" ht="15.75" customHeight="1">
      <c r="A300" s="40"/>
      <c r="B300" s="17"/>
      <c r="F300" s="41"/>
      <c r="G300" s="41"/>
      <c r="I300" s="40"/>
      <c r="S300" s="42"/>
      <c r="X300" s="40"/>
      <c r="AG300" s="40"/>
      <c r="AQ300" s="40"/>
      <c r="AX300" s="43"/>
      <c r="AY300" s="43"/>
      <c r="AZ300" s="44"/>
      <c r="BA300" s="44"/>
      <c r="BB300" s="43"/>
      <c r="BC300" s="44"/>
      <c r="BD300" s="44"/>
      <c r="BE300" s="44"/>
      <c r="BW300" s="44"/>
      <c r="BX300" s="45"/>
    </row>
    <row r="301" ht="15.75" customHeight="1">
      <c r="A301" s="40"/>
      <c r="B301" s="17"/>
      <c r="F301" s="41"/>
      <c r="G301" s="41"/>
      <c r="I301" s="40"/>
      <c r="S301" s="42"/>
      <c r="X301" s="40"/>
      <c r="AG301" s="40"/>
      <c r="AQ301" s="40"/>
      <c r="AX301" s="43"/>
      <c r="AY301" s="43"/>
      <c r="AZ301" s="44"/>
      <c r="BA301" s="44"/>
      <c r="BB301" s="43"/>
      <c r="BC301" s="44"/>
      <c r="BD301" s="44"/>
      <c r="BE301" s="44"/>
      <c r="BW301" s="44"/>
      <c r="BX301" s="45"/>
    </row>
    <row r="302" ht="15.75" customHeight="1">
      <c r="A302" s="40"/>
      <c r="B302" s="17"/>
      <c r="F302" s="41"/>
      <c r="G302" s="41"/>
      <c r="I302" s="40"/>
      <c r="S302" s="42"/>
      <c r="X302" s="40"/>
      <c r="AG302" s="40"/>
      <c r="AQ302" s="40"/>
      <c r="AX302" s="43"/>
      <c r="AY302" s="43"/>
      <c r="AZ302" s="44"/>
      <c r="BA302" s="44"/>
      <c r="BB302" s="43"/>
      <c r="BC302" s="44"/>
      <c r="BD302" s="44"/>
      <c r="BE302" s="44"/>
      <c r="BW302" s="44"/>
      <c r="BX302" s="45"/>
    </row>
    <row r="303" ht="15.75" customHeight="1">
      <c r="A303" s="40"/>
      <c r="B303" s="17"/>
      <c r="F303" s="41"/>
      <c r="G303" s="41"/>
      <c r="I303" s="40"/>
      <c r="S303" s="42"/>
      <c r="X303" s="40"/>
      <c r="AG303" s="40"/>
      <c r="AQ303" s="40"/>
      <c r="AX303" s="43"/>
      <c r="AY303" s="43"/>
      <c r="AZ303" s="44"/>
      <c r="BA303" s="44"/>
      <c r="BB303" s="43"/>
      <c r="BC303" s="44"/>
      <c r="BD303" s="44"/>
      <c r="BE303" s="44"/>
      <c r="BW303" s="44"/>
      <c r="BX303" s="45"/>
    </row>
    <row r="304" ht="15.75" customHeight="1">
      <c r="A304" s="40"/>
      <c r="B304" s="17"/>
      <c r="F304" s="41"/>
      <c r="G304" s="41"/>
      <c r="I304" s="40"/>
      <c r="S304" s="42"/>
      <c r="X304" s="40"/>
      <c r="AG304" s="40"/>
      <c r="AQ304" s="40"/>
      <c r="AX304" s="43"/>
      <c r="AY304" s="43"/>
      <c r="AZ304" s="44"/>
      <c r="BA304" s="44"/>
      <c r="BB304" s="43"/>
      <c r="BC304" s="44"/>
      <c r="BD304" s="44"/>
      <c r="BE304" s="44"/>
      <c r="BW304" s="44"/>
      <c r="BX304" s="45"/>
    </row>
    <row r="305" ht="15.75" customHeight="1">
      <c r="A305" s="40"/>
      <c r="B305" s="17"/>
      <c r="F305" s="41"/>
      <c r="G305" s="41"/>
      <c r="I305" s="40"/>
      <c r="S305" s="42"/>
      <c r="X305" s="40"/>
      <c r="AG305" s="40"/>
      <c r="AQ305" s="40"/>
      <c r="AX305" s="43"/>
      <c r="AY305" s="43"/>
      <c r="AZ305" s="44"/>
      <c r="BA305" s="44"/>
      <c r="BB305" s="43"/>
      <c r="BC305" s="44"/>
      <c r="BD305" s="44"/>
      <c r="BE305" s="44"/>
      <c r="BW305" s="44"/>
      <c r="BX305" s="45"/>
    </row>
    <row r="306" ht="15.75" customHeight="1">
      <c r="A306" s="40"/>
      <c r="B306" s="17"/>
      <c r="F306" s="41"/>
      <c r="G306" s="41"/>
      <c r="I306" s="40"/>
      <c r="S306" s="42"/>
      <c r="X306" s="40"/>
      <c r="AG306" s="40"/>
      <c r="AQ306" s="40"/>
      <c r="AX306" s="43"/>
      <c r="AY306" s="43"/>
      <c r="AZ306" s="44"/>
      <c r="BA306" s="44"/>
      <c r="BB306" s="43"/>
      <c r="BC306" s="44"/>
      <c r="BD306" s="44"/>
      <c r="BE306" s="44"/>
      <c r="BW306" s="44"/>
      <c r="BX306" s="45"/>
    </row>
    <row r="307" ht="15.75" customHeight="1">
      <c r="A307" s="40"/>
      <c r="B307" s="17"/>
      <c r="F307" s="41"/>
      <c r="G307" s="41"/>
      <c r="I307" s="40"/>
      <c r="S307" s="42"/>
      <c r="X307" s="40"/>
      <c r="AG307" s="40"/>
      <c r="AQ307" s="40"/>
      <c r="AX307" s="43"/>
      <c r="AY307" s="43"/>
      <c r="AZ307" s="44"/>
      <c r="BA307" s="44"/>
      <c r="BB307" s="43"/>
      <c r="BC307" s="44"/>
      <c r="BD307" s="44"/>
      <c r="BE307" s="44"/>
      <c r="BW307" s="44"/>
      <c r="BX307" s="45"/>
    </row>
    <row r="308" ht="15.75" customHeight="1">
      <c r="A308" s="40"/>
      <c r="B308" s="17"/>
      <c r="F308" s="41"/>
      <c r="G308" s="41"/>
      <c r="I308" s="40"/>
      <c r="S308" s="42"/>
      <c r="X308" s="40"/>
      <c r="AG308" s="40"/>
      <c r="AQ308" s="40"/>
      <c r="AX308" s="43"/>
      <c r="AY308" s="43"/>
      <c r="AZ308" s="44"/>
      <c r="BA308" s="44"/>
      <c r="BB308" s="43"/>
      <c r="BC308" s="44"/>
      <c r="BD308" s="44"/>
      <c r="BE308" s="44"/>
      <c r="BW308" s="44"/>
      <c r="BX308" s="45"/>
    </row>
    <row r="309" ht="15.75" customHeight="1">
      <c r="A309" s="40"/>
      <c r="B309" s="17"/>
      <c r="F309" s="41"/>
      <c r="G309" s="41"/>
      <c r="I309" s="40"/>
      <c r="S309" s="42"/>
      <c r="X309" s="40"/>
      <c r="AG309" s="40"/>
      <c r="AQ309" s="40"/>
      <c r="AX309" s="43"/>
      <c r="AY309" s="43"/>
      <c r="AZ309" s="44"/>
      <c r="BA309" s="44"/>
      <c r="BB309" s="43"/>
      <c r="BC309" s="44"/>
      <c r="BD309" s="44"/>
      <c r="BE309" s="44"/>
      <c r="BW309" s="44"/>
      <c r="BX309" s="45"/>
    </row>
    <row r="310" ht="15.75" customHeight="1">
      <c r="A310" s="40"/>
      <c r="B310" s="17"/>
      <c r="F310" s="41"/>
      <c r="G310" s="41"/>
      <c r="I310" s="40"/>
      <c r="S310" s="42"/>
      <c r="X310" s="40"/>
      <c r="AG310" s="40"/>
      <c r="AQ310" s="40"/>
      <c r="AX310" s="43"/>
      <c r="AY310" s="43"/>
      <c r="AZ310" s="44"/>
      <c r="BA310" s="44"/>
      <c r="BB310" s="43"/>
      <c r="BC310" s="44"/>
      <c r="BD310" s="44"/>
      <c r="BE310" s="44"/>
      <c r="BW310" s="44"/>
      <c r="BX310" s="45"/>
    </row>
    <row r="311" ht="15.75" customHeight="1">
      <c r="A311" s="40"/>
      <c r="B311" s="17"/>
      <c r="F311" s="41"/>
      <c r="G311" s="41"/>
      <c r="I311" s="40"/>
      <c r="S311" s="42"/>
      <c r="X311" s="40"/>
      <c r="AG311" s="40"/>
      <c r="AQ311" s="40"/>
      <c r="AX311" s="43"/>
      <c r="AY311" s="43"/>
      <c r="AZ311" s="44"/>
      <c r="BA311" s="44"/>
      <c r="BB311" s="43"/>
      <c r="BC311" s="44"/>
      <c r="BD311" s="44"/>
      <c r="BE311" s="44"/>
      <c r="BW311" s="44"/>
      <c r="BX311" s="45"/>
    </row>
    <row r="312" ht="15.75" customHeight="1">
      <c r="A312" s="40"/>
      <c r="B312" s="17"/>
      <c r="F312" s="41"/>
      <c r="G312" s="41"/>
      <c r="I312" s="40"/>
      <c r="S312" s="42"/>
      <c r="X312" s="40"/>
      <c r="AG312" s="40"/>
      <c r="AQ312" s="40"/>
      <c r="AX312" s="43"/>
      <c r="AY312" s="43"/>
      <c r="AZ312" s="44"/>
      <c r="BA312" s="44"/>
      <c r="BB312" s="43"/>
      <c r="BC312" s="44"/>
      <c r="BD312" s="44"/>
      <c r="BE312" s="44"/>
      <c r="BW312" s="44"/>
      <c r="BX312" s="45"/>
    </row>
    <row r="313" ht="15.75" customHeight="1">
      <c r="A313" s="40"/>
      <c r="B313" s="17"/>
      <c r="F313" s="41"/>
      <c r="G313" s="41"/>
      <c r="I313" s="40"/>
      <c r="S313" s="42"/>
      <c r="X313" s="40"/>
      <c r="AG313" s="40"/>
      <c r="AQ313" s="40"/>
      <c r="AX313" s="43"/>
      <c r="AY313" s="43"/>
      <c r="AZ313" s="44"/>
      <c r="BA313" s="44"/>
      <c r="BB313" s="43"/>
      <c r="BC313" s="44"/>
      <c r="BD313" s="44"/>
      <c r="BE313" s="44"/>
      <c r="BW313" s="44"/>
      <c r="BX313" s="45"/>
    </row>
    <row r="314" ht="15.75" customHeight="1">
      <c r="A314" s="40"/>
      <c r="B314" s="17"/>
      <c r="F314" s="41"/>
      <c r="G314" s="41"/>
      <c r="I314" s="40"/>
      <c r="S314" s="42"/>
      <c r="X314" s="40"/>
      <c r="AG314" s="40"/>
      <c r="AQ314" s="40"/>
      <c r="AX314" s="43"/>
      <c r="AY314" s="43"/>
      <c r="AZ314" s="44"/>
      <c r="BA314" s="44"/>
      <c r="BB314" s="43"/>
      <c r="BC314" s="44"/>
      <c r="BD314" s="44"/>
      <c r="BE314" s="44"/>
      <c r="BW314" s="44"/>
      <c r="BX314" s="45"/>
    </row>
    <row r="315" ht="15.75" customHeight="1">
      <c r="A315" s="40"/>
      <c r="B315" s="17"/>
      <c r="F315" s="41"/>
      <c r="G315" s="41"/>
      <c r="I315" s="40"/>
      <c r="S315" s="42"/>
      <c r="X315" s="40"/>
      <c r="AG315" s="40"/>
      <c r="AQ315" s="40"/>
      <c r="AX315" s="43"/>
      <c r="AY315" s="43"/>
      <c r="AZ315" s="44"/>
      <c r="BA315" s="44"/>
      <c r="BB315" s="43"/>
      <c r="BC315" s="44"/>
      <c r="BD315" s="44"/>
      <c r="BE315" s="44"/>
      <c r="BW315" s="44"/>
      <c r="BX315" s="45"/>
    </row>
    <row r="316" ht="15.75" customHeight="1">
      <c r="A316" s="40"/>
      <c r="B316" s="17"/>
      <c r="F316" s="41"/>
      <c r="G316" s="41"/>
      <c r="I316" s="40"/>
      <c r="S316" s="42"/>
      <c r="X316" s="40"/>
      <c r="AG316" s="40"/>
      <c r="AQ316" s="40"/>
      <c r="AX316" s="43"/>
      <c r="AY316" s="43"/>
      <c r="AZ316" s="44"/>
      <c r="BA316" s="44"/>
      <c r="BB316" s="43"/>
      <c r="BC316" s="44"/>
      <c r="BD316" s="44"/>
      <c r="BE316" s="44"/>
      <c r="BW316" s="44"/>
      <c r="BX316" s="45"/>
    </row>
    <row r="317" ht="15.75" customHeight="1">
      <c r="A317" s="40"/>
      <c r="B317" s="17"/>
      <c r="F317" s="41"/>
      <c r="G317" s="41"/>
      <c r="I317" s="40"/>
      <c r="S317" s="42"/>
      <c r="X317" s="40"/>
      <c r="AG317" s="40"/>
      <c r="AQ317" s="40"/>
      <c r="AX317" s="43"/>
      <c r="AY317" s="43"/>
      <c r="AZ317" s="44"/>
      <c r="BA317" s="44"/>
      <c r="BB317" s="43"/>
      <c r="BC317" s="44"/>
      <c r="BD317" s="44"/>
      <c r="BE317" s="44"/>
      <c r="BW317" s="44"/>
      <c r="BX317" s="45"/>
    </row>
    <row r="318" ht="15.75" customHeight="1">
      <c r="A318" s="40"/>
      <c r="B318" s="17"/>
      <c r="F318" s="41"/>
      <c r="G318" s="41"/>
      <c r="I318" s="40"/>
      <c r="S318" s="42"/>
      <c r="X318" s="40"/>
      <c r="AG318" s="40"/>
      <c r="AQ318" s="40"/>
      <c r="AX318" s="43"/>
      <c r="AY318" s="43"/>
      <c r="AZ318" s="44"/>
      <c r="BA318" s="44"/>
      <c r="BB318" s="43"/>
      <c r="BC318" s="44"/>
      <c r="BD318" s="44"/>
      <c r="BE318" s="44"/>
      <c r="BW318" s="44"/>
      <c r="BX318" s="45"/>
    </row>
  </sheetData>
  <autoFilter ref="$A$1:$CD$181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13"/>
    <col customWidth="1" min="2" max="2" width="8.25"/>
    <col customWidth="1" min="3" max="3" width="9.0"/>
    <col customWidth="1" min="4" max="4" width="8.0"/>
    <col customWidth="1" min="5" max="5" width="10.63"/>
    <col customWidth="1" min="6" max="6" width="9.63"/>
    <col customWidth="1" min="7" max="7" width="9.38"/>
    <col customWidth="1" min="8" max="8" width="9.75"/>
    <col customWidth="1" min="9" max="9" width="11.0"/>
    <col customWidth="1" min="10" max="10" width="11.88"/>
    <col customWidth="1" min="11" max="11" width="19.63"/>
    <col customWidth="1" min="12" max="12" width="11.25"/>
    <col customWidth="1" min="13" max="13" width="8.88"/>
    <col customWidth="1" min="14" max="14" width="11.0"/>
    <col customWidth="1" min="15" max="15" width="9.0"/>
    <col customWidth="1" min="16" max="16" width="10.88"/>
    <col customWidth="1" min="17" max="17" width="7.38"/>
    <col customWidth="1" min="18" max="18" width="11.38"/>
    <col customWidth="1" min="19" max="19" width="9.75"/>
    <col customWidth="1" min="20" max="20" width="11.25"/>
    <col customWidth="1" min="21" max="21" width="11.13"/>
    <col customWidth="1" min="22" max="22" width="13.38"/>
    <col customWidth="1" min="23" max="23" width="9.13"/>
    <col customWidth="1" min="24" max="24" width="9.88"/>
    <col customWidth="1" min="25" max="25" width="15.13"/>
    <col customWidth="1" min="26" max="26" width="12.88"/>
    <col customWidth="1" min="27" max="27" width="14.5"/>
    <col customWidth="1" min="28" max="28" width="9.13"/>
    <col customWidth="1" min="29" max="29" width="13.63"/>
    <col customWidth="1" min="30" max="30" width="12.75"/>
    <col customWidth="1" min="31" max="31" width="9.13"/>
    <col customWidth="1" min="32" max="32" width="10.0"/>
    <col customWidth="1" min="33" max="33" width="14.38"/>
    <col customWidth="1" min="34" max="34" width="14.0"/>
    <col customWidth="1" min="35" max="35" width="14.13"/>
    <col customWidth="1" min="36" max="36" width="12.63"/>
    <col customWidth="1" min="37" max="37" width="15.63"/>
    <col customWidth="1" min="38" max="38" width="10.0"/>
    <col customWidth="1" min="39" max="39" width="13.75"/>
    <col customWidth="1" min="40" max="40" width="9.5"/>
    <col customWidth="1" min="41" max="41" width="11.75"/>
    <col customWidth="1" min="42" max="42" width="18.75"/>
    <col customWidth="1" min="43" max="43" width="17.75"/>
    <col customWidth="1" min="44" max="44" width="18.0"/>
    <col customWidth="1" min="45" max="45" width="12.25"/>
    <col customWidth="1" min="46" max="47" width="24.63"/>
    <col customWidth="1" min="48" max="48" width="22.5"/>
    <col customWidth="1" min="49" max="49" width="15.5"/>
    <col customWidth="1" min="50" max="50" width="11.63"/>
    <col customWidth="1" min="51" max="51" width="19.13"/>
    <col customWidth="1" min="52" max="52" width="16.88"/>
    <col customWidth="1" min="53" max="53" width="20.25"/>
    <col customWidth="1" min="54" max="54" width="13.38"/>
    <col customWidth="1" min="55" max="55" width="14.75"/>
    <col customWidth="1" min="56" max="56" width="14.63"/>
    <col customWidth="1" min="57" max="57" width="14.13"/>
    <col customWidth="1" min="58" max="58" width="12.88"/>
    <col customWidth="1" min="59" max="59" width="16.13"/>
    <col customWidth="1" min="60" max="60" width="11.13"/>
    <col customWidth="1" min="61" max="61" width="9.63"/>
    <col customWidth="1" min="62" max="62" width="9.13"/>
    <col customWidth="1" min="63" max="63" width="9.5"/>
    <col customWidth="1" min="64" max="64" width="10.63"/>
    <col customWidth="1" min="65" max="65" width="12.88"/>
    <col customWidth="1" min="66" max="66" width="9.38"/>
    <col customWidth="1" min="67" max="67" width="10.63"/>
    <col customWidth="1" min="68" max="68" width="17.75"/>
    <col customWidth="1" min="69" max="69" width="18.38"/>
    <col customWidth="1" min="70" max="71" width="11.63"/>
    <col customWidth="1" min="72" max="72" width="13.25"/>
    <col customWidth="1" min="73" max="73" width="8.25"/>
    <col customWidth="1" min="74" max="74" width="15.0"/>
    <col customWidth="1" min="75" max="75" width="20.63"/>
    <col customWidth="1" min="76" max="76" width="13.88"/>
    <col customWidth="1" min="77" max="77" width="16.38"/>
    <col customWidth="1" min="78" max="78" width="15.0"/>
    <col customWidth="1" min="79" max="79" width="9.75"/>
    <col customWidth="1" min="80" max="80" width="11.75"/>
    <col customWidth="1" min="81" max="81" width="30.5"/>
    <col customWidth="1" min="82" max="101" width="7.75"/>
  </cols>
  <sheetData>
    <row r="1" ht="52.5" customHeight="1">
      <c r="A1" s="46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8" t="s">
        <v>11</v>
      </c>
      <c r="M1" s="48" t="s">
        <v>12</v>
      </c>
      <c r="N1" s="48" t="s">
        <v>13</v>
      </c>
      <c r="O1" s="48" t="s">
        <v>14</v>
      </c>
      <c r="P1" s="48" t="s">
        <v>15</v>
      </c>
      <c r="Q1" s="48" t="s">
        <v>16</v>
      </c>
      <c r="R1" s="48" t="s">
        <v>17</v>
      </c>
      <c r="S1" s="48" t="s">
        <v>18</v>
      </c>
      <c r="T1" s="48" t="s">
        <v>19</v>
      </c>
      <c r="U1" s="48" t="s">
        <v>20</v>
      </c>
      <c r="V1" s="48" t="s">
        <v>21</v>
      </c>
      <c r="W1" s="48" t="s">
        <v>22</v>
      </c>
      <c r="X1" s="47" t="s">
        <v>23</v>
      </c>
      <c r="Y1" s="48" t="s">
        <v>24</v>
      </c>
      <c r="Z1" s="48" t="s">
        <v>25</v>
      </c>
      <c r="AA1" s="48" t="s">
        <v>26</v>
      </c>
      <c r="AB1" s="48" t="s">
        <v>27</v>
      </c>
      <c r="AC1" s="48" t="s">
        <v>28</v>
      </c>
      <c r="AD1" s="48" t="s">
        <v>29</v>
      </c>
      <c r="AE1" s="48" t="s">
        <v>30</v>
      </c>
      <c r="AF1" s="48" t="s">
        <v>31</v>
      </c>
      <c r="AG1" s="48" t="s">
        <v>32</v>
      </c>
      <c r="AH1" s="48" t="s">
        <v>33</v>
      </c>
      <c r="AI1" s="48" t="s">
        <v>34</v>
      </c>
      <c r="AJ1" s="48" t="s">
        <v>35</v>
      </c>
      <c r="AK1" s="48" t="s">
        <v>36</v>
      </c>
      <c r="AL1" s="48" t="s">
        <v>37</v>
      </c>
      <c r="AM1" s="48" t="s">
        <v>38</v>
      </c>
      <c r="AN1" s="48" t="s">
        <v>39</v>
      </c>
      <c r="AO1" s="48" t="s">
        <v>40</v>
      </c>
      <c r="AP1" s="48" t="s">
        <v>41</v>
      </c>
      <c r="AQ1" s="48" t="s">
        <v>42</v>
      </c>
      <c r="AR1" s="48" t="s">
        <v>43</v>
      </c>
      <c r="AS1" s="49" t="s">
        <v>44</v>
      </c>
      <c r="AT1" s="49" t="s">
        <v>45</v>
      </c>
      <c r="AU1" s="49" t="s">
        <v>46</v>
      </c>
      <c r="AV1" s="49" t="s">
        <v>47</v>
      </c>
      <c r="AW1" s="48" t="s">
        <v>48</v>
      </c>
      <c r="AX1" s="47" t="s">
        <v>49</v>
      </c>
      <c r="AY1" s="50" t="s">
        <v>50</v>
      </c>
      <c r="AZ1" s="47" t="s">
        <v>51</v>
      </c>
      <c r="BA1" s="47" t="s">
        <v>52</v>
      </c>
      <c r="BB1" s="47" t="s">
        <v>53</v>
      </c>
      <c r="BC1" s="47" t="s">
        <v>54</v>
      </c>
      <c r="BD1" s="47" t="s">
        <v>55</v>
      </c>
      <c r="BE1" s="47" t="s">
        <v>56</v>
      </c>
      <c r="BF1" s="48" t="s">
        <v>57</v>
      </c>
      <c r="BG1" s="48" t="s">
        <v>58</v>
      </c>
      <c r="BH1" s="51" t="s">
        <v>59</v>
      </c>
      <c r="BI1" s="48" t="s">
        <v>60</v>
      </c>
      <c r="BJ1" s="51" t="s">
        <v>61</v>
      </c>
      <c r="BK1" s="48" t="s">
        <v>62</v>
      </c>
      <c r="BL1" s="48" t="s">
        <v>63</v>
      </c>
      <c r="BM1" s="52" t="s">
        <v>64</v>
      </c>
      <c r="BN1" s="48" t="s">
        <v>65</v>
      </c>
      <c r="BO1" s="48" t="s">
        <v>66</v>
      </c>
      <c r="BP1" s="53" t="s">
        <v>67</v>
      </c>
      <c r="BQ1" s="53" t="s">
        <v>68</v>
      </c>
      <c r="BR1" s="48" t="s">
        <v>69</v>
      </c>
      <c r="BS1" s="48" t="s">
        <v>70</v>
      </c>
      <c r="BT1" s="48" t="s">
        <v>71</v>
      </c>
      <c r="BU1" s="48" t="s">
        <v>72</v>
      </c>
      <c r="BV1" s="48" t="s">
        <v>73</v>
      </c>
      <c r="BW1" s="47" t="s">
        <v>74</v>
      </c>
      <c r="BX1" s="47" t="s">
        <v>75</v>
      </c>
      <c r="BY1" s="47" t="s">
        <v>76</v>
      </c>
      <c r="BZ1" s="47" t="s">
        <v>77</v>
      </c>
      <c r="CA1" s="47" t="s">
        <v>78</v>
      </c>
      <c r="CB1" s="47" t="s">
        <v>79</v>
      </c>
      <c r="CC1" s="47" t="s">
        <v>80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ht="18.75" customHeight="1">
      <c r="A2" s="9">
        <v>1.0</v>
      </c>
      <c r="B2" s="30">
        <v>89.0</v>
      </c>
      <c r="C2" s="31" t="s">
        <v>81</v>
      </c>
      <c r="D2" s="54" t="s">
        <v>82</v>
      </c>
      <c r="E2" s="30">
        <v>0.0</v>
      </c>
      <c r="F2" s="55">
        <v>175.3</v>
      </c>
      <c r="G2" s="56">
        <v>56.2</v>
      </c>
      <c r="H2" s="12">
        <f t="shared" ref="H2:H159" si="1">G2/(F2/100)^2</f>
        <v>18.28826404</v>
      </c>
      <c r="I2" s="18">
        <v>1.0</v>
      </c>
      <c r="J2" s="18">
        <v>5.0</v>
      </c>
      <c r="K2" s="18">
        <v>4.0</v>
      </c>
      <c r="L2" s="18">
        <v>0.0</v>
      </c>
      <c r="M2" s="18">
        <v>74.0</v>
      </c>
      <c r="N2" s="18">
        <v>1.0</v>
      </c>
      <c r="O2" s="18">
        <v>89.0</v>
      </c>
      <c r="P2" s="18">
        <v>0.0</v>
      </c>
      <c r="Q2" s="18">
        <v>18.0</v>
      </c>
      <c r="R2" s="18">
        <v>0.0</v>
      </c>
      <c r="S2" s="32">
        <v>98.7</v>
      </c>
      <c r="T2" s="18">
        <v>1.0</v>
      </c>
      <c r="U2" s="18">
        <v>75.0</v>
      </c>
      <c r="V2" s="18">
        <v>1.0</v>
      </c>
      <c r="W2" s="18">
        <v>1.0</v>
      </c>
      <c r="X2" s="18">
        <v>0.0</v>
      </c>
      <c r="Y2" s="18">
        <v>0.0</v>
      </c>
      <c r="Z2" s="18">
        <v>0.0</v>
      </c>
      <c r="AA2" s="18">
        <v>1.0</v>
      </c>
      <c r="AB2" s="18">
        <v>0.0</v>
      </c>
      <c r="AC2" s="18">
        <v>0.0</v>
      </c>
      <c r="AD2" s="18">
        <v>1.0</v>
      </c>
      <c r="AE2" s="18">
        <v>1.0</v>
      </c>
      <c r="AF2" s="18">
        <v>0.0</v>
      </c>
      <c r="AG2" s="18">
        <v>1.0</v>
      </c>
      <c r="AH2" s="18">
        <v>0.0</v>
      </c>
      <c r="AI2" s="18">
        <v>0.0</v>
      </c>
      <c r="AJ2" s="18">
        <v>1.0</v>
      </c>
      <c r="AK2" s="18">
        <v>0.0</v>
      </c>
      <c r="AL2" s="18">
        <v>0.0</v>
      </c>
      <c r="AM2" s="18">
        <v>0.0</v>
      </c>
      <c r="AN2" s="18">
        <v>1.0</v>
      </c>
      <c r="AO2" s="18" t="s">
        <v>84</v>
      </c>
      <c r="AP2" s="18" t="s">
        <v>84</v>
      </c>
      <c r="AQ2" s="18" t="s">
        <v>84</v>
      </c>
      <c r="AR2" s="18" t="s">
        <v>84</v>
      </c>
      <c r="AS2" s="9" t="s">
        <v>84</v>
      </c>
      <c r="AT2" s="9" t="s">
        <v>84</v>
      </c>
      <c r="AU2" s="9" t="s">
        <v>84</v>
      </c>
      <c r="AV2" s="9" t="s">
        <v>84</v>
      </c>
      <c r="AW2" s="18" t="s">
        <v>84</v>
      </c>
      <c r="AX2" s="33">
        <f>4.36/4.76</f>
        <v>0.9159663866</v>
      </c>
      <c r="AY2" s="34">
        <v>0.0</v>
      </c>
      <c r="AZ2" s="30">
        <v>1.0</v>
      </c>
      <c r="BA2" s="30">
        <v>0.0</v>
      </c>
      <c r="BB2" s="33">
        <f>2.96/3.67</f>
        <v>0.8065395095</v>
      </c>
      <c r="BC2" s="30">
        <v>3.0</v>
      </c>
      <c r="BD2" s="30">
        <v>0.0</v>
      </c>
      <c r="BE2" s="30">
        <v>0.0</v>
      </c>
      <c r="BF2" s="18">
        <v>0.0</v>
      </c>
      <c r="BG2" s="18" t="s">
        <v>84</v>
      </c>
      <c r="BH2" s="18">
        <v>0.0</v>
      </c>
      <c r="BI2" s="18">
        <v>1.0</v>
      </c>
      <c r="BJ2" s="18">
        <v>0.0</v>
      </c>
      <c r="BK2" s="18">
        <v>0.0</v>
      </c>
      <c r="BL2" s="18">
        <v>0.0</v>
      </c>
      <c r="BM2" s="18">
        <v>0.0</v>
      </c>
      <c r="BN2" s="18">
        <v>0.0</v>
      </c>
      <c r="BO2" s="18">
        <v>0.0</v>
      </c>
      <c r="BP2" s="9" t="s">
        <v>84</v>
      </c>
      <c r="BQ2" s="9" t="s">
        <v>84</v>
      </c>
      <c r="BR2" s="18">
        <v>0.0</v>
      </c>
      <c r="BS2" s="18">
        <v>0.0</v>
      </c>
      <c r="BT2" s="18">
        <v>0.0</v>
      </c>
      <c r="BU2" s="18">
        <v>0.0</v>
      </c>
      <c r="BV2" s="18">
        <v>0.0</v>
      </c>
      <c r="BW2" s="30">
        <v>0.0</v>
      </c>
      <c r="BX2" s="18">
        <v>0.0</v>
      </c>
      <c r="BY2" s="18">
        <v>0.0</v>
      </c>
      <c r="BZ2" s="18">
        <v>0.0</v>
      </c>
      <c r="CA2" s="18">
        <v>0.0</v>
      </c>
      <c r="CB2" s="18">
        <v>0.0</v>
      </c>
      <c r="CC2" s="36" t="s">
        <v>149</v>
      </c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</row>
    <row r="3" ht="18.75" customHeight="1">
      <c r="A3" s="9">
        <v>2.0</v>
      </c>
      <c r="B3" s="30">
        <v>84.0</v>
      </c>
      <c r="C3" s="31" t="s">
        <v>86</v>
      </c>
      <c r="D3" s="54" t="s">
        <v>88</v>
      </c>
      <c r="E3" s="30">
        <v>4.0</v>
      </c>
      <c r="F3" s="55">
        <v>157.5</v>
      </c>
      <c r="G3" s="56">
        <v>100.4</v>
      </c>
      <c r="H3" s="12">
        <f t="shared" si="1"/>
        <v>40.47367095</v>
      </c>
      <c r="I3" s="18">
        <v>1.0</v>
      </c>
      <c r="J3" s="18">
        <v>3.0</v>
      </c>
      <c r="K3" s="18">
        <v>2.0</v>
      </c>
      <c r="L3" s="18">
        <v>0.0</v>
      </c>
      <c r="M3" s="18">
        <v>86.0</v>
      </c>
      <c r="N3" s="18">
        <v>0.0</v>
      </c>
      <c r="O3" s="18">
        <v>161.0</v>
      </c>
      <c r="P3" s="18">
        <v>0.0</v>
      </c>
      <c r="Q3" s="18">
        <v>20.0</v>
      </c>
      <c r="R3" s="18">
        <v>0.0</v>
      </c>
      <c r="S3" s="32">
        <v>97.5</v>
      </c>
      <c r="T3" s="18">
        <v>0.0</v>
      </c>
      <c r="U3" s="18">
        <v>94.0</v>
      </c>
      <c r="V3" s="18">
        <v>1.0</v>
      </c>
      <c r="W3" s="9">
        <v>0.0</v>
      </c>
      <c r="X3" s="18">
        <v>0.0</v>
      </c>
      <c r="Y3" s="18">
        <v>0.0</v>
      </c>
      <c r="Z3" s="18">
        <v>0.0</v>
      </c>
      <c r="AA3" s="18">
        <v>0.0</v>
      </c>
      <c r="AB3" s="18">
        <v>0.0</v>
      </c>
      <c r="AC3" s="18">
        <v>0.0</v>
      </c>
      <c r="AD3" s="18">
        <v>0.0</v>
      </c>
      <c r="AE3" s="18">
        <v>1.0</v>
      </c>
      <c r="AF3" s="18">
        <v>0.0</v>
      </c>
      <c r="AG3" s="18">
        <v>1.0</v>
      </c>
      <c r="AH3" s="18">
        <v>0.0</v>
      </c>
      <c r="AI3" s="18">
        <v>1.0</v>
      </c>
      <c r="AJ3" s="18">
        <v>1.0</v>
      </c>
      <c r="AK3" s="18">
        <v>1.0</v>
      </c>
      <c r="AL3" s="18">
        <v>0.0</v>
      </c>
      <c r="AM3" s="18">
        <v>0.0</v>
      </c>
      <c r="AN3" s="18">
        <v>0.0</v>
      </c>
      <c r="AO3" s="18">
        <v>1.0</v>
      </c>
      <c r="AP3" s="18">
        <v>1.0</v>
      </c>
      <c r="AQ3" s="18">
        <v>1.0</v>
      </c>
      <c r="AR3" s="18">
        <v>0.0</v>
      </c>
      <c r="AS3" s="9">
        <v>1.0</v>
      </c>
      <c r="AT3" s="9">
        <v>1.0</v>
      </c>
      <c r="AU3" s="9">
        <v>1.0</v>
      </c>
      <c r="AV3" s="9">
        <v>0.0</v>
      </c>
      <c r="AW3" s="18">
        <v>61.8</v>
      </c>
      <c r="AX3" s="33">
        <f>3.46/4.07</f>
        <v>0.8501228501</v>
      </c>
      <c r="AY3" s="34">
        <v>1.0</v>
      </c>
      <c r="AZ3" s="30">
        <v>0.0</v>
      </c>
      <c r="BA3" s="30">
        <v>0.0</v>
      </c>
      <c r="BB3" s="33">
        <f>3.75/3.13</f>
        <v>1.198083067</v>
      </c>
      <c r="BC3" s="30">
        <v>4.0</v>
      </c>
      <c r="BD3" s="30">
        <v>1.0</v>
      </c>
      <c r="BE3" s="30">
        <v>0.0</v>
      </c>
      <c r="BF3" s="18">
        <v>0.0</v>
      </c>
      <c r="BG3" s="18" t="s">
        <v>84</v>
      </c>
      <c r="BH3" s="18">
        <v>0.0</v>
      </c>
      <c r="BI3" s="9">
        <v>0.0</v>
      </c>
      <c r="BJ3" s="18">
        <v>0.0</v>
      </c>
      <c r="BK3" s="18">
        <v>0.0</v>
      </c>
      <c r="BL3" s="18">
        <v>0.0</v>
      </c>
      <c r="BM3" s="18">
        <v>0.0</v>
      </c>
      <c r="BN3" s="18">
        <v>0.0</v>
      </c>
      <c r="BO3" s="18">
        <v>0.0</v>
      </c>
      <c r="BP3" s="9" t="s">
        <v>84</v>
      </c>
      <c r="BQ3" s="9" t="s">
        <v>84</v>
      </c>
      <c r="BR3" s="18">
        <v>0.0</v>
      </c>
      <c r="BS3" s="18">
        <v>0.0</v>
      </c>
      <c r="BT3" s="18">
        <v>0.0</v>
      </c>
      <c r="BU3" s="18">
        <v>0.0</v>
      </c>
      <c r="BV3" s="18">
        <v>0.0</v>
      </c>
      <c r="BW3" s="30">
        <v>0.0</v>
      </c>
      <c r="BX3" s="18">
        <v>0.0</v>
      </c>
      <c r="BY3" s="18">
        <v>0.0</v>
      </c>
      <c r="BZ3" s="18">
        <v>0.0</v>
      </c>
      <c r="CA3" s="18">
        <v>0.0</v>
      </c>
      <c r="CB3" s="18">
        <v>0.0</v>
      </c>
      <c r="CC3" s="36" t="s">
        <v>92</v>
      </c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</row>
    <row r="4" ht="18.75" customHeight="1">
      <c r="A4" s="9">
        <v>3.0</v>
      </c>
      <c r="B4" s="30">
        <v>72.0</v>
      </c>
      <c r="C4" s="31" t="s">
        <v>81</v>
      </c>
      <c r="D4" s="54" t="s">
        <v>82</v>
      </c>
      <c r="E4" s="30">
        <v>2.0</v>
      </c>
      <c r="F4" s="55">
        <v>170.2</v>
      </c>
      <c r="G4" s="56">
        <v>77.6</v>
      </c>
      <c r="H4" s="12">
        <f t="shared" si="1"/>
        <v>26.78814307</v>
      </c>
      <c r="I4" s="18">
        <v>0.0</v>
      </c>
      <c r="J4" s="18">
        <v>3.0</v>
      </c>
      <c r="K4" s="18">
        <v>1.0</v>
      </c>
      <c r="L4" s="18">
        <v>0.0</v>
      </c>
      <c r="M4" s="18">
        <v>71.0</v>
      </c>
      <c r="N4" s="18">
        <v>0.0</v>
      </c>
      <c r="O4" s="18">
        <v>178.0</v>
      </c>
      <c r="P4" s="18">
        <v>0.0</v>
      </c>
      <c r="Q4" s="18">
        <v>18.0</v>
      </c>
      <c r="R4" s="18">
        <v>0.0</v>
      </c>
      <c r="S4" s="32">
        <v>98.6</v>
      </c>
      <c r="T4" s="18">
        <v>0.0</v>
      </c>
      <c r="U4" s="18">
        <v>94.0</v>
      </c>
      <c r="V4" s="18">
        <v>0.0</v>
      </c>
      <c r="W4" s="9">
        <v>0.0</v>
      </c>
      <c r="X4" s="18">
        <v>0.0</v>
      </c>
      <c r="Y4" s="18">
        <v>0.0</v>
      </c>
      <c r="Z4" s="18">
        <v>0.0</v>
      </c>
      <c r="AA4" s="18">
        <v>0.0</v>
      </c>
      <c r="AB4" s="18">
        <v>0.0</v>
      </c>
      <c r="AC4" s="18">
        <v>0.0</v>
      </c>
      <c r="AD4" s="18">
        <v>0.0</v>
      </c>
      <c r="AE4" s="18">
        <v>0.0</v>
      </c>
      <c r="AF4" s="18">
        <v>0.0</v>
      </c>
      <c r="AG4" s="18">
        <v>0.0</v>
      </c>
      <c r="AH4" s="18">
        <v>0.0</v>
      </c>
      <c r="AI4" s="18">
        <v>0.0</v>
      </c>
      <c r="AJ4" s="18">
        <v>0.0</v>
      </c>
      <c r="AK4" s="18">
        <v>0.0</v>
      </c>
      <c r="AL4" s="18">
        <v>0.0</v>
      </c>
      <c r="AM4" s="18">
        <v>0.0</v>
      </c>
      <c r="AN4" s="18">
        <v>0.0</v>
      </c>
      <c r="AO4" s="18">
        <v>1.0</v>
      </c>
      <c r="AP4" s="18">
        <v>0.0</v>
      </c>
      <c r="AQ4" s="18">
        <v>0.0</v>
      </c>
      <c r="AR4" s="18">
        <v>0.0</v>
      </c>
      <c r="AS4" s="9">
        <v>0.0</v>
      </c>
      <c r="AT4" s="9">
        <v>0.0</v>
      </c>
      <c r="AU4" s="9">
        <v>0.0</v>
      </c>
      <c r="AV4" s="9">
        <v>0.0</v>
      </c>
      <c r="AW4" s="18">
        <v>45.0</v>
      </c>
      <c r="AX4" s="33">
        <f>3.43/4.8</f>
        <v>0.7145833333</v>
      </c>
      <c r="AY4" s="34">
        <v>0.0</v>
      </c>
      <c r="AZ4" s="30">
        <v>0.0</v>
      </c>
      <c r="BA4" s="30">
        <v>0.0</v>
      </c>
      <c r="BB4" s="33">
        <f>3.23/3.22</f>
        <v>1.00310559</v>
      </c>
      <c r="BC4" s="30">
        <v>2.0</v>
      </c>
      <c r="BD4" s="30">
        <v>0.0</v>
      </c>
      <c r="BE4" s="30">
        <v>0.0</v>
      </c>
      <c r="BF4" s="18">
        <v>0.0</v>
      </c>
      <c r="BG4" s="18" t="s">
        <v>84</v>
      </c>
      <c r="BH4" s="18">
        <v>0.0</v>
      </c>
      <c r="BI4" s="9">
        <v>0.0</v>
      </c>
      <c r="BJ4" s="18">
        <v>0.0</v>
      </c>
      <c r="BK4" s="18">
        <v>0.0</v>
      </c>
      <c r="BL4" s="18">
        <v>0.0</v>
      </c>
      <c r="BM4" s="18">
        <v>0.0</v>
      </c>
      <c r="BN4" s="18">
        <v>0.0</v>
      </c>
      <c r="BO4" s="18">
        <v>0.0</v>
      </c>
      <c r="BP4" s="9" t="s">
        <v>84</v>
      </c>
      <c r="BQ4" s="9" t="s">
        <v>84</v>
      </c>
      <c r="BR4" s="18">
        <v>0.0</v>
      </c>
      <c r="BS4" s="18">
        <v>0.0</v>
      </c>
      <c r="BT4" s="18">
        <v>0.0</v>
      </c>
      <c r="BU4" s="18">
        <v>0.0</v>
      </c>
      <c r="BV4" s="18">
        <v>0.0</v>
      </c>
      <c r="BW4" s="30">
        <v>0.0</v>
      </c>
      <c r="BX4" s="18">
        <v>0.0</v>
      </c>
      <c r="BY4" s="18">
        <v>0.0</v>
      </c>
      <c r="BZ4" s="18">
        <v>0.0</v>
      </c>
      <c r="CA4" s="18">
        <v>0.0</v>
      </c>
      <c r="CB4" s="18">
        <v>0.0</v>
      </c>
      <c r="CC4" s="36" t="s">
        <v>101</v>
      </c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</row>
    <row r="5" ht="18.75" customHeight="1">
      <c r="A5" s="9">
        <v>4.0</v>
      </c>
      <c r="B5" s="30">
        <v>62.0</v>
      </c>
      <c r="C5" s="31" t="s">
        <v>81</v>
      </c>
      <c r="D5" s="54" t="s">
        <v>82</v>
      </c>
      <c r="E5" s="30">
        <v>2.0</v>
      </c>
      <c r="F5" s="55">
        <v>205.7</v>
      </c>
      <c r="G5" s="56">
        <v>86.4</v>
      </c>
      <c r="H5" s="12">
        <f t="shared" si="1"/>
        <v>20.41950261</v>
      </c>
      <c r="I5" s="18">
        <v>0.0</v>
      </c>
      <c r="J5" s="18">
        <v>2.0</v>
      </c>
      <c r="K5" s="18">
        <v>4.0</v>
      </c>
      <c r="L5" s="18">
        <v>0.0</v>
      </c>
      <c r="M5" s="18">
        <v>88.0</v>
      </c>
      <c r="N5" s="18">
        <v>0.0</v>
      </c>
      <c r="O5" s="18">
        <v>137.0</v>
      </c>
      <c r="P5" s="18">
        <v>0.0</v>
      </c>
      <c r="Q5" s="18">
        <v>16.0</v>
      </c>
      <c r="R5" s="18">
        <v>0.0</v>
      </c>
      <c r="S5" s="32">
        <v>98.7</v>
      </c>
      <c r="T5" s="18">
        <v>0.0</v>
      </c>
      <c r="U5" s="18">
        <v>98.0</v>
      </c>
      <c r="V5" s="18">
        <v>0.0</v>
      </c>
      <c r="W5" s="9">
        <v>0.0</v>
      </c>
      <c r="X5" s="18">
        <v>0.0</v>
      </c>
      <c r="Y5" s="18">
        <v>1.0</v>
      </c>
      <c r="Z5" s="18">
        <v>0.0</v>
      </c>
      <c r="AA5" s="18">
        <v>0.0</v>
      </c>
      <c r="AB5" s="18">
        <v>0.0</v>
      </c>
      <c r="AC5" s="18">
        <v>0.0</v>
      </c>
      <c r="AD5" s="18">
        <v>0.0</v>
      </c>
      <c r="AE5" s="18">
        <v>0.0</v>
      </c>
      <c r="AF5" s="18">
        <v>0.0</v>
      </c>
      <c r="AG5" s="18">
        <v>1.0</v>
      </c>
      <c r="AH5" s="18">
        <v>0.0</v>
      </c>
      <c r="AI5" s="18">
        <v>0.0</v>
      </c>
      <c r="AJ5" s="18">
        <v>0.0</v>
      </c>
      <c r="AK5" s="18">
        <v>0.0</v>
      </c>
      <c r="AL5" s="18">
        <v>0.0</v>
      </c>
      <c r="AM5" s="18">
        <v>0.0</v>
      </c>
      <c r="AN5" s="18">
        <v>0.0</v>
      </c>
      <c r="AO5" s="18">
        <v>1.0</v>
      </c>
      <c r="AP5" s="18">
        <v>0.0</v>
      </c>
      <c r="AQ5" s="18" t="s">
        <v>84</v>
      </c>
      <c r="AR5" s="18" t="s">
        <v>84</v>
      </c>
      <c r="AS5" s="9" t="s">
        <v>84</v>
      </c>
      <c r="AT5" s="9" t="s">
        <v>84</v>
      </c>
      <c r="AU5" s="9" t="s">
        <v>84</v>
      </c>
      <c r="AV5" s="9" t="s">
        <v>84</v>
      </c>
      <c r="AW5" s="18" t="s">
        <v>84</v>
      </c>
      <c r="AX5" s="33">
        <f>5.66/5.74</f>
        <v>0.9860627178</v>
      </c>
      <c r="AY5" s="34">
        <v>0.0</v>
      </c>
      <c r="AZ5" s="30">
        <v>0.0</v>
      </c>
      <c r="BA5" s="30">
        <v>1.0</v>
      </c>
      <c r="BB5" s="33">
        <f>2.22/3.86</f>
        <v>0.5751295337</v>
      </c>
      <c r="BC5" s="30">
        <v>3.0</v>
      </c>
      <c r="BD5" s="30">
        <v>0.0</v>
      </c>
      <c r="BE5" s="30">
        <v>0.0</v>
      </c>
      <c r="BF5" s="18">
        <v>0.0</v>
      </c>
      <c r="BG5" s="18" t="s">
        <v>84</v>
      </c>
      <c r="BH5" s="18">
        <v>0.0</v>
      </c>
      <c r="BI5" s="9">
        <v>0.0</v>
      </c>
      <c r="BJ5" s="18">
        <v>0.0</v>
      </c>
      <c r="BK5" s="18">
        <v>0.0</v>
      </c>
      <c r="BL5" s="18">
        <v>0.0</v>
      </c>
      <c r="BM5" s="18">
        <v>0.0</v>
      </c>
      <c r="BN5" s="18">
        <v>0.0</v>
      </c>
      <c r="BO5" s="18">
        <v>0.0</v>
      </c>
      <c r="BP5" s="9" t="s">
        <v>84</v>
      </c>
      <c r="BQ5" s="9" t="s">
        <v>84</v>
      </c>
      <c r="BR5" s="18">
        <v>0.0</v>
      </c>
      <c r="BS5" s="18">
        <v>0.0</v>
      </c>
      <c r="BT5" s="18">
        <v>0.0</v>
      </c>
      <c r="BU5" s="18">
        <v>0.0</v>
      </c>
      <c r="BV5" s="18">
        <v>0.0</v>
      </c>
      <c r="BW5" s="30">
        <v>0.0</v>
      </c>
      <c r="BX5" s="18">
        <v>0.0</v>
      </c>
      <c r="BY5" s="18">
        <v>0.0</v>
      </c>
      <c r="BZ5" s="18">
        <v>0.0</v>
      </c>
      <c r="CA5" s="18">
        <v>0.0</v>
      </c>
      <c r="CB5" s="18">
        <v>0.0</v>
      </c>
      <c r="CC5" s="36" t="s">
        <v>101</v>
      </c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</row>
    <row r="6" ht="18.75" customHeight="1">
      <c r="A6" s="9">
        <v>5.0</v>
      </c>
      <c r="B6" s="30">
        <v>65.0</v>
      </c>
      <c r="C6" s="31" t="s">
        <v>81</v>
      </c>
      <c r="D6" s="54" t="s">
        <v>82</v>
      </c>
      <c r="E6" s="30">
        <v>3.0</v>
      </c>
      <c r="F6" s="55">
        <v>198.1</v>
      </c>
      <c r="G6" s="56">
        <v>158.0</v>
      </c>
      <c r="H6" s="12">
        <f t="shared" si="1"/>
        <v>40.26133172</v>
      </c>
      <c r="I6" s="18">
        <v>1.0</v>
      </c>
      <c r="J6" s="18">
        <v>4.0</v>
      </c>
      <c r="K6" s="18">
        <v>1.0</v>
      </c>
      <c r="L6" s="18">
        <v>0.0</v>
      </c>
      <c r="M6" s="18">
        <v>87.0</v>
      </c>
      <c r="N6" s="18">
        <v>0.0</v>
      </c>
      <c r="O6" s="18">
        <v>170.0</v>
      </c>
      <c r="P6" s="18">
        <v>0.0</v>
      </c>
      <c r="Q6" s="18">
        <v>22.0</v>
      </c>
      <c r="R6" s="18">
        <v>0.0</v>
      </c>
      <c r="S6" s="32">
        <v>97.8</v>
      </c>
      <c r="T6" s="18">
        <v>0.0</v>
      </c>
      <c r="U6" s="18">
        <v>95.0</v>
      </c>
      <c r="V6" s="18">
        <v>0.0</v>
      </c>
      <c r="W6" s="9">
        <v>0.0</v>
      </c>
      <c r="X6" s="18">
        <v>0.0</v>
      </c>
      <c r="Y6" s="18">
        <v>0.0</v>
      </c>
      <c r="Z6" s="18">
        <v>0.0</v>
      </c>
      <c r="AA6" s="18">
        <v>1.0</v>
      </c>
      <c r="AB6" s="18">
        <v>0.0</v>
      </c>
      <c r="AC6" s="18">
        <v>0.0</v>
      </c>
      <c r="AD6" s="18">
        <v>0.0</v>
      </c>
      <c r="AE6" s="18">
        <v>0.0</v>
      </c>
      <c r="AF6" s="18">
        <v>0.0</v>
      </c>
      <c r="AG6" s="18">
        <v>1.0</v>
      </c>
      <c r="AH6" s="18">
        <v>0.0</v>
      </c>
      <c r="AI6" s="18">
        <v>1.0</v>
      </c>
      <c r="AJ6" s="18">
        <v>0.0</v>
      </c>
      <c r="AK6" s="18">
        <v>1.0</v>
      </c>
      <c r="AL6" s="18">
        <v>0.0</v>
      </c>
      <c r="AM6" s="18">
        <v>0.0</v>
      </c>
      <c r="AN6" s="18">
        <v>0.0</v>
      </c>
      <c r="AO6" s="18">
        <v>1.0</v>
      </c>
      <c r="AP6" s="18">
        <v>1.0</v>
      </c>
      <c r="AQ6" s="18">
        <v>0.0</v>
      </c>
      <c r="AR6" s="18">
        <v>0.0</v>
      </c>
      <c r="AS6" s="9" t="s">
        <v>84</v>
      </c>
      <c r="AT6" s="9" t="s">
        <v>84</v>
      </c>
      <c r="AU6" s="9" t="s">
        <v>84</v>
      </c>
      <c r="AV6" s="9" t="s">
        <v>84</v>
      </c>
      <c r="AW6" s="18" t="s">
        <v>84</v>
      </c>
      <c r="AX6" s="33">
        <f>5.49/5.83</f>
        <v>0.9416809605</v>
      </c>
      <c r="AY6" s="34">
        <v>0.0</v>
      </c>
      <c r="AZ6" s="30">
        <v>1.0</v>
      </c>
      <c r="BA6" s="30">
        <v>0.0</v>
      </c>
      <c r="BB6" s="33">
        <f>3.16/4.15</f>
        <v>0.7614457831</v>
      </c>
      <c r="BC6" s="30">
        <v>2.0</v>
      </c>
      <c r="BD6" s="30">
        <v>0.0</v>
      </c>
      <c r="BE6" s="30">
        <v>0.0</v>
      </c>
      <c r="BF6" s="18">
        <v>0.0</v>
      </c>
      <c r="BG6" s="18" t="s">
        <v>84</v>
      </c>
      <c r="BH6" s="18">
        <v>0.0</v>
      </c>
      <c r="BI6" s="9">
        <v>0.0</v>
      </c>
      <c r="BJ6" s="18">
        <v>0.0</v>
      </c>
      <c r="BK6" s="18">
        <v>0.0</v>
      </c>
      <c r="BL6" s="18">
        <v>0.0</v>
      </c>
      <c r="BM6" s="18">
        <v>0.0</v>
      </c>
      <c r="BN6" s="18">
        <v>0.0</v>
      </c>
      <c r="BO6" s="18">
        <v>0.0</v>
      </c>
      <c r="BP6" s="9" t="s">
        <v>84</v>
      </c>
      <c r="BQ6" s="9" t="s">
        <v>84</v>
      </c>
      <c r="BR6" s="18">
        <v>0.0</v>
      </c>
      <c r="BS6" s="18">
        <v>0.0</v>
      </c>
      <c r="BT6" s="18">
        <v>0.0</v>
      </c>
      <c r="BU6" s="18">
        <v>0.0</v>
      </c>
      <c r="BV6" s="18">
        <v>0.0</v>
      </c>
      <c r="BW6" s="30">
        <v>0.0</v>
      </c>
      <c r="BX6" s="18">
        <v>0.0</v>
      </c>
      <c r="BY6" s="18">
        <v>0.0</v>
      </c>
      <c r="BZ6" s="18">
        <v>1.0</v>
      </c>
      <c r="CA6" s="18">
        <v>0.0</v>
      </c>
      <c r="CB6" s="18">
        <v>0.0</v>
      </c>
      <c r="CC6" s="36" t="s">
        <v>92</v>
      </c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</row>
    <row r="7" ht="18.75" customHeight="1">
      <c r="A7" s="9">
        <v>6.0</v>
      </c>
      <c r="B7" s="30">
        <v>58.0</v>
      </c>
      <c r="C7" s="31" t="s">
        <v>81</v>
      </c>
      <c r="D7" s="54" t="s">
        <v>82</v>
      </c>
      <c r="E7" s="30">
        <v>9.0</v>
      </c>
      <c r="F7" s="55">
        <v>182.9</v>
      </c>
      <c r="G7" s="56">
        <v>72.6</v>
      </c>
      <c r="H7" s="12">
        <f t="shared" si="1"/>
        <v>21.70247226</v>
      </c>
      <c r="I7" s="18">
        <v>0.0</v>
      </c>
      <c r="J7" s="18">
        <v>2.0</v>
      </c>
      <c r="K7" s="18">
        <v>1.0</v>
      </c>
      <c r="L7" s="18">
        <v>0.0</v>
      </c>
      <c r="M7" s="18">
        <v>85.0</v>
      </c>
      <c r="N7" s="18">
        <v>0.0</v>
      </c>
      <c r="O7" s="18">
        <v>124.0</v>
      </c>
      <c r="P7" s="18">
        <v>0.0</v>
      </c>
      <c r="Q7" s="18">
        <v>18.0</v>
      </c>
      <c r="R7" s="18">
        <v>0.0</v>
      </c>
      <c r="S7" s="32">
        <v>98.5</v>
      </c>
      <c r="T7" s="18">
        <v>0.0</v>
      </c>
      <c r="U7" s="18">
        <v>95.0</v>
      </c>
      <c r="V7" s="18">
        <v>0.0</v>
      </c>
      <c r="W7" s="9">
        <v>0.0</v>
      </c>
      <c r="X7" s="18">
        <v>0.0</v>
      </c>
      <c r="Y7" s="18">
        <v>0.0</v>
      </c>
      <c r="Z7" s="18">
        <v>0.0</v>
      </c>
      <c r="AA7" s="18">
        <v>0.0</v>
      </c>
      <c r="AB7" s="18">
        <v>0.0</v>
      </c>
      <c r="AC7" s="18">
        <v>0.0</v>
      </c>
      <c r="AD7" s="18">
        <v>0.0</v>
      </c>
      <c r="AE7" s="18">
        <v>0.0</v>
      </c>
      <c r="AF7" s="18">
        <v>0.0</v>
      </c>
      <c r="AG7" s="18">
        <v>0.0</v>
      </c>
      <c r="AH7" s="18">
        <v>0.0</v>
      </c>
      <c r="AI7" s="18">
        <v>1.0</v>
      </c>
      <c r="AJ7" s="18">
        <v>0.0</v>
      </c>
      <c r="AK7" s="18">
        <v>0.0</v>
      </c>
      <c r="AL7" s="18">
        <v>0.0</v>
      </c>
      <c r="AM7" s="18">
        <v>0.0</v>
      </c>
      <c r="AN7" s="18">
        <v>0.0</v>
      </c>
      <c r="AO7" s="18">
        <v>1.0</v>
      </c>
      <c r="AP7" s="18">
        <v>0.0</v>
      </c>
      <c r="AQ7" s="18" t="s">
        <v>84</v>
      </c>
      <c r="AR7" s="18">
        <v>0.0</v>
      </c>
      <c r="AS7" s="9">
        <v>0.0</v>
      </c>
      <c r="AT7" s="9">
        <v>0.0</v>
      </c>
      <c r="AU7" s="9">
        <v>0.0</v>
      </c>
      <c r="AV7" s="9">
        <v>0.0</v>
      </c>
      <c r="AW7" s="18">
        <v>40.0</v>
      </c>
      <c r="AX7" s="33">
        <f>4.65/5.46</f>
        <v>0.8516483516</v>
      </c>
      <c r="AY7" s="34">
        <v>1.0</v>
      </c>
      <c r="AZ7" s="30">
        <v>0.0</v>
      </c>
      <c r="BA7" s="30">
        <v>0.0</v>
      </c>
      <c r="BB7" s="33">
        <f>2.76/3.36</f>
        <v>0.8214285714</v>
      </c>
      <c r="BC7" s="30">
        <v>1.0</v>
      </c>
      <c r="BD7" s="30">
        <v>1.0</v>
      </c>
      <c r="BE7" s="30">
        <v>0.0</v>
      </c>
      <c r="BF7" s="18">
        <v>0.0</v>
      </c>
      <c r="BG7" s="18" t="s">
        <v>84</v>
      </c>
      <c r="BH7" s="18">
        <v>0.0</v>
      </c>
      <c r="BI7" s="9">
        <v>0.0</v>
      </c>
      <c r="BJ7" s="18">
        <v>0.0</v>
      </c>
      <c r="BK7" s="18">
        <v>0.0</v>
      </c>
      <c r="BL7" s="18">
        <v>0.0</v>
      </c>
      <c r="BM7" s="18">
        <v>0.0</v>
      </c>
      <c r="BN7" s="18">
        <v>0.0</v>
      </c>
      <c r="BO7" s="18">
        <v>0.0</v>
      </c>
      <c r="BP7" s="9" t="s">
        <v>84</v>
      </c>
      <c r="BQ7" s="9" t="s">
        <v>84</v>
      </c>
      <c r="BR7" s="18">
        <v>0.0</v>
      </c>
      <c r="BS7" s="18">
        <v>0.0</v>
      </c>
      <c r="BT7" s="18">
        <v>0.0</v>
      </c>
      <c r="BU7" s="18">
        <v>0.0</v>
      </c>
      <c r="BV7" s="18">
        <v>0.0</v>
      </c>
      <c r="BW7" s="30">
        <v>0.0</v>
      </c>
      <c r="BX7" s="18">
        <v>0.0</v>
      </c>
      <c r="BY7" s="18">
        <v>0.0</v>
      </c>
      <c r="BZ7" s="18">
        <v>1.0</v>
      </c>
      <c r="CA7" s="18">
        <v>0.0</v>
      </c>
      <c r="CB7" s="18">
        <v>0.0</v>
      </c>
      <c r="CC7" s="36" t="s">
        <v>87</v>
      </c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</row>
    <row r="8" ht="18.75" customHeight="1">
      <c r="A8" s="9">
        <v>7.0</v>
      </c>
      <c r="B8" s="30">
        <v>88.0</v>
      </c>
      <c r="C8" s="31" t="s">
        <v>86</v>
      </c>
      <c r="D8" s="54" t="s">
        <v>82</v>
      </c>
      <c r="E8" s="30">
        <v>3.0</v>
      </c>
      <c r="F8" s="55">
        <v>177.8</v>
      </c>
      <c r="G8" s="56">
        <v>46.4</v>
      </c>
      <c r="H8" s="12">
        <f t="shared" si="1"/>
        <v>14.67758038</v>
      </c>
      <c r="I8" s="18">
        <v>1.0</v>
      </c>
      <c r="J8" s="18">
        <v>4.0</v>
      </c>
      <c r="K8" s="18">
        <v>2.0</v>
      </c>
      <c r="L8" s="18">
        <v>0.0</v>
      </c>
      <c r="M8" s="18">
        <v>86.0</v>
      </c>
      <c r="N8" s="18">
        <v>1.0</v>
      </c>
      <c r="O8" s="18">
        <v>97.0</v>
      </c>
      <c r="P8" s="18">
        <v>0.0</v>
      </c>
      <c r="Q8" s="18">
        <v>18.0</v>
      </c>
      <c r="R8" s="18">
        <v>0.0</v>
      </c>
      <c r="S8" s="32">
        <v>98.4</v>
      </c>
      <c r="T8" s="18">
        <v>0.0</v>
      </c>
      <c r="U8" s="18">
        <v>91.0</v>
      </c>
      <c r="V8" s="18">
        <v>1.0</v>
      </c>
      <c r="W8" s="9">
        <v>0.0</v>
      </c>
      <c r="X8" s="18">
        <v>0.0</v>
      </c>
      <c r="Y8" s="18">
        <v>0.0</v>
      </c>
      <c r="Z8" s="18">
        <v>0.0</v>
      </c>
      <c r="AA8" s="18">
        <v>0.0</v>
      </c>
      <c r="AB8" s="18">
        <v>0.0</v>
      </c>
      <c r="AC8" s="18">
        <v>0.0</v>
      </c>
      <c r="AD8" s="18">
        <v>0.0</v>
      </c>
      <c r="AE8" s="18">
        <v>1.0</v>
      </c>
      <c r="AF8" s="18">
        <v>0.0</v>
      </c>
      <c r="AG8" s="18">
        <v>1.0</v>
      </c>
      <c r="AH8" s="18">
        <v>0.0</v>
      </c>
      <c r="AI8" s="18">
        <v>1.0</v>
      </c>
      <c r="AJ8" s="18">
        <v>0.0</v>
      </c>
      <c r="AK8" s="18">
        <v>1.0</v>
      </c>
      <c r="AL8" s="18">
        <v>0.0</v>
      </c>
      <c r="AM8" s="18">
        <v>0.0</v>
      </c>
      <c r="AN8" s="18">
        <v>0.0</v>
      </c>
      <c r="AO8" s="18">
        <v>1.0</v>
      </c>
      <c r="AP8" s="18">
        <v>1.0</v>
      </c>
      <c r="AQ8" s="18">
        <v>1.0</v>
      </c>
      <c r="AR8" s="18">
        <v>0.0</v>
      </c>
      <c r="AS8" s="9">
        <v>0.0</v>
      </c>
      <c r="AT8" s="9">
        <v>0.0</v>
      </c>
      <c r="AU8" s="9">
        <v>0.0</v>
      </c>
      <c r="AV8" s="9">
        <v>0.0</v>
      </c>
      <c r="AW8" s="18" t="s">
        <v>97</v>
      </c>
      <c r="AX8" s="33">
        <f>3.47/4</f>
        <v>0.8675</v>
      </c>
      <c r="AY8" s="34">
        <v>1.0</v>
      </c>
      <c r="AZ8" s="30">
        <v>0.0</v>
      </c>
      <c r="BA8" s="30">
        <v>0.0</v>
      </c>
      <c r="BB8" s="33">
        <f>2.56/3</f>
        <v>0.8533333333</v>
      </c>
      <c r="BC8" s="30">
        <v>3.0</v>
      </c>
      <c r="BD8" s="30">
        <v>0.0</v>
      </c>
      <c r="BE8" s="30">
        <v>0.0</v>
      </c>
      <c r="BF8" s="18">
        <v>0.0</v>
      </c>
      <c r="BG8" s="18" t="s">
        <v>84</v>
      </c>
      <c r="BH8" s="18">
        <v>0.0</v>
      </c>
      <c r="BI8" s="9">
        <v>0.0</v>
      </c>
      <c r="BJ8" s="18">
        <v>0.0</v>
      </c>
      <c r="BK8" s="18">
        <v>0.0</v>
      </c>
      <c r="BL8" s="18">
        <v>0.0</v>
      </c>
      <c r="BM8" s="18">
        <v>0.0</v>
      </c>
      <c r="BN8" s="18">
        <v>0.0</v>
      </c>
      <c r="BO8" s="18">
        <v>0.0</v>
      </c>
      <c r="BP8" s="9" t="s">
        <v>84</v>
      </c>
      <c r="BQ8" s="9" t="s">
        <v>84</v>
      </c>
      <c r="BR8" s="18">
        <v>0.0</v>
      </c>
      <c r="BS8" s="18">
        <v>0.0</v>
      </c>
      <c r="BT8" s="18">
        <v>0.0</v>
      </c>
      <c r="BU8" s="18">
        <v>0.0</v>
      </c>
      <c r="BV8" s="18">
        <v>0.0</v>
      </c>
      <c r="BW8" s="30">
        <v>0.0</v>
      </c>
      <c r="BX8" s="18">
        <v>0.0</v>
      </c>
      <c r="BY8" s="18">
        <v>0.0</v>
      </c>
      <c r="BZ8" s="18">
        <v>0.0</v>
      </c>
      <c r="CA8" s="18">
        <v>0.0</v>
      </c>
      <c r="CB8" s="18">
        <v>0.0</v>
      </c>
      <c r="CC8" s="36" t="s">
        <v>92</v>
      </c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  <c r="CP8" s="16"/>
      <c r="CQ8" s="16"/>
      <c r="CR8" s="16"/>
      <c r="CS8" s="16"/>
      <c r="CT8" s="16"/>
      <c r="CU8" s="16"/>
      <c r="CV8" s="16"/>
      <c r="CW8" s="16"/>
    </row>
    <row r="9" ht="18.75" customHeight="1">
      <c r="A9" s="9">
        <v>8.0</v>
      </c>
      <c r="B9" s="30">
        <v>75.0</v>
      </c>
      <c r="C9" s="31" t="s">
        <v>81</v>
      </c>
      <c r="D9" s="54" t="s">
        <v>82</v>
      </c>
      <c r="E9" s="30">
        <v>6.0</v>
      </c>
      <c r="F9" s="55">
        <v>182.9</v>
      </c>
      <c r="G9" s="56">
        <v>84.2</v>
      </c>
      <c r="H9" s="12">
        <f t="shared" si="1"/>
        <v>25.17008491</v>
      </c>
      <c r="I9" s="18">
        <v>1.0</v>
      </c>
      <c r="J9" s="18">
        <v>4.0</v>
      </c>
      <c r="K9" s="18">
        <v>2.0</v>
      </c>
      <c r="L9" s="18">
        <v>0.0</v>
      </c>
      <c r="M9" s="18">
        <v>88.0</v>
      </c>
      <c r="N9" s="18">
        <v>0.0</v>
      </c>
      <c r="O9" s="18">
        <v>109.0</v>
      </c>
      <c r="P9" s="18">
        <v>0.0</v>
      </c>
      <c r="Q9" s="18">
        <v>20.0</v>
      </c>
      <c r="R9" s="18">
        <v>0.0</v>
      </c>
      <c r="S9" s="32">
        <v>98.4</v>
      </c>
      <c r="T9" s="18">
        <v>0.0</v>
      </c>
      <c r="U9" s="18">
        <v>97.0</v>
      </c>
      <c r="V9" s="18">
        <v>0.0</v>
      </c>
      <c r="W9" s="9">
        <v>0.0</v>
      </c>
      <c r="X9" s="18">
        <v>0.0</v>
      </c>
      <c r="Y9" s="18">
        <v>0.0</v>
      </c>
      <c r="Z9" s="18">
        <v>0.0</v>
      </c>
      <c r="AA9" s="18">
        <v>1.0</v>
      </c>
      <c r="AB9" s="18">
        <v>0.0</v>
      </c>
      <c r="AC9" s="18">
        <v>0.0</v>
      </c>
      <c r="AD9" s="18">
        <v>0.0</v>
      </c>
      <c r="AE9" s="18">
        <v>0.0</v>
      </c>
      <c r="AF9" s="18">
        <v>0.0</v>
      </c>
      <c r="AG9" s="18">
        <v>0.0</v>
      </c>
      <c r="AH9" s="18">
        <v>0.0</v>
      </c>
      <c r="AI9" s="18">
        <v>0.0</v>
      </c>
      <c r="AJ9" s="18">
        <v>0.0</v>
      </c>
      <c r="AK9" s="18">
        <v>1.0</v>
      </c>
      <c r="AL9" s="18">
        <v>0.0</v>
      </c>
      <c r="AM9" s="18">
        <v>0.0</v>
      </c>
      <c r="AN9" s="18">
        <v>0.0</v>
      </c>
      <c r="AO9" s="18">
        <v>0.0</v>
      </c>
      <c r="AP9" s="18" t="s">
        <v>84</v>
      </c>
      <c r="AQ9" s="18" t="s">
        <v>84</v>
      </c>
      <c r="AR9" s="18">
        <v>0.0</v>
      </c>
      <c r="AS9" s="9">
        <v>1.0</v>
      </c>
      <c r="AT9" s="9">
        <v>0.0</v>
      </c>
      <c r="AU9" s="9">
        <v>0.0</v>
      </c>
      <c r="AV9" s="9">
        <v>0.0</v>
      </c>
      <c r="AW9" s="18">
        <v>21.0</v>
      </c>
      <c r="AX9" s="33">
        <f>4.1/4.7</f>
        <v>0.8723404255</v>
      </c>
      <c r="AY9" s="34">
        <v>1.0</v>
      </c>
      <c r="AZ9" s="30">
        <v>0.0</v>
      </c>
      <c r="BA9" s="30">
        <v>0.0</v>
      </c>
      <c r="BB9" s="33">
        <f>3.51/3.11</f>
        <v>1.128617363</v>
      </c>
      <c r="BC9" s="30">
        <v>2.0</v>
      </c>
      <c r="BD9" s="30">
        <v>0.0</v>
      </c>
      <c r="BE9" s="30">
        <v>0.0</v>
      </c>
      <c r="BF9" s="18">
        <v>0.0</v>
      </c>
      <c r="BG9" s="18" t="s">
        <v>84</v>
      </c>
      <c r="BH9" s="18">
        <v>0.0</v>
      </c>
      <c r="BI9" s="9">
        <v>0.0</v>
      </c>
      <c r="BJ9" s="18">
        <v>0.0</v>
      </c>
      <c r="BK9" s="18">
        <v>0.0</v>
      </c>
      <c r="BL9" s="18">
        <v>0.0</v>
      </c>
      <c r="BM9" s="18">
        <v>0.0</v>
      </c>
      <c r="BN9" s="18">
        <v>0.0</v>
      </c>
      <c r="BO9" s="18">
        <v>0.0</v>
      </c>
      <c r="BP9" s="9" t="s">
        <v>84</v>
      </c>
      <c r="BQ9" s="9" t="s">
        <v>84</v>
      </c>
      <c r="BR9" s="18">
        <v>0.0</v>
      </c>
      <c r="BS9" s="18">
        <v>0.0</v>
      </c>
      <c r="BT9" s="18">
        <v>0.0</v>
      </c>
      <c r="BU9" s="18">
        <v>0.0</v>
      </c>
      <c r="BV9" s="18">
        <v>0.0</v>
      </c>
      <c r="BW9" s="30">
        <v>0.0</v>
      </c>
      <c r="BX9" s="18">
        <v>0.0</v>
      </c>
      <c r="BY9" s="18">
        <v>0.0</v>
      </c>
      <c r="BZ9" s="18">
        <v>0.0</v>
      </c>
      <c r="CA9" s="18">
        <v>0.0</v>
      </c>
      <c r="CB9" s="18">
        <v>1.0</v>
      </c>
      <c r="CC9" s="36" t="s">
        <v>92</v>
      </c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</row>
    <row r="10" ht="18.75" customHeight="1">
      <c r="A10" s="9">
        <v>9.0</v>
      </c>
      <c r="B10" s="30">
        <v>25.0</v>
      </c>
      <c r="C10" s="31" t="s">
        <v>86</v>
      </c>
      <c r="D10" s="54" t="s">
        <v>82</v>
      </c>
      <c r="E10" s="30">
        <v>2.0</v>
      </c>
      <c r="F10" s="55">
        <v>157.5</v>
      </c>
      <c r="G10" s="56">
        <v>94.3</v>
      </c>
      <c r="H10" s="12">
        <f t="shared" si="1"/>
        <v>38.01461325</v>
      </c>
      <c r="I10" s="18">
        <v>0.0</v>
      </c>
      <c r="J10" s="18">
        <v>1.0</v>
      </c>
      <c r="K10" s="18">
        <v>1.0</v>
      </c>
      <c r="L10" s="18">
        <v>0.0</v>
      </c>
      <c r="M10" s="18">
        <v>109.0</v>
      </c>
      <c r="N10" s="18">
        <v>0.0</v>
      </c>
      <c r="O10" s="18">
        <v>121.0</v>
      </c>
      <c r="P10" s="18">
        <v>0.0</v>
      </c>
      <c r="Q10" s="18">
        <v>18.0</v>
      </c>
      <c r="R10" s="18">
        <v>0.0</v>
      </c>
      <c r="S10" s="32">
        <v>97.6</v>
      </c>
      <c r="T10" s="18">
        <v>0.0</v>
      </c>
      <c r="U10" s="18">
        <v>100.0</v>
      </c>
      <c r="V10" s="18">
        <v>1.0</v>
      </c>
      <c r="W10" s="9">
        <v>0.0</v>
      </c>
      <c r="X10" s="18">
        <v>0.0</v>
      </c>
      <c r="Y10" s="18">
        <v>0.0</v>
      </c>
      <c r="Z10" s="18">
        <v>0.0</v>
      </c>
      <c r="AA10" s="18">
        <v>0.0</v>
      </c>
      <c r="AB10" s="18">
        <v>0.0</v>
      </c>
      <c r="AC10" s="18">
        <v>0.0</v>
      </c>
      <c r="AD10" s="18">
        <v>0.0</v>
      </c>
      <c r="AE10" s="18">
        <v>0.0</v>
      </c>
      <c r="AF10" s="18">
        <v>0.0</v>
      </c>
      <c r="AG10" s="18">
        <v>0.0</v>
      </c>
      <c r="AH10" s="18">
        <v>0.0</v>
      </c>
      <c r="AI10" s="18">
        <v>0.0</v>
      </c>
      <c r="AJ10" s="18">
        <v>0.0</v>
      </c>
      <c r="AK10" s="18">
        <v>1.0</v>
      </c>
      <c r="AL10" s="18">
        <v>0.0</v>
      </c>
      <c r="AM10" s="18">
        <v>0.0</v>
      </c>
      <c r="AN10" s="18">
        <v>0.0</v>
      </c>
      <c r="AO10" s="18">
        <v>0.0</v>
      </c>
      <c r="AP10" s="18" t="s">
        <v>84</v>
      </c>
      <c r="AQ10" s="18" t="s">
        <v>84</v>
      </c>
      <c r="AR10" s="18">
        <v>0.0</v>
      </c>
      <c r="AS10" s="9" t="s">
        <v>84</v>
      </c>
      <c r="AT10" s="9" t="s">
        <v>84</v>
      </c>
      <c r="AU10" s="9" t="s">
        <v>84</v>
      </c>
      <c r="AV10" s="9" t="s">
        <v>84</v>
      </c>
      <c r="AW10" s="18" t="s">
        <v>84</v>
      </c>
      <c r="AX10" s="33">
        <f>2.95/4.42</f>
        <v>0.6674208145</v>
      </c>
      <c r="AY10" s="34">
        <v>0.0</v>
      </c>
      <c r="AZ10" s="30">
        <v>0.0</v>
      </c>
      <c r="BA10" s="30">
        <v>0.0</v>
      </c>
      <c r="BB10" s="33">
        <f>2.53/3.07</f>
        <v>0.8241042345</v>
      </c>
      <c r="BC10" s="30">
        <v>1.0</v>
      </c>
      <c r="BD10" s="30">
        <v>0.0</v>
      </c>
      <c r="BE10" s="30">
        <v>0.0</v>
      </c>
      <c r="BF10" s="18">
        <v>0.0</v>
      </c>
      <c r="BG10" s="18" t="s">
        <v>84</v>
      </c>
      <c r="BH10" s="18">
        <v>0.0</v>
      </c>
      <c r="BI10" s="9">
        <v>0.0</v>
      </c>
      <c r="BJ10" s="18">
        <v>0.0</v>
      </c>
      <c r="BK10" s="18">
        <v>0.0</v>
      </c>
      <c r="BL10" s="18">
        <v>0.0</v>
      </c>
      <c r="BM10" s="18">
        <v>0.0</v>
      </c>
      <c r="BN10" s="18">
        <v>0.0</v>
      </c>
      <c r="BO10" s="18">
        <v>0.0</v>
      </c>
      <c r="BP10" s="9" t="s">
        <v>84</v>
      </c>
      <c r="BQ10" s="9" t="s">
        <v>84</v>
      </c>
      <c r="BR10" s="18">
        <v>0.0</v>
      </c>
      <c r="BS10" s="18">
        <v>0.0</v>
      </c>
      <c r="BT10" s="18">
        <v>0.0</v>
      </c>
      <c r="BU10" s="18">
        <v>0.0</v>
      </c>
      <c r="BV10" s="18">
        <v>0.0</v>
      </c>
      <c r="BW10" s="30">
        <v>0.0</v>
      </c>
      <c r="BX10" s="18">
        <v>0.0</v>
      </c>
      <c r="BY10" s="18">
        <v>0.0</v>
      </c>
      <c r="BZ10" s="18">
        <v>1.0</v>
      </c>
      <c r="CA10" s="18">
        <v>0.0</v>
      </c>
      <c r="CB10" s="18">
        <v>0.0</v>
      </c>
      <c r="CC10" s="36" t="s">
        <v>92</v>
      </c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</row>
    <row r="11" ht="18.75" customHeight="1">
      <c r="A11" s="9">
        <v>10.0</v>
      </c>
      <c r="B11" s="30">
        <v>78.0</v>
      </c>
      <c r="C11" s="31" t="s">
        <v>81</v>
      </c>
      <c r="D11" s="54" t="s">
        <v>82</v>
      </c>
      <c r="E11" s="30">
        <v>1.0</v>
      </c>
      <c r="F11" s="55">
        <v>170.2</v>
      </c>
      <c r="G11" s="56">
        <v>81.6</v>
      </c>
      <c r="H11" s="12">
        <f t="shared" si="1"/>
        <v>28.16897519</v>
      </c>
      <c r="I11" s="18">
        <v>1.0</v>
      </c>
      <c r="J11" s="18">
        <v>2.0</v>
      </c>
      <c r="K11" s="18">
        <v>1.0</v>
      </c>
      <c r="L11" s="18">
        <v>0.0</v>
      </c>
      <c r="M11" s="18">
        <v>78.0</v>
      </c>
      <c r="N11" s="18">
        <v>0.0</v>
      </c>
      <c r="O11" s="18">
        <v>117.0</v>
      </c>
      <c r="P11" s="18">
        <v>0.0</v>
      </c>
      <c r="Q11" s="18">
        <v>20.0</v>
      </c>
      <c r="R11" s="18">
        <v>0.0</v>
      </c>
      <c r="S11" s="32">
        <v>98.1</v>
      </c>
      <c r="T11" s="18">
        <v>0.0</v>
      </c>
      <c r="U11" s="18">
        <v>96.0</v>
      </c>
      <c r="V11" s="18">
        <v>0.0</v>
      </c>
      <c r="W11" s="9">
        <v>0.0</v>
      </c>
      <c r="X11" s="18">
        <v>0.0</v>
      </c>
      <c r="Y11" s="18">
        <v>0.0</v>
      </c>
      <c r="Z11" s="18">
        <v>0.0</v>
      </c>
      <c r="AA11" s="18">
        <v>0.0</v>
      </c>
      <c r="AB11" s="18">
        <v>0.0</v>
      </c>
      <c r="AC11" s="18">
        <v>0.0</v>
      </c>
      <c r="AD11" s="18">
        <v>0.0</v>
      </c>
      <c r="AE11" s="18">
        <v>0.0</v>
      </c>
      <c r="AF11" s="18">
        <v>0.0</v>
      </c>
      <c r="AG11" s="18">
        <v>0.0</v>
      </c>
      <c r="AH11" s="18">
        <v>0.0</v>
      </c>
      <c r="AI11" s="18">
        <v>0.0</v>
      </c>
      <c r="AJ11" s="18">
        <v>0.0</v>
      </c>
      <c r="AK11" s="18">
        <v>1.0</v>
      </c>
      <c r="AL11" s="18">
        <v>0.0</v>
      </c>
      <c r="AM11" s="18">
        <v>0.0</v>
      </c>
      <c r="AN11" s="18">
        <v>0.0</v>
      </c>
      <c r="AO11" s="18" t="s">
        <v>84</v>
      </c>
      <c r="AP11" s="18" t="s">
        <v>84</v>
      </c>
      <c r="AQ11" s="18" t="s">
        <v>84</v>
      </c>
      <c r="AR11" s="18">
        <v>0.0</v>
      </c>
      <c r="AS11" s="9" t="s">
        <v>84</v>
      </c>
      <c r="AT11" s="9" t="s">
        <v>84</v>
      </c>
      <c r="AU11" s="9" t="s">
        <v>84</v>
      </c>
      <c r="AV11" s="9" t="s">
        <v>84</v>
      </c>
      <c r="AW11" s="18" t="s">
        <v>84</v>
      </c>
      <c r="AX11" s="33">
        <f>2.56/5.14</f>
        <v>0.4980544747</v>
      </c>
      <c r="AY11" s="34">
        <v>0.0</v>
      </c>
      <c r="AZ11" s="30">
        <v>0.0</v>
      </c>
      <c r="BA11" s="30">
        <v>0.0</v>
      </c>
      <c r="BB11" s="33">
        <f>3.14/3.75</f>
        <v>0.8373333333</v>
      </c>
      <c r="BC11" s="30">
        <v>2.0</v>
      </c>
      <c r="BD11" s="30">
        <v>0.0</v>
      </c>
      <c r="BE11" s="30">
        <v>1.0</v>
      </c>
      <c r="BF11" s="18">
        <v>0.0</v>
      </c>
      <c r="BG11" s="18" t="s">
        <v>84</v>
      </c>
      <c r="BH11" s="18">
        <v>0.0</v>
      </c>
      <c r="BI11" s="9">
        <v>0.0</v>
      </c>
      <c r="BJ11" s="18">
        <v>0.0</v>
      </c>
      <c r="BK11" s="18">
        <v>0.0</v>
      </c>
      <c r="BL11" s="18">
        <v>0.0</v>
      </c>
      <c r="BM11" s="18">
        <v>0.0</v>
      </c>
      <c r="BN11" s="18">
        <v>0.0</v>
      </c>
      <c r="BO11" s="18">
        <v>0.0</v>
      </c>
      <c r="BP11" s="9" t="s">
        <v>84</v>
      </c>
      <c r="BQ11" s="9" t="s">
        <v>84</v>
      </c>
      <c r="BR11" s="18">
        <v>0.0</v>
      </c>
      <c r="BS11" s="18">
        <v>0.0</v>
      </c>
      <c r="BT11" s="18">
        <v>0.0</v>
      </c>
      <c r="BU11" s="18">
        <v>0.0</v>
      </c>
      <c r="BV11" s="18">
        <v>0.0</v>
      </c>
      <c r="BW11" s="31" t="s">
        <v>94</v>
      </c>
      <c r="BX11" s="18" t="s">
        <v>94</v>
      </c>
      <c r="BY11" s="18">
        <v>0.0</v>
      </c>
      <c r="BZ11" s="18">
        <v>0.0</v>
      </c>
      <c r="CA11" s="18">
        <v>0.0</v>
      </c>
      <c r="CB11" s="18">
        <v>0.0</v>
      </c>
      <c r="CC11" s="36" t="s">
        <v>92</v>
      </c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</row>
    <row r="12" ht="18.75" customHeight="1">
      <c r="A12" s="9">
        <v>11.0</v>
      </c>
      <c r="B12" s="30">
        <v>81.0</v>
      </c>
      <c r="C12" s="31" t="s">
        <v>81</v>
      </c>
      <c r="D12" s="54" t="s">
        <v>82</v>
      </c>
      <c r="E12" s="30">
        <v>3.0</v>
      </c>
      <c r="F12" s="55">
        <v>167.6</v>
      </c>
      <c r="G12" s="56">
        <v>70.3</v>
      </c>
      <c r="H12" s="12">
        <f t="shared" si="1"/>
        <v>25.02691372</v>
      </c>
      <c r="I12" s="18">
        <v>1.0</v>
      </c>
      <c r="J12" s="18">
        <v>4.0</v>
      </c>
      <c r="K12" s="18">
        <v>1.0</v>
      </c>
      <c r="L12" s="18">
        <v>0.0</v>
      </c>
      <c r="M12" s="18">
        <v>69.0</v>
      </c>
      <c r="N12" s="18">
        <v>0.0</v>
      </c>
      <c r="O12" s="18">
        <v>115.0</v>
      </c>
      <c r="P12" s="18">
        <v>0.0</v>
      </c>
      <c r="Q12" s="18">
        <v>24.0</v>
      </c>
      <c r="R12" s="18">
        <v>0.0</v>
      </c>
      <c r="S12" s="32">
        <v>97.8</v>
      </c>
      <c r="T12" s="18">
        <v>0.0</v>
      </c>
      <c r="U12" s="18" t="s">
        <v>84</v>
      </c>
      <c r="V12" s="36" t="s">
        <v>158</v>
      </c>
      <c r="W12" s="9">
        <v>0.0</v>
      </c>
      <c r="X12" s="18">
        <v>0.0</v>
      </c>
      <c r="Y12" s="18">
        <v>0.0</v>
      </c>
      <c r="Z12" s="18">
        <v>1.0</v>
      </c>
      <c r="AA12" s="18">
        <v>0.0</v>
      </c>
      <c r="AB12" s="18">
        <v>0.0</v>
      </c>
      <c r="AC12" s="18">
        <v>1.0</v>
      </c>
      <c r="AD12" s="18">
        <v>0.0</v>
      </c>
      <c r="AE12" s="18">
        <v>0.0</v>
      </c>
      <c r="AF12" s="18">
        <v>0.0</v>
      </c>
      <c r="AG12" s="18">
        <v>0.0</v>
      </c>
      <c r="AH12" s="18">
        <v>0.0</v>
      </c>
      <c r="AI12" s="18">
        <v>0.0</v>
      </c>
      <c r="AJ12" s="18">
        <v>0.0</v>
      </c>
      <c r="AK12" s="18">
        <v>1.0</v>
      </c>
      <c r="AL12" s="18">
        <v>0.0</v>
      </c>
      <c r="AM12" s="18">
        <v>0.0</v>
      </c>
      <c r="AN12" s="18">
        <v>0.0</v>
      </c>
      <c r="AO12" s="18" t="s">
        <v>84</v>
      </c>
      <c r="AP12" s="18" t="s">
        <v>84</v>
      </c>
      <c r="AQ12" s="18" t="s">
        <v>84</v>
      </c>
      <c r="AR12" s="18">
        <v>0.0</v>
      </c>
      <c r="AS12" s="9" t="s">
        <v>84</v>
      </c>
      <c r="AT12" s="9" t="s">
        <v>84</v>
      </c>
      <c r="AU12" s="9" t="s">
        <v>84</v>
      </c>
      <c r="AV12" s="9" t="s">
        <v>84</v>
      </c>
      <c r="AW12" s="18" t="s">
        <v>84</v>
      </c>
      <c r="AX12" s="33">
        <f>3.54/4.92</f>
        <v>0.7195121951</v>
      </c>
      <c r="AY12" s="34">
        <v>0.0</v>
      </c>
      <c r="AZ12" s="30">
        <v>0.0</v>
      </c>
      <c r="BA12" s="30">
        <v>0.0</v>
      </c>
      <c r="BB12" s="33">
        <f>3.53/3.16</f>
        <v>1.117088608</v>
      </c>
      <c r="BC12" s="30">
        <v>3.0</v>
      </c>
      <c r="BD12" s="30">
        <v>0.0</v>
      </c>
      <c r="BE12" s="30">
        <v>0.0</v>
      </c>
      <c r="BF12" s="18">
        <v>0.0</v>
      </c>
      <c r="BG12" s="18" t="s">
        <v>84</v>
      </c>
      <c r="BH12" s="18">
        <v>0.0</v>
      </c>
      <c r="BI12" s="9">
        <v>0.0</v>
      </c>
      <c r="BJ12" s="18">
        <v>0.0</v>
      </c>
      <c r="BK12" s="18">
        <v>0.0</v>
      </c>
      <c r="BL12" s="18">
        <v>0.0</v>
      </c>
      <c r="BM12" s="18">
        <v>0.0</v>
      </c>
      <c r="BN12" s="18">
        <v>0.0</v>
      </c>
      <c r="BO12" s="18">
        <v>0.0</v>
      </c>
      <c r="BP12" s="9" t="s">
        <v>84</v>
      </c>
      <c r="BQ12" s="9" t="s">
        <v>84</v>
      </c>
      <c r="BR12" s="18">
        <v>0.0</v>
      </c>
      <c r="BS12" s="18">
        <v>0.0</v>
      </c>
      <c r="BT12" s="18">
        <v>0.0</v>
      </c>
      <c r="BU12" s="18">
        <v>1.0</v>
      </c>
      <c r="BV12" s="18">
        <v>0.0</v>
      </c>
      <c r="BW12" s="30">
        <v>0.0</v>
      </c>
      <c r="BX12" s="18">
        <v>0.0</v>
      </c>
      <c r="BY12" s="36" t="s">
        <v>159</v>
      </c>
      <c r="BZ12" s="18">
        <v>0.0</v>
      </c>
      <c r="CA12" s="18">
        <v>0.0</v>
      </c>
      <c r="CB12" s="18">
        <v>0.0</v>
      </c>
      <c r="CC12" s="36" t="s">
        <v>104</v>
      </c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</row>
    <row r="13" ht="18.75" customHeight="1">
      <c r="A13" s="9">
        <v>12.0</v>
      </c>
      <c r="B13" s="30">
        <v>80.0</v>
      </c>
      <c r="C13" s="31" t="s">
        <v>81</v>
      </c>
      <c r="D13" s="54" t="s">
        <v>82</v>
      </c>
      <c r="E13" s="30">
        <v>9.0</v>
      </c>
      <c r="F13" s="55">
        <v>167.6</v>
      </c>
      <c r="G13" s="56">
        <v>70.3</v>
      </c>
      <c r="H13" s="12">
        <f t="shared" si="1"/>
        <v>25.02691372</v>
      </c>
      <c r="I13" s="18">
        <v>1.0</v>
      </c>
      <c r="J13" s="18">
        <v>4.0</v>
      </c>
      <c r="K13" s="18">
        <v>1.0</v>
      </c>
      <c r="L13" s="18">
        <v>0.0</v>
      </c>
      <c r="M13" s="18">
        <v>81.0</v>
      </c>
      <c r="N13" s="18">
        <v>0.0</v>
      </c>
      <c r="O13" s="18">
        <v>130.0</v>
      </c>
      <c r="P13" s="18">
        <v>0.0</v>
      </c>
      <c r="Q13" s="18">
        <v>18.0</v>
      </c>
      <c r="R13" s="18">
        <v>0.0</v>
      </c>
      <c r="S13" s="32">
        <v>97.9</v>
      </c>
      <c r="T13" s="18">
        <v>0.0</v>
      </c>
      <c r="U13" s="18" t="s">
        <v>84</v>
      </c>
      <c r="V13" s="36" t="s">
        <v>158</v>
      </c>
      <c r="W13" s="9">
        <v>0.0</v>
      </c>
      <c r="X13" s="18">
        <v>0.0</v>
      </c>
      <c r="Y13" s="18">
        <v>0.0</v>
      </c>
      <c r="Z13" s="18">
        <v>1.0</v>
      </c>
      <c r="AA13" s="18">
        <v>0.0</v>
      </c>
      <c r="AB13" s="18">
        <v>0.0</v>
      </c>
      <c r="AC13" s="18">
        <v>1.0</v>
      </c>
      <c r="AD13" s="18">
        <v>0.0</v>
      </c>
      <c r="AE13" s="18">
        <v>0.0</v>
      </c>
      <c r="AF13" s="18">
        <v>0.0</v>
      </c>
      <c r="AG13" s="18">
        <v>1.0</v>
      </c>
      <c r="AH13" s="18">
        <v>0.0</v>
      </c>
      <c r="AI13" s="18">
        <v>0.0</v>
      </c>
      <c r="AJ13" s="18">
        <v>1.0</v>
      </c>
      <c r="AK13" s="18">
        <v>0.0</v>
      </c>
      <c r="AL13" s="18">
        <v>0.0</v>
      </c>
      <c r="AM13" s="18">
        <v>0.0</v>
      </c>
      <c r="AN13" s="18">
        <v>0.0</v>
      </c>
      <c r="AO13" s="18">
        <v>0.0</v>
      </c>
      <c r="AP13" s="18" t="s">
        <v>84</v>
      </c>
      <c r="AQ13" s="18">
        <v>0.0</v>
      </c>
      <c r="AR13" s="18">
        <v>0.0</v>
      </c>
      <c r="AS13" s="9">
        <v>0.0</v>
      </c>
      <c r="AT13" s="9">
        <v>0.0</v>
      </c>
      <c r="AU13" s="9">
        <v>0.0</v>
      </c>
      <c r="AV13" s="9">
        <v>0.0</v>
      </c>
      <c r="AW13" s="18">
        <v>30.0</v>
      </c>
      <c r="AX13" s="33">
        <f>4.21/4.57</f>
        <v>0.9212253829</v>
      </c>
      <c r="AY13" s="34">
        <v>0.0</v>
      </c>
      <c r="AZ13" s="30">
        <v>1.0</v>
      </c>
      <c r="BA13" s="30">
        <v>0.0</v>
      </c>
      <c r="BB13" s="33">
        <f>3.72/3.14</f>
        <v>1.184713376</v>
      </c>
      <c r="BC13" s="30">
        <v>1.0</v>
      </c>
      <c r="BD13" s="30">
        <v>0.0</v>
      </c>
      <c r="BE13" s="30">
        <v>0.0</v>
      </c>
      <c r="BF13" s="18">
        <v>0.0</v>
      </c>
      <c r="BG13" s="18" t="s">
        <v>84</v>
      </c>
      <c r="BH13" s="18">
        <v>0.0</v>
      </c>
      <c r="BI13" s="9">
        <v>0.0</v>
      </c>
      <c r="BJ13" s="18">
        <v>0.0</v>
      </c>
      <c r="BK13" s="18">
        <v>0.0</v>
      </c>
      <c r="BL13" s="18">
        <v>0.0</v>
      </c>
      <c r="BM13" s="18">
        <v>0.0</v>
      </c>
      <c r="BN13" s="18">
        <v>0.0</v>
      </c>
      <c r="BO13" s="18">
        <v>0.0</v>
      </c>
      <c r="BP13" s="9" t="s">
        <v>84</v>
      </c>
      <c r="BQ13" s="9" t="s">
        <v>84</v>
      </c>
      <c r="BR13" s="18">
        <v>0.0</v>
      </c>
      <c r="BS13" s="18">
        <v>0.0</v>
      </c>
      <c r="BT13" s="18">
        <v>0.0</v>
      </c>
      <c r="BU13" s="18">
        <v>0.0</v>
      </c>
      <c r="BV13" s="18">
        <v>0.0</v>
      </c>
      <c r="BW13" s="30">
        <v>0.0</v>
      </c>
      <c r="BX13" s="18">
        <v>0.0</v>
      </c>
      <c r="BY13" s="36" t="s">
        <v>159</v>
      </c>
      <c r="BZ13" s="18">
        <v>0.0</v>
      </c>
      <c r="CA13" s="18">
        <v>0.0</v>
      </c>
      <c r="CB13" s="18">
        <v>0.0</v>
      </c>
      <c r="CC13" s="36" t="s">
        <v>104</v>
      </c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</row>
    <row r="14" ht="18.75" customHeight="1">
      <c r="A14" s="9">
        <v>13.0</v>
      </c>
      <c r="B14" s="30">
        <v>90.0</v>
      </c>
      <c r="C14" s="31" t="s">
        <v>86</v>
      </c>
      <c r="D14" s="54" t="s">
        <v>82</v>
      </c>
      <c r="E14" s="30">
        <v>5.0</v>
      </c>
      <c r="F14" s="55">
        <v>157.5</v>
      </c>
      <c r="G14" s="56">
        <v>80.0</v>
      </c>
      <c r="H14" s="12">
        <f t="shared" si="1"/>
        <v>32.24993701</v>
      </c>
      <c r="I14" s="18">
        <v>1.0</v>
      </c>
      <c r="J14" s="18">
        <v>5.0</v>
      </c>
      <c r="K14" s="18">
        <v>2.0</v>
      </c>
      <c r="L14" s="18">
        <v>0.0</v>
      </c>
      <c r="M14" s="18">
        <v>72.0</v>
      </c>
      <c r="N14" s="18">
        <v>0.0</v>
      </c>
      <c r="O14" s="18">
        <v>124.0</v>
      </c>
      <c r="P14" s="18">
        <v>0.0</v>
      </c>
      <c r="Q14" s="18">
        <v>15.0</v>
      </c>
      <c r="R14" s="18">
        <v>0.0</v>
      </c>
      <c r="S14" s="32">
        <v>97.1</v>
      </c>
      <c r="T14" s="18">
        <v>1.0</v>
      </c>
      <c r="U14" s="18">
        <v>68.0</v>
      </c>
      <c r="V14" s="18">
        <v>1.0</v>
      </c>
      <c r="W14" s="9">
        <v>0.0</v>
      </c>
      <c r="X14" s="18">
        <v>0.0</v>
      </c>
      <c r="Y14" s="18">
        <v>0.0</v>
      </c>
      <c r="Z14" s="18">
        <v>0.0</v>
      </c>
      <c r="AA14" s="18">
        <v>0.0</v>
      </c>
      <c r="AB14" s="18">
        <v>0.0</v>
      </c>
      <c r="AC14" s="18">
        <v>0.0</v>
      </c>
      <c r="AD14" s="18">
        <v>0.0</v>
      </c>
      <c r="AE14" s="18">
        <v>0.0</v>
      </c>
      <c r="AF14" s="18">
        <v>0.0</v>
      </c>
      <c r="AG14" s="18">
        <v>0.0</v>
      </c>
      <c r="AH14" s="18">
        <v>0.0</v>
      </c>
      <c r="AI14" s="18">
        <v>0.0</v>
      </c>
      <c r="AJ14" s="18">
        <v>0.0</v>
      </c>
      <c r="AK14" s="18">
        <v>0.0</v>
      </c>
      <c r="AL14" s="18">
        <v>0.0</v>
      </c>
      <c r="AM14" s="18">
        <v>0.0</v>
      </c>
      <c r="AN14" s="18">
        <v>1.0</v>
      </c>
      <c r="AO14" s="18">
        <v>0.0</v>
      </c>
      <c r="AP14" s="18" t="s">
        <v>84</v>
      </c>
      <c r="AQ14" s="18">
        <v>1.0</v>
      </c>
      <c r="AR14" s="18">
        <v>0.0</v>
      </c>
      <c r="AS14" s="9" t="s">
        <v>84</v>
      </c>
      <c r="AT14" s="9" t="s">
        <v>84</v>
      </c>
      <c r="AU14" s="9" t="s">
        <v>84</v>
      </c>
      <c r="AV14" s="9" t="s">
        <v>84</v>
      </c>
      <c r="AW14" s="18" t="s">
        <v>84</v>
      </c>
      <c r="AX14" s="33">
        <f>3.63/4.53</f>
        <v>0.8013245033</v>
      </c>
      <c r="AY14" s="34">
        <v>0.0</v>
      </c>
      <c r="AZ14" s="30">
        <v>0.0</v>
      </c>
      <c r="BA14" s="30">
        <v>0.0</v>
      </c>
      <c r="BB14" s="33">
        <f>3.72/3.52</f>
        <v>1.056818182</v>
      </c>
      <c r="BC14" s="30">
        <v>3.0</v>
      </c>
      <c r="BD14" s="30">
        <v>0.0</v>
      </c>
      <c r="BE14" s="30">
        <v>0.0</v>
      </c>
      <c r="BF14" s="18">
        <v>0.0</v>
      </c>
      <c r="BG14" s="18" t="s">
        <v>84</v>
      </c>
      <c r="BH14" s="18">
        <v>0.0</v>
      </c>
      <c r="BI14" s="9">
        <v>0.0</v>
      </c>
      <c r="BJ14" s="18">
        <v>0.0</v>
      </c>
      <c r="BK14" s="18">
        <v>0.0</v>
      </c>
      <c r="BL14" s="18">
        <v>0.0</v>
      </c>
      <c r="BM14" s="18">
        <v>0.0</v>
      </c>
      <c r="BN14" s="18">
        <v>0.0</v>
      </c>
      <c r="BO14" s="18">
        <v>0.0</v>
      </c>
      <c r="BP14" s="9" t="s">
        <v>84</v>
      </c>
      <c r="BQ14" s="9" t="s">
        <v>84</v>
      </c>
      <c r="BR14" s="18">
        <v>0.0</v>
      </c>
      <c r="BS14" s="18">
        <v>0.0</v>
      </c>
      <c r="BT14" s="18">
        <v>0.0</v>
      </c>
      <c r="BU14" s="18">
        <v>0.0</v>
      </c>
      <c r="BV14" s="18">
        <v>0.0</v>
      </c>
      <c r="BW14" s="30">
        <v>0.0</v>
      </c>
      <c r="BX14" s="18">
        <v>0.0</v>
      </c>
      <c r="BY14" s="18">
        <v>1.0</v>
      </c>
      <c r="BZ14" s="18">
        <v>0.0</v>
      </c>
      <c r="CA14" s="18">
        <v>0.0</v>
      </c>
      <c r="CB14" s="18">
        <v>0.0</v>
      </c>
      <c r="CC14" s="36" t="s">
        <v>101</v>
      </c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</row>
    <row r="15" ht="18.75" customHeight="1">
      <c r="A15" s="9">
        <v>14.0</v>
      </c>
      <c r="B15" s="30">
        <v>59.0</v>
      </c>
      <c r="C15" s="31" t="s">
        <v>86</v>
      </c>
      <c r="D15" s="54" t="s">
        <v>82</v>
      </c>
      <c r="E15" s="30">
        <v>2.0</v>
      </c>
      <c r="F15" s="55">
        <v>154.9</v>
      </c>
      <c r="G15" s="56">
        <v>146.5</v>
      </c>
      <c r="H15" s="12">
        <f t="shared" si="1"/>
        <v>61.05690545</v>
      </c>
      <c r="I15" s="18">
        <v>0.0</v>
      </c>
      <c r="J15" s="18">
        <v>1.0</v>
      </c>
      <c r="K15" s="18">
        <v>1.0</v>
      </c>
      <c r="L15" s="18">
        <v>0.0</v>
      </c>
      <c r="M15" s="18">
        <v>104.0</v>
      </c>
      <c r="N15" s="18">
        <v>0.0</v>
      </c>
      <c r="O15" s="18">
        <v>165.0</v>
      </c>
      <c r="P15" s="18">
        <v>0.0</v>
      </c>
      <c r="Q15" s="18">
        <v>20.0</v>
      </c>
      <c r="R15" s="18">
        <v>0.0</v>
      </c>
      <c r="S15" s="32">
        <v>97.7</v>
      </c>
      <c r="T15" s="18">
        <v>0.0</v>
      </c>
      <c r="U15" s="18">
        <v>98.0</v>
      </c>
      <c r="V15" s="18">
        <v>0.0</v>
      </c>
      <c r="W15" s="9">
        <v>0.0</v>
      </c>
      <c r="X15" s="18">
        <v>0.0</v>
      </c>
      <c r="Y15" s="18">
        <v>0.0</v>
      </c>
      <c r="Z15" s="18">
        <v>0.0</v>
      </c>
      <c r="AA15" s="18">
        <v>0.0</v>
      </c>
      <c r="AB15" s="18">
        <v>0.0</v>
      </c>
      <c r="AC15" s="18">
        <v>0.0</v>
      </c>
      <c r="AD15" s="18">
        <v>0.0</v>
      </c>
      <c r="AE15" s="18">
        <v>0.0</v>
      </c>
      <c r="AF15" s="18">
        <v>0.0</v>
      </c>
      <c r="AG15" s="18">
        <v>1.0</v>
      </c>
      <c r="AH15" s="18">
        <v>0.0</v>
      </c>
      <c r="AI15" s="18">
        <v>1.0</v>
      </c>
      <c r="AJ15" s="18">
        <v>1.0</v>
      </c>
      <c r="AK15" s="18">
        <v>1.0</v>
      </c>
      <c r="AL15" s="18">
        <v>0.0</v>
      </c>
      <c r="AM15" s="18">
        <v>0.0</v>
      </c>
      <c r="AN15" s="18">
        <v>0.0</v>
      </c>
      <c r="AO15" s="18">
        <v>1.0</v>
      </c>
      <c r="AP15" s="18">
        <v>1.0</v>
      </c>
      <c r="AQ15" s="18">
        <v>0.0</v>
      </c>
      <c r="AR15" s="18">
        <v>0.0</v>
      </c>
      <c r="AS15" s="9">
        <v>0.0</v>
      </c>
      <c r="AT15" s="9">
        <v>0.0</v>
      </c>
      <c r="AU15" s="9">
        <v>0.0</v>
      </c>
      <c r="AV15" s="9">
        <v>0.0</v>
      </c>
      <c r="AW15" s="18">
        <v>18.4</v>
      </c>
      <c r="AX15" s="33">
        <f>4.95/4.91</f>
        <v>1.00814664</v>
      </c>
      <c r="AY15" s="34">
        <v>0.0</v>
      </c>
      <c r="AZ15" s="30">
        <v>0.0</v>
      </c>
      <c r="BA15" s="30">
        <v>1.0</v>
      </c>
      <c r="BB15" s="33">
        <f>3.49/3.42</f>
        <v>1.020467836</v>
      </c>
      <c r="BC15" s="30">
        <v>1.0</v>
      </c>
      <c r="BD15" s="30">
        <v>0.0</v>
      </c>
      <c r="BE15" s="30">
        <v>0.0</v>
      </c>
      <c r="BF15" s="18">
        <v>0.0</v>
      </c>
      <c r="BG15" s="18" t="s">
        <v>84</v>
      </c>
      <c r="BH15" s="18">
        <v>0.0</v>
      </c>
      <c r="BI15" s="9">
        <v>0.0</v>
      </c>
      <c r="BJ15" s="18">
        <v>0.0</v>
      </c>
      <c r="BK15" s="18">
        <v>0.0</v>
      </c>
      <c r="BL15" s="18">
        <v>0.0</v>
      </c>
      <c r="BM15" s="18">
        <v>0.0</v>
      </c>
      <c r="BN15" s="18">
        <v>0.0</v>
      </c>
      <c r="BO15" s="18">
        <v>0.0</v>
      </c>
      <c r="BP15" s="9" t="s">
        <v>84</v>
      </c>
      <c r="BQ15" s="9" t="s">
        <v>84</v>
      </c>
      <c r="BR15" s="18">
        <v>0.0</v>
      </c>
      <c r="BS15" s="18">
        <v>0.0</v>
      </c>
      <c r="BT15" s="18">
        <v>0.0</v>
      </c>
      <c r="BU15" s="18">
        <v>0.0</v>
      </c>
      <c r="BV15" s="18">
        <v>0.0</v>
      </c>
      <c r="BW15" s="30">
        <v>0.0</v>
      </c>
      <c r="BX15" s="18">
        <v>0.0</v>
      </c>
      <c r="BY15" s="18">
        <v>0.0</v>
      </c>
      <c r="BZ15" s="18">
        <v>1.0</v>
      </c>
      <c r="CA15" s="18">
        <v>0.0</v>
      </c>
      <c r="CB15" s="18">
        <v>0.0</v>
      </c>
      <c r="CC15" s="36" t="s">
        <v>92</v>
      </c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  <c r="CP15" s="16"/>
      <c r="CQ15" s="16"/>
      <c r="CR15" s="16"/>
      <c r="CS15" s="16"/>
      <c r="CT15" s="16"/>
      <c r="CU15" s="16"/>
      <c r="CV15" s="16"/>
      <c r="CW15" s="16"/>
    </row>
    <row r="16" ht="18.75" customHeight="1">
      <c r="A16" s="9">
        <v>15.0</v>
      </c>
      <c r="B16" s="30">
        <v>74.0</v>
      </c>
      <c r="C16" s="31" t="s">
        <v>86</v>
      </c>
      <c r="D16" s="54" t="s">
        <v>82</v>
      </c>
      <c r="E16" s="30">
        <v>1.0</v>
      </c>
      <c r="F16" s="55">
        <v>152.4</v>
      </c>
      <c r="G16" s="56">
        <v>77.1</v>
      </c>
      <c r="H16" s="12">
        <f t="shared" si="1"/>
        <v>33.19589973</v>
      </c>
      <c r="I16" s="18">
        <v>1.0</v>
      </c>
      <c r="J16" s="18">
        <v>2.0</v>
      </c>
      <c r="K16" s="18">
        <v>2.0</v>
      </c>
      <c r="L16" s="18">
        <v>1.0</v>
      </c>
      <c r="M16" s="18">
        <v>112.0</v>
      </c>
      <c r="N16" s="18">
        <v>0.0</v>
      </c>
      <c r="O16" s="18">
        <v>197.0</v>
      </c>
      <c r="P16" s="18">
        <v>0.0</v>
      </c>
      <c r="Q16" s="18">
        <v>23.0</v>
      </c>
      <c r="R16" s="18">
        <v>0.0</v>
      </c>
      <c r="S16" s="32">
        <v>97.8</v>
      </c>
      <c r="T16" s="18">
        <v>0.0</v>
      </c>
      <c r="U16" s="18">
        <v>95.0</v>
      </c>
      <c r="V16" s="18">
        <v>1.0</v>
      </c>
      <c r="W16" s="9">
        <v>0.0</v>
      </c>
      <c r="X16" s="18">
        <v>0.0</v>
      </c>
      <c r="Y16" s="18">
        <v>0.0</v>
      </c>
      <c r="Z16" s="18">
        <v>0.0</v>
      </c>
      <c r="AA16" s="18">
        <v>0.0</v>
      </c>
      <c r="AB16" s="18">
        <v>0.0</v>
      </c>
      <c r="AC16" s="18">
        <v>1.0</v>
      </c>
      <c r="AD16" s="18">
        <v>0.0</v>
      </c>
      <c r="AE16" s="18">
        <v>1.0</v>
      </c>
      <c r="AF16" s="18">
        <v>0.0</v>
      </c>
      <c r="AG16" s="18">
        <v>0.0</v>
      </c>
      <c r="AH16" s="18">
        <v>0.0</v>
      </c>
      <c r="AI16" s="18">
        <v>0.0</v>
      </c>
      <c r="AJ16" s="18">
        <v>0.0</v>
      </c>
      <c r="AK16" s="18">
        <v>1.0</v>
      </c>
      <c r="AL16" s="18">
        <v>0.0</v>
      </c>
      <c r="AM16" s="18">
        <v>0.0</v>
      </c>
      <c r="AN16" s="18">
        <v>0.0</v>
      </c>
      <c r="AO16" s="18" t="s">
        <v>84</v>
      </c>
      <c r="AP16" s="18" t="s">
        <v>84</v>
      </c>
      <c r="AQ16" s="18">
        <v>0.0</v>
      </c>
      <c r="AR16" s="18">
        <v>1.0</v>
      </c>
      <c r="AS16" s="9" t="s">
        <v>84</v>
      </c>
      <c r="AT16" s="9" t="s">
        <v>84</v>
      </c>
      <c r="AU16" s="9" t="s">
        <v>84</v>
      </c>
      <c r="AV16" s="9" t="s">
        <v>84</v>
      </c>
      <c r="AW16" s="18" t="s">
        <v>84</v>
      </c>
      <c r="AX16" s="33">
        <f>3.4/4.13</f>
        <v>0.8232445521</v>
      </c>
      <c r="AY16" s="34">
        <v>0.0</v>
      </c>
      <c r="AZ16" s="30">
        <v>0.0</v>
      </c>
      <c r="BA16" s="30">
        <v>0.0</v>
      </c>
      <c r="BB16" s="33">
        <f>3.17/3.06</f>
        <v>1.035947712</v>
      </c>
      <c r="BC16" s="30">
        <v>1.0</v>
      </c>
      <c r="BD16" s="30">
        <v>0.0</v>
      </c>
      <c r="BE16" s="30">
        <v>1.0</v>
      </c>
      <c r="BF16" s="18">
        <v>0.0</v>
      </c>
      <c r="BG16" s="18" t="s">
        <v>84</v>
      </c>
      <c r="BH16" s="18">
        <v>0.0</v>
      </c>
      <c r="BI16" s="9">
        <v>0.0</v>
      </c>
      <c r="BJ16" s="18">
        <v>0.0</v>
      </c>
      <c r="BK16" s="18">
        <v>0.0</v>
      </c>
      <c r="BL16" s="18">
        <v>0.0</v>
      </c>
      <c r="BM16" s="18">
        <v>0.0</v>
      </c>
      <c r="BN16" s="18">
        <v>0.0</v>
      </c>
      <c r="BO16" s="18">
        <v>0.0</v>
      </c>
      <c r="BP16" s="9" t="s">
        <v>84</v>
      </c>
      <c r="BQ16" s="9" t="s">
        <v>84</v>
      </c>
      <c r="BR16" s="18">
        <v>0.0</v>
      </c>
      <c r="BS16" s="18">
        <v>0.0</v>
      </c>
      <c r="BT16" s="18">
        <v>0.0</v>
      </c>
      <c r="BU16" s="18">
        <v>0.0</v>
      </c>
      <c r="BV16" s="18">
        <v>0.0</v>
      </c>
      <c r="BW16" s="30">
        <v>0.0</v>
      </c>
      <c r="BX16" s="18">
        <v>0.0</v>
      </c>
      <c r="BY16" s="18">
        <v>0.0</v>
      </c>
      <c r="BZ16" s="18">
        <v>1.0</v>
      </c>
      <c r="CA16" s="18">
        <v>0.0</v>
      </c>
      <c r="CB16" s="18">
        <v>0.0</v>
      </c>
      <c r="CC16" s="36" t="s">
        <v>92</v>
      </c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  <c r="CP16" s="16"/>
      <c r="CQ16" s="16"/>
      <c r="CR16" s="16"/>
      <c r="CS16" s="16"/>
      <c r="CT16" s="16"/>
      <c r="CU16" s="16"/>
      <c r="CV16" s="16"/>
      <c r="CW16" s="16"/>
    </row>
    <row r="17" ht="18.75" customHeight="1">
      <c r="A17" s="9">
        <v>16.0</v>
      </c>
      <c r="B17" s="30">
        <v>60.0</v>
      </c>
      <c r="C17" s="31" t="s">
        <v>86</v>
      </c>
      <c r="D17" s="54" t="s">
        <v>88</v>
      </c>
      <c r="E17" s="30">
        <v>2.0</v>
      </c>
      <c r="F17" s="55">
        <v>160.0</v>
      </c>
      <c r="G17" s="56">
        <v>112.1</v>
      </c>
      <c r="H17" s="12">
        <f t="shared" si="1"/>
        <v>43.7890625</v>
      </c>
      <c r="I17" s="18">
        <v>1.0</v>
      </c>
      <c r="J17" s="18">
        <v>3.0</v>
      </c>
      <c r="K17" s="18">
        <v>2.0</v>
      </c>
      <c r="L17" s="18">
        <v>1.0</v>
      </c>
      <c r="M17" s="18">
        <v>118.0</v>
      </c>
      <c r="N17" s="18">
        <v>0.0</v>
      </c>
      <c r="O17" s="18">
        <v>142.0</v>
      </c>
      <c r="P17" s="18">
        <v>0.0</v>
      </c>
      <c r="Q17" s="18">
        <v>24.0</v>
      </c>
      <c r="R17" s="18">
        <v>0.0</v>
      </c>
      <c r="S17" s="32">
        <v>98.3</v>
      </c>
      <c r="T17" s="18">
        <v>0.0</v>
      </c>
      <c r="U17" s="18">
        <v>94.0</v>
      </c>
      <c r="V17" s="18">
        <v>1.0</v>
      </c>
      <c r="W17" s="9">
        <v>0.0</v>
      </c>
      <c r="X17" s="18">
        <v>0.0</v>
      </c>
      <c r="Y17" s="18">
        <v>0.0</v>
      </c>
      <c r="Z17" s="18">
        <v>0.0</v>
      </c>
      <c r="AA17" s="18">
        <v>0.0</v>
      </c>
      <c r="AB17" s="18">
        <v>0.0</v>
      </c>
      <c r="AC17" s="18">
        <v>1.0</v>
      </c>
      <c r="AD17" s="18">
        <v>0.0</v>
      </c>
      <c r="AE17" s="18">
        <v>1.0</v>
      </c>
      <c r="AF17" s="18">
        <v>0.0</v>
      </c>
      <c r="AG17" s="18">
        <v>1.0</v>
      </c>
      <c r="AH17" s="18">
        <v>0.0</v>
      </c>
      <c r="AI17" s="18">
        <v>0.0</v>
      </c>
      <c r="AJ17" s="18">
        <v>0.0</v>
      </c>
      <c r="AK17" s="18">
        <v>0.0</v>
      </c>
      <c r="AL17" s="18">
        <v>0.0</v>
      </c>
      <c r="AM17" s="18">
        <v>0.0</v>
      </c>
      <c r="AN17" s="18">
        <v>0.0</v>
      </c>
      <c r="AO17" s="18" t="s">
        <v>84</v>
      </c>
      <c r="AP17" s="18" t="s">
        <v>84</v>
      </c>
      <c r="AQ17" s="18">
        <v>1.0</v>
      </c>
      <c r="AR17" s="18">
        <v>1.0</v>
      </c>
      <c r="AS17" s="9">
        <v>0.0</v>
      </c>
      <c r="AT17" s="9">
        <v>0.0</v>
      </c>
      <c r="AU17" s="9">
        <v>0.0</v>
      </c>
      <c r="AV17" s="9">
        <v>0.0</v>
      </c>
      <c r="AW17" s="18">
        <v>39.0</v>
      </c>
      <c r="AX17" s="33">
        <f>3.55/4.27</f>
        <v>0.831381733</v>
      </c>
      <c r="AY17" s="34">
        <v>0.0</v>
      </c>
      <c r="AZ17" s="30">
        <v>0.0</v>
      </c>
      <c r="BA17" s="30">
        <v>0.0</v>
      </c>
      <c r="BB17" s="33">
        <f>2.95/3.16</f>
        <v>0.9335443038</v>
      </c>
      <c r="BC17" s="30">
        <v>2.0</v>
      </c>
      <c r="BD17" s="30">
        <v>0.0</v>
      </c>
      <c r="BE17" s="30">
        <v>0.0</v>
      </c>
      <c r="BF17" s="18">
        <v>0.0</v>
      </c>
      <c r="BG17" s="18" t="s">
        <v>84</v>
      </c>
      <c r="BH17" s="18">
        <v>0.0</v>
      </c>
      <c r="BI17" s="9">
        <v>0.0</v>
      </c>
      <c r="BJ17" s="18">
        <v>0.0</v>
      </c>
      <c r="BK17" s="18">
        <v>0.0</v>
      </c>
      <c r="BL17" s="18">
        <v>0.0</v>
      </c>
      <c r="BM17" s="18">
        <v>0.0</v>
      </c>
      <c r="BN17" s="18">
        <v>0.0</v>
      </c>
      <c r="BO17" s="18">
        <v>0.0</v>
      </c>
      <c r="BP17" s="9" t="s">
        <v>84</v>
      </c>
      <c r="BQ17" s="9" t="s">
        <v>84</v>
      </c>
      <c r="BR17" s="18">
        <v>0.0</v>
      </c>
      <c r="BS17" s="18">
        <v>0.0</v>
      </c>
      <c r="BT17" s="18">
        <v>0.0</v>
      </c>
      <c r="BU17" s="18">
        <v>0.0</v>
      </c>
      <c r="BV17" s="18">
        <v>0.0</v>
      </c>
      <c r="BW17" s="30">
        <v>0.0</v>
      </c>
      <c r="BX17" s="18">
        <v>0.0</v>
      </c>
      <c r="BY17" s="18">
        <v>0.0</v>
      </c>
      <c r="BZ17" s="18">
        <v>0.0</v>
      </c>
      <c r="CA17" s="18">
        <v>0.0</v>
      </c>
      <c r="CB17" s="18">
        <v>0.0</v>
      </c>
      <c r="CC17" s="36" t="s">
        <v>113</v>
      </c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</row>
    <row r="18" ht="18.75" customHeight="1">
      <c r="A18" s="9">
        <v>17.0</v>
      </c>
      <c r="B18" s="30">
        <v>71.0</v>
      </c>
      <c r="C18" s="31" t="s">
        <v>86</v>
      </c>
      <c r="D18" s="54" t="s">
        <v>82</v>
      </c>
      <c r="E18" s="30">
        <v>1.0</v>
      </c>
      <c r="F18" s="55">
        <v>165.1</v>
      </c>
      <c r="G18" s="56">
        <v>63.5</v>
      </c>
      <c r="H18" s="12">
        <f t="shared" si="1"/>
        <v>23.29590458</v>
      </c>
      <c r="I18" s="18">
        <v>1.0</v>
      </c>
      <c r="J18" s="18">
        <v>3.0</v>
      </c>
      <c r="K18" s="18">
        <v>1.0</v>
      </c>
      <c r="L18" s="18">
        <v>0.0</v>
      </c>
      <c r="M18" s="18">
        <v>75.0</v>
      </c>
      <c r="N18" s="18">
        <v>0.0</v>
      </c>
      <c r="O18" s="18">
        <v>119.0</v>
      </c>
      <c r="P18" s="18">
        <v>0.0</v>
      </c>
      <c r="Q18" s="18">
        <v>16.0</v>
      </c>
      <c r="R18" s="18">
        <v>0.0</v>
      </c>
      <c r="S18" s="32">
        <v>97.6</v>
      </c>
      <c r="T18" s="18">
        <v>0.0</v>
      </c>
      <c r="U18" s="18">
        <v>100.0</v>
      </c>
      <c r="V18" s="18">
        <v>0.0</v>
      </c>
      <c r="W18" s="9">
        <v>0.0</v>
      </c>
      <c r="X18" s="18">
        <v>0.0</v>
      </c>
      <c r="Y18" s="18">
        <v>0.0</v>
      </c>
      <c r="Z18" s="18">
        <v>1.0</v>
      </c>
      <c r="AA18" s="18">
        <v>0.0</v>
      </c>
      <c r="AB18" s="18">
        <v>0.0</v>
      </c>
      <c r="AC18" s="18">
        <v>0.0</v>
      </c>
      <c r="AD18" s="18">
        <v>0.0</v>
      </c>
      <c r="AE18" s="18">
        <v>0.0</v>
      </c>
      <c r="AF18" s="18">
        <v>0.0</v>
      </c>
      <c r="AG18" s="18">
        <v>0.0</v>
      </c>
      <c r="AH18" s="18">
        <v>0.0</v>
      </c>
      <c r="AI18" s="18">
        <v>0.0</v>
      </c>
      <c r="AJ18" s="18">
        <v>0.0</v>
      </c>
      <c r="AK18" s="18">
        <v>0.0</v>
      </c>
      <c r="AL18" s="18">
        <v>0.0</v>
      </c>
      <c r="AM18" s="18">
        <v>0.0</v>
      </c>
      <c r="AN18" s="18">
        <v>0.0</v>
      </c>
      <c r="AO18" s="18">
        <v>1.0</v>
      </c>
      <c r="AP18" s="18">
        <v>0.0</v>
      </c>
      <c r="AQ18" s="18">
        <v>0.0</v>
      </c>
      <c r="AR18" s="18">
        <v>0.0</v>
      </c>
      <c r="AS18" s="9" t="s">
        <v>84</v>
      </c>
      <c r="AT18" s="9" t="s">
        <v>84</v>
      </c>
      <c r="AU18" s="9" t="s">
        <v>84</v>
      </c>
      <c r="AV18" s="9" t="s">
        <v>84</v>
      </c>
      <c r="AW18" s="18" t="s">
        <v>84</v>
      </c>
      <c r="AX18" s="33">
        <f>3.29/4.35</f>
        <v>0.7563218391</v>
      </c>
      <c r="AY18" s="34">
        <v>0.0</v>
      </c>
      <c r="AZ18" s="30">
        <v>0.0</v>
      </c>
      <c r="BA18" s="30">
        <v>0.0</v>
      </c>
      <c r="BB18" s="33">
        <f>2.21/2.72</f>
        <v>0.8125</v>
      </c>
      <c r="BC18" s="30">
        <v>1.0</v>
      </c>
      <c r="BD18" s="30">
        <v>0.0</v>
      </c>
      <c r="BE18" s="30">
        <v>0.0</v>
      </c>
      <c r="BF18" s="18">
        <v>0.0</v>
      </c>
      <c r="BG18" s="18" t="s">
        <v>84</v>
      </c>
      <c r="BH18" s="18">
        <v>0.0</v>
      </c>
      <c r="BI18" s="9">
        <v>0.0</v>
      </c>
      <c r="BJ18" s="18">
        <v>0.0</v>
      </c>
      <c r="BK18" s="18">
        <v>0.0</v>
      </c>
      <c r="BL18" s="18">
        <v>0.0</v>
      </c>
      <c r="BM18" s="18">
        <v>0.0</v>
      </c>
      <c r="BN18" s="18">
        <v>0.0</v>
      </c>
      <c r="BO18" s="18">
        <v>0.0</v>
      </c>
      <c r="BP18" s="9" t="s">
        <v>84</v>
      </c>
      <c r="BQ18" s="9" t="s">
        <v>84</v>
      </c>
      <c r="BR18" s="18">
        <v>0.0</v>
      </c>
      <c r="BS18" s="18">
        <v>0.0</v>
      </c>
      <c r="BT18" s="18">
        <v>0.0</v>
      </c>
      <c r="BU18" s="18">
        <v>0.0</v>
      </c>
      <c r="BV18" s="18">
        <v>0.0</v>
      </c>
      <c r="BW18" s="30">
        <v>0.0</v>
      </c>
      <c r="BX18" s="18">
        <v>0.0</v>
      </c>
      <c r="BY18" s="18">
        <v>0.0</v>
      </c>
      <c r="BZ18" s="18">
        <v>0.0</v>
      </c>
      <c r="CA18" s="18">
        <v>0.0</v>
      </c>
      <c r="CB18" s="18">
        <v>0.0</v>
      </c>
      <c r="CC18" s="36" t="s">
        <v>104</v>
      </c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  <c r="CP18" s="16"/>
      <c r="CQ18" s="16"/>
      <c r="CR18" s="16"/>
      <c r="CS18" s="16"/>
      <c r="CT18" s="16"/>
      <c r="CU18" s="16"/>
      <c r="CV18" s="16"/>
      <c r="CW18" s="16"/>
    </row>
    <row r="19" ht="18.75" customHeight="1">
      <c r="A19" s="9">
        <v>18.0</v>
      </c>
      <c r="B19" s="30">
        <v>40.0</v>
      </c>
      <c r="C19" s="31" t="s">
        <v>81</v>
      </c>
      <c r="D19" s="54" t="s">
        <v>88</v>
      </c>
      <c r="E19" s="30">
        <v>4.0</v>
      </c>
      <c r="F19" s="55">
        <v>185.4</v>
      </c>
      <c r="G19" s="56">
        <v>112.9</v>
      </c>
      <c r="H19" s="12">
        <f t="shared" si="1"/>
        <v>32.84539449</v>
      </c>
      <c r="I19" s="18">
        <v>1.0</v>
      </c>
      <c r="J19" s="18">
        <v>2.0</v>
      </c>
      <c r="K19" s="18">
        <v>2.0</v>
      </c>
      <c r="L19" s="18">
        <v>0.0</v>
      </c>
      <c r="M19" s="18">
        <v>100.0</v>
      </c>
      <c r="N19" s="18">
        <v>1.0</v>
      </c>
      <c r="O19" s="18">
        <v>96.0</v>
      </c>
      <c r="P19" s="18">
        <v>0.0</v>
      </c>
      <c r="Q19" s="18">
        <v>24.0</v>
      </c>
      <c r="R19" s="18">
        <v>0.0</v>
      </c>
      <c r="S19" s="32">
        <v>97.9</v>
      </c>
      <c r="T19" s="18">
        <v>0.0</v>
      </c>
      <c r="U19" s="18">
        <v>96.0</v>
      </c>
      <c r="V19" s="18">
        <v>1.0</v>
      </c>
      <c r="W19" s="9">
        <v>0.0</v>
      </c>
      <c r="X19" s="18">
        <v>0.0</v>
      </c>
      <c r="Y19" s="18">
        <v>0.0</v>
      </c>
      <c r="Z19" s="18">
        <v>0.0</v>
      </c>
      <c r="AA19" s="18">
        <v>0.0</v>
      </c>
      <c r="AB19" s="18">
        <v>0.0</v>
      </c>
      <c r="AC19" s="18">
        <v>0.0</v>
      </c>
      <c r="AD19" s="18">
        <v>0.0</v>
      </c>
      <c r="AE19" s="18">
        <v>0.0</v>
      </c>
      <c r="AF19" s="18">
        <v>0.0</v>
      </c>
      <c r="AG19" s="18">
        <v>0.0</v>
      </c>
      <c r="AH19" s="18">
        <v>0.0</v>
      </c>
      <c r="AI19" s="18">
        <v>0.0</v>
      </c>
      <c r="AJ19" s="18">
        <v>0.0</v>
      </c>
      <c r="AK19" s="18">
        <v>0.0</v>
      </c>
      <c r="AL19" s="18">
        <v>0.0</v>
      </c>
      <c r="AM19" s="18">
        <v>0.0</v>
      </c>
      <c r="AN19" s="18">
        <v>0.0</v>
      </c>
      <c r="AO19" s="18">
        <v>1.0</v>
      </c>
      <c r="AP19" s="18">
        <v>1.0</v>
      </c>
      <c r="AQ19" s="18">
        <v>1.0</v>
      </c>
      <c r="AR19" s="18">
        <v>0.0</v>
      </c>
      <c r="AS19" s="9">
        <v>1.0</v>
      </c>
      <c r="AT19" s="9">
        <v>0.0</v>
      </c>
      <c r="AU19" s="9">
        <v>0.0</v>
      </c>
      <c r="AV19" s="9">
        <v>0.0</v>
      </c>
      <c r="AW19" s="18">
        <v>94.0</v>
      </c>
      <c r="AX19" s="33">
        <f>5.24/3.99</f>
        <v>1.313283208</v>
      </c>
      <c r="AY19" s="34">
        <v>0.0</v>
      </c>
      <c r="AZ19" s="30">
        <v>0.0</v>
      </c>
      <c r="BA19" s="30">
        <v>1.0</v>
      </c>
      <c r="BB19" s="33">
        <f>4.05/3.01</f>
        <v>1.34551495</v>
      </c>
      <c r="BC19" s="30">
        <v>4.0</v>
      </c>
      <c r="BD19" s="30">
        <v>1.0</v>
      </c>
      <c r="BE19" s="30">
        <v>1.0</v>
      </c>
      <c r="BF19" s="18">
        <v>0.0</v>
      </c>
      <c r="BG19" s="18" t="s">
        <v>84</v>
      </c>
      <c r="BH19" s="18">
        <v>1.0</v>
      </c>
      <c r="BI19" s="9">
        <v>0.0</v>
      </c>
      <c r="BJ19" s="18">
        <v>0.0</v>
      </c>
      <c r="BK19" s="18">
        <v>0.0</v>
      </c>
      <c r="BL19" s="18">
        <v>0.0</v>
      </c>
      <c r="BM19" s="18">
        <v>0.0</v>
      </c>
      <c r="BN19" s="18">
        <v>0.0</v>
      </c>
      <c r="BO19" s="18">
        <v>1.0</v>
      </c>
      <c r="BP19" s="9">
        <v>0.0</v>
      </c>
      <c r="BQ19" s="9">
        <v>1.0</v>
      </c>
      <c r="BR19" s="18">
        <v>0.0</v>
      </c>
      <c r="BS19" s="18">
        <v>0.0</v>
      </c>
      <c r="BT19" s="18">
        <v>0.0</v>
      </c>
      <c r="BU19" s="18">
        <v>0.0</v>
      </c>
      <c r="BV19" s="18">
        <v>0.0</v>
      </c>
      <c r="BW19" s="30">
        <v>0.0</v>
      </c>
      <c r="BX19" s="18">
        <v>0.0</v>
      </c>
      <c r="BY19" s="18">
        <v>0.0</v>
      </c>
      <c r="BZ19" s="18">
        <v>1.0</v>
      </c>
      <c r="CA19" s="18">
        <v>0.0</v>
      </c>
      <c r="CB19" s="18">
        <v>0.0</v>
      </c>
      <c r="CC19" s="36" t="s">
        <v>95</v>
      </c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</row>
    <row r="20" ht="18.75" customHeight="1">
      <c r="A20" s="9">
        <v>19.0</v>
      </c>
      <c r="B20" s="30">
        <v>63.0</v>
      </c>
      <c r="C20" s="31" t="s">
        <v>81</v>
      </c>
      <c r="D20" s="54" t="s">
        <v>82</v>
      </c>
      <c r="E20" s="30">
        <v>7.0</v>
      </c>
      <c r="F20" s="55">
        <v>188.0</v>
      </c>
      <c r="G20" s="56">
        <v>145.2</v>
      </c>
      <c r="H20" s="12">
        <f t="shared" si="1"/>
        <v>41.08193753</v>
      </c>
      <c r="I20" s="18">
        <v>1.0</v>
      </c>
      <c r="J20" s="18">
        <v>5.0</v>
      </c>
      <c r="K20" s="18">
        <v>4.0</v>
      </c>
      <c r="L20" s="18">
        <v>1.0</v>
      </c>
      <c r="M20" s="18">
        <v>130.0</v>
      </c>
      <c r="N20" s="18">
        <v>0.0</v>
      </c>
      <c r="O20" s="18">
        <v>114.0</v>
      </c>
      <c r="P20" s="18">
        <v>1.0</v>
      </c>
      <c r="Q20" s="18">
        <v>30.0</v>
      </c>
      <c r="R20" s="18">
        <v>0.0</v>
      </c>
      <c r="S20" s="32">
        <v>98.5</v>
      </c>
      <c r="T20" s="18">
        <v>0.0</v>
      </c>
      <c r="U20" s="18">
        <v>90.0</v>
      </c>
      <c r="V20" s="18">
        <v>1.0</v>
      </c>
      <c r="W20" s="9">
        <v>0.0</v>
      </c>
      <c r="X20" s="18">
        <v>0.0</v>
      </c>
      <c r="Y20" s="18">
        <v>0.0</v>
      </c>
      <c r="Z20" s="18">
        <v>0.0</v>
      </c>
      <c r="AA20" s="18">
        <v>1.0</v>
      </c>
      <c r="AB20" s="18">
        <v>0.0</v>
      </c>
      <c r="AC20" s="18">
        <v>0.0</v>
      </c>
      <c r="AD20" s="18">
        <v>0.0</v>
      </c>
      <c r="AE20" s="18">
        <v>1.0</v>
      </c>
      <c r="AF20" s="18">
        <v>0.0</v>
      </c>
      <c r="AG20" s="18">
        <v>1.0</v>
      </c>
      <c r="AH20" s="18">
        <v>0.0</v>
      </c>
      <c r="AI20" s="18">
        <v>0.0</v>
      </c>
      <c r="AJ20" s="18">
        <v>1.0</v>
      </c>
      <c r="AK20" s="18">
        <v>0.0</v>
      </c>
      <c r="AL20" s="18">
        <v>0.0</v>
      </c>
      <c r="AM20" s="18">
        <v>0.0</v>
      </c>
      <c r="AN20" s="18">
        <v>0.0</v>
      </c>
      <c r="AO20" s="18">
        <v>0.0</v>
      </c>
      <c r="AP20" s="18" t="s">
        <v>84</v>
      </c>
      <c r="AQ20" s="18" t="s">
        <v>84</v>
      </c>
      <c r="AR20" s="18" t="s">
        <v>84</v>
      </c>
      <c r="AS20" s="9" t="s">
        <v>84</v>
      </c>
      <c r="AT20" s="9" t="s">
        <v>84</v>
      </c>
      <c r="AU20" s="9" t="s">
        <v>84</v>
      </c>
      <c r="AV20" s="9" t="s">
        <v>84</v>
      </c>
      <c r="AW20" s="18" t="s">
        <v>84</v>
      </c>
      <c r="AX20" s="33">
        <f>4.99/5.13</f>
        <v>0.9727095517</v>
      </c>
      <c r="AY20" s="34">
        <v>0.0</v>
      </c>
      <c r="AZ20" s="30">
        <v>0.0</v>
      </c>
      <c r="BA20" s="30">
        <v>1.0</v>
      </c>
      <c r="BB20" s="33">
        <f>3.66/3.86</f>
        <v>0.9481865285</v>
      </c>
      <c r="BC20" s="30">
        <v>4.0</v>
      </c>
      <c r="BD20" s="30">
        <v>1.0</v>
      </c>
      <c r="BE20" s="30">
        <v>0.0</v>
      </c>
      <c r="BF20" s="18">
        <v>0.0</v>
      </c>
      <c r="BG20" s="18" t="s">
        <v>84</v>
      </c>
      <c r="BH20" s="18">
        <v>0.0</v>
      </c>
      <c r="BI20" s="9">
        <v>0.0</v>
      </c>
      <c r="BJ20" s="18">
        <v>0.0</v>
      </c>
      <c r="BK20" s="18">
        <v>0.0</v>
      </c>
      <c r="BL20" s="18">
        <v>0.0</v>
      </c>
      <c r="BM20" s="18">
        <v>0.0</v>
      </c>
      <c r="BN20" s="18">
        <v>0.0</v>
      </c>
      <c r="BO20" s="18">
        <v>0.0</v>
      </c>
      <c r="BP20" s="9" t="s">
        <v>84</v>
      </c>
      <c r="BQ20" s="9" t="s">
        <v>84</v>
      </c>
      <c r="BR20" s="18">
        <v>0.0</v>
      </c>
      <c r="BS20" s="18">
        <v>0.0</v>
      </c>
      <c r="BT20" s="18">
        <v>0.0</v>
      </c>
      <c r="BU20" s="18">
        <v>0.0</v>
      </c>
      <c r="BV20" s="18">
        <v>0.0</v>
      </c>
      <c r="BW20" s="30">
        <v>0.0</v>
      </c>
      <c r="BX20" s="18">
        <v>1.0</v>
      </c>
      <c r="BY20" s="18">
        <v>0.0</v>
      </c>
      <c r="BZ20" s="18">
        <v>0.0</v>
      </c>
      <c r="CA20" s="18">
        <v>0.0</v>
      </c>
      <c r="CB20" s="18">
        <v>0.0</v>
      </c>
      <c r="CC20" s="36" t="s">
        <v>160</v>
      </c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</row>
    <row r="21" ht="18.75" customHeight="1">
      <c r="A21" s="9">
        <v>20.0</v>
      </c>
      <c r="B21" s="30">
        <v>24.0</v>
      </c>
      <c r="C21" s="31" t="s">
        <v>81</v>
      </c>
      <c r="D21" s="54" t="s">
        <v>82</v>
      </c>
      <c r="E21" s="30">
        <v>1.0</v>
      </c>
      <c r="F21" s="55">
        <v>190.5</v>
      </c>
      <c r="G21" s="56">
        <v>106.6</v>
      </c>
      <c r="H21" s="12">
        <f t="shared" si="1"/>
        <v>29.37428097</v>
      </c>
      <c r="I21" s="18">
        <v>0.0</v>
      </c>
      <c r="J21" s="18">
        <v>1.0</v>
      </c>
      <c r="K21" s="18">
        <v>1.0</v>
      </c>
      <c r="L21" s="18">
        <v>0.0</v>
      </c>
      <c r="M21" s="18">
        <v>83.0</v>
      </c>
      <c r="N21" s="18">
        <v>0.0</v>
      </c>
      <c r="O21" s="18">
        <v>120.0</v>
      </c>
      <c r="P21" s="18">
        <v>0.0</v>
      </c>
      <c r="Q21" s="18">
        <v>12.0</v>
      </c>
      <c r="R21" s="18">
        <v>0.0</v>
      </c>
      <c r="S21" s="32">
        <v>98.6</v>
      </c>
      <c r="T21" s="18">
        <v>0.0</v>
      </c>
      <c r="U21" s="18">
        <v>99.0</v>
      </c>
      <c r="V21" s="18">
        <v>0.0</v>
      </c>
      <c r="W21" s="9">
        <v>0.0</v>
      </c>
      <c r="X21" s="18">
        <v>0.0</v>
      </c>
      <c r="Y21" s="18">
        <v>0.0</v>
      </c>
      <c r="Z21" s="18">
        <v>0.0</v>
      </c>
      <c r="AA21" s="18">
        <v>0.0</v>
      </c>
      <c r="AB21" s="18">
        <v>0.0</v>
      </c>
      <c r="AC21" s="18">
        <v>1.0</v>
      </c>
      <c r="AD21" s="18">
        <v>0.0</v>
      </c>
      <c r="AE21" s="18">
        <v>0.0</v>
      </c>
      <c r="AF21" s="18">
        <v>0.0</v>
      </c>
      <c r="AG21" s="18">
        <v>0.0</v>
      </c>
      <c r="AH21" s="18">
        <v>0.0</v>
      </c>
      <c r="AI21" s="18">
        <v>0.0</v>
      </c>
      <c r="AJ21" s="18">
        <v>0.0</v>
      </c>
      <c r="AK21" s="18">
        <v>0.0</v>
      </c>
      <c r="AL21" s="18">
        <v>0.0</v>
      </c>
      <c r="AM21" s="18">
        <v>0.0</v>
      </c>
      <c r="AN21" s="18">
        <v>0.0</v>
      </c>
      <c r="AO21" s="18">
        <v>0.0</v>
      </c>
      <c r="AP21" s="18" t="s">
        <v>84</v>
      </c>
      <c r="AQ21" s="18" t="s">
        <v>84</v>
      </c>
      <c r="AR21" s="18">
        <v>0.0</v>
      </c>
      <c r="AS21" s="9" t="s">
        <v>84</v>
      </c>
      <c r="AT21" s="9" t="s">
        <v>84</v>
      </c>
      <c r="AU21" s="9" t="s">
        <v>84</v>
      </c>
      <c r="AV21" s="9" t="s">
        <v>84</v>
      </c>
      <c r="AW21" s="18" t="s">
        <v>84</v>
      </c>
      <c r="AX21" s="33">
        <f>4.06/4.39</f>
        <v>0.9248291572</v>
      </c>
      <c r="AY21" s="34">
        <v>0.0</v>
      </c>
      <c r="AZ21" s="30">
        <v>1.0</v>
      </c>
      <c r="BA21" s="30">
        <v>0.0</v>
      </c>
      <c r="BB21" s="33">
        <f>2.7/2.5</f>
        <v>1.08</v>
      </c>
      <c r="BC21" s="30">
        <v>2.0</v>
      </c>
      <c r="BD21" s="30">
        <v>0.0</v>
      </c>
      <c r="BE21" s="30">
        <v>0.0</v>
      </c>
      <c r="BF21" s="18">
        <v>0.0</v>
      </c>
      <c r="BG21" s="18" t="s">
        <v>84</v>
      </c>
      <c r="BH21" s="18">
        <v>0.0</v>
      </c>
      <c r="BI21" s="9">
        <v>0.0</v>
      </c>
      <c r="BJ21" s="18">
        <v>0.0</v>
      </c>
      <c r="BK21" s="18">
        <v>0.0</v>
      </c>
      <c r="BL21" s="18">
        <v>0.0</v>
      </c>
      <c r="BM21" s="18">
        <v>0.0</v>
      </c>
      <c r="BN21" s="18">
        <v>0.0</v>
      </c>
      <c r="BO21" s="18">
        <v>0.0</v>
      </c>
      <c r="BP21" s="9" t="s">
        <v>84</v>
      </c>
      <c r="BQ21" s="9" t="s">
        <v>84</v>
      </c>
      <c r="BR21" s="18">
        <v>0.0</v>
      </c>
      <c r="BS21" s="18">
        <v>0.0</v>
      </c>
      <c r="BT21" s="18">
        <v>0.0</v>
      </c>
      <c r="BU21" s="18">
        <v>0.0</v>
      </c>
      <c r="BV21" s="18">
        <v>0.0</v>
      </c>
      <c r="BW21" s="30">
        <v>0.0</v>
      </c>
      <c r="BX21" s="18">
        <v>0.0</v>
      </c>
      <c r="BY21" s="18">
        <v>0.0</v>
      </c>
      <c r="BZ21" s="18">
        <v>0.0</v>
      </c>
      <c r="CA21" s="18">
        <v>0.0</v>
      </c>
      <c r="CB21" s="18">
        <v>0.0</v>
      </c>
      <c r="CC21" s="36" t="s">
        <v>101</v>
      </c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  <c r="CP21" s="16"/>
      <c r="CQ21" s="16"/>
      <c r="CR21" s="16"/>
      <c r="CS21" s="16"/>
      <c r="CT21" s="16"/>
      <c r="CU21" s="16"/>
      <c r="CV21" s="16"/>
      <c r="CW21" s="16"/>
    </row>
    <row r="22" ht="18.75" customHeight="1">
      <c r="A22" s="9">
        <v>21.0</v>
      </c>
      <c r="B22" s="30">
        <v>63.0</v>
      </c>
      <c r="C22" s="31" t="s">
        <v>86</v>
      </c>
      <c r="D22" s="54" t="s">
        <v>82</v>
      </c>
      <c r="E22" s="30">
        <v>1.0</v>
      </c>
      <c r="F22" s="55">
        <v>152.4</v>
      </c>
      <c r="G22" s="56">
        <v>122.0</v>
      </c>
      <c r="H22" s="12">
        <f t="shared" si="1"/>
        <v>52.52788283</v>
      </c>
      <c r="I22" s="18">
        <v>1.0</v>
      </c>
      <c r="J22" s="18">
        <v>4.0</v>
      </c>
      <c r="K22" s="18">
        <v>1.0</v>
      </c>
      <c r="L22" s="18">
        <v>0.0</v>
      </c>
      <c r="M22" s="18">
        <v>79.0</v>
      </c>
      <c r="N22" s="18">
        <v>0.0</v>
      </c>
      <c r="O22" s="18">
        <v>164.0</v>
      </c>
      <c r="P22" s="18">
        <v>0.0</v>
      </c>
      <c r="Q22" s="18">
        <v>20.0</v>
      </c>
      <c r="R22" s="18">
        <v>0.0</v>
      </c>
      <c r="S22" s="32">
        <v>97.5</v>
      </c>
      <c r="T22" s="18">
        <v>1.0</v>
      </c>
      <c r="U22" s="18" t="s">
        <v>84</v>
      </c>
      <c r="V22" s="36" t="s">
        <v>161</v>
      </c>
      <c r="W22" s="9">
        <v>0.0</v>
      </c>
      <c r="X22" s="18">
        <v>0.0</v>
      </c>
      <c r="Y22" s="18">
        <v>0.0</v>
      </c>
      <c r="Z22" s="18">
        <v>0.0</v>
      </c>
      <c r="AA22" s="18">
        <v>1.0</v>
      </c>
      <c r="AB22" s="18">
        <v>0.0</v>
      </c>
      <c r="AC22" s="18">
        <v>1.0</v>
      </c>
      <c r="AD22" s="18">
        <v>0.0</v>
      </c>
      <c r="AE22" s="18">
        <v>1.0</v>
      </c>
      <c r="AF22" s="18">
        <v>0.0</v>
      </c>
      <c r="AG22" s="18">
        <v>0.0</v>
      </c>
      <c r="AH22" s="18">
        <v>0.0</v>
      </c>
      <c r="AI22" s="18">
        <v>0.0</v>
      </c>
      <c r="AJ22" s="18">
        <v>0.0</v>
      </c>
      <c r="AK22" s="18">
        <v>0.0</v>
      </c>
      <c r="AL22" s="18">
        <v>0.0</v>
      </c>
      <c r="AM22" s="18">
        <v>0.0</v>
      </c>
      <c r="AN22" s="18">
        <v>0.0</v>
      </c>
      <c r="AO22" s="18">
        <v>0.0</v>
      </c>
      <c r="AP22" s="18" t="s">
        <v>84</v>
      </c>
      <c r="AQ22" s="18" t="s">
        <v>84</v>
      </c>
      <c r="AR22" s="18">
        <v>0.0</v>
      </c>
      <c r="AS22" s="9" t="s">
        <v>84</v>
      </c>
      <c r="AT22" s="9" t="s">
        <v>84</v>
      </c>
      <c r="AU22" s="9" t="s">
        <v>84</v>
      </c>
      <c r="AV22" s="9" t="s">
        <v>84</v>
      </c>
      <c r="AW22" s="18" t="s">
        <v>84</v>
      </c>
      <c r="AX22" s="33">
        <f>3.94/4.54</f>
        <v>0.8678414097</v>
      </c>
      <c r="AY22" s="34">
        <v>1.0</v>
      </c>
      <c r="AZ22" s="30">
        <v>0.0</v>
      </c>
      <c r="BA22" s="30">
        <v>0.0</v>
      </c>
      <c r="BB22" s="33">
        <f>3.7/3.34</f>
        <v>1.107784431</v>
      </c>
      <c r="BC22" s="30">
        <v>2.0</v>
      </c>
      <c r="BD22" s="30">
        <v>0.0</v>
      </c>
      <c r="BE22" s="30">
        <v>0.0</v>
      </c>
      <c r="BF22" s="18">
        <v>0.0</v>
      </c>
      <c r="BG22" s="18" t="s">
        <v>84</v>
      </c>
      <c r="BH22" s="18">
        <v>0.0</v>
      </c>
      <c r="BI22" s="9">
        <v>0.0</v>
      </c>
      <c r="BJ22" s="18">
        <v>0.0</v>
      </c>
      <c r="BK22" s="18">
        <v>0.0</v>
      </c>
      <c r="BL22" s="18">
        <v>0.0</v>
      </c>
      <c r="BM22" s="18">
        <v>0.0</v>
      </c>
      <c r="BN22" s="18">
        <v>0.0</v>
      </c>
      <c r="BO22" s="18">
        <v>0.0</v>
      </c>
      <c r="BP22" s="9" t="s">
        <v>84</v>
      </c>
      <c r="BQ22" s="9" t="s">
        <v>84</v>
      </c>
      <c r="BR22" s="18">
        <v>0.0</v>
      </c>
      <c r="BS22" s="18">
        <v>0.0</v>
      </c>
      <c r="BT22" s="18">
        <v>0.0</v>
      </c>
      <c r="BU22" s="18">
        <v>0.0</v>
      </c>
      <c r="BV22" s="18">
        <v>0.0</v>
      </c>
      <c r="BW22" s="30">
        <v>0.0</v>
      </c>
      <c r="BX22" s="18">
        <v>0.0</v>
      </c>
      <c r="BY22" s="18">
        <v>1.0</v>
      </c>
      <c r="BZ22" s="18">
        <v>1.0</v>
      </c>
      <c r="CA22" s="18">
        <v>0.0</v>
      </c>
      <c r="CB22" s="18">
        <v>0.0</v>
      </c>
      <c r="CC22" s="36" t="s">
        <v>104</v>
      </c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</row>
    <row r="23" ht="18.75" customHeight="1">
      <c r="A23" s="9">
        <v>22.0</v>
      </c>
      <c r="B23" s="30">
        <v>49.0</v>
      </c>
      <c r="C23" s="31" t="s">
        <v>86</v>
      </c>
      <c r="D23" s="54" t="s">
        <v>82</v>
      </c>
      <c r="E23" s="30">
        <v>0.0</v>
      </c>
      <c r="F23" s="55">
        <v>160.0</v>
      </c>
      <c r="G23" s="56">
        <v>109.1</v>
      </c>
      <c r="H23" s="12">
        <f t="shared" si="1"/>
        <v>42.6171875</v>
      </c>
      <c r="I23" s="18">
        <v>0.0</v>
      </c>
      <c r="J23" s="18">
        <v>2.0</v>
      </c>
      <c r="K23" s="18">
        <v>1.0</v>
      </c>
      <c r="L23" s="18">
        <v>0.0</v>
      </c>
      <c r="M23" s="18">
        <v>82.0</v>
      </c>
      <c r="N23" s="18">
        <v>0.0</v>
      </c>
      <c r="O23" s="18">
        <v>138.0</v>
      </c>
      <c r="P23" s="18">
        <v>0.0</v>
      </c>
      <c r="Q23" s="18">
        <v>20.0</v>
      </c>
      <c r="R23" s="18">
        <v>0.0</v>
      </c>
      <c r="S23" s="32">
        <v>98.4</v>
      </c>
      <c r="T23" s="18">
        <v>0.0</v>
      </c>
      <c r="U23" s="18">
        <v>98.0</v>
      </c>
      <c r="V23" s="18">
        <v>0.0</v>
      </c>
      <c r="W23" s="9">
        <v>0.0</v>
      </c>
      <c r="X23" s="18">
        <v>0.0</v>
      </c>
      <c r="Y23" s="18">
        <v>1.0</v>
      </c>
      <c r="Z23" s="18">
        <v>0.0</v>
      </c>
      <c r="AA23" s="18">
        <v>0.0</v>
      </c>
      <c r="AB23" s="18">
        <v>0.0</v>
      </c>
      <c r="AC23" s="18">
        <v>0.0</v>
      </c>
      <c r="AD23" s="18">
        <v>0.0</v>
      </c>
      <c r="AE23" s="18">
        <v>0.0</v>
      </c>
      <c r="AF23" s="18">
        <v>0.0</v>
      </c>
      <c r="AG23" s="18">
        <v>0.0</v>
      </c>
      <c r="AH23" s="18">
        <v>0.0</v>
      </c>
      <c r="AI23" s="18">
        <v>0.0</v>
      </c>
      <c r="AJ23" s="18">
        <v>0.0</v>
      </c>
      <c r="AK23" s="18">
        <v>0.0</v>
      </c>
      <c r="AL23" s="18">
        <v>1.0</v>
      </c>
      <c r="AM23" s="18">
        <v>0.0</v>
      </c>
      <c r="AN23" s="18">
        <v>0.0</v>
      </c>
      <c r="AO23" s="18">
        <v>1.0</v>
      </c>
      <c r="AP23" s="18">
        <v>1.0</v>
      </c>
      <c r="AQ23" s="18" t="s">
        <v>84</v>
      </c>
      <c r="AR23" s="18">
        <v>0.0</v>
      </c>
      <c r="AS23" s="9" t="s">
        <v>84</v>
      </c>
      <c r="AT23" s="9" t="s">
        <v>84</v>
      </c>
      <c r="AU23" s="9" t="s">
        <v>84</v>
      </c>
      <c r="AV23" s="9" t="s">
        <v>84</v>
      </c>
      <c r="AW23" s="18" t="s">
        <v>84</v>
      </c>
      <c r="AX23" s="33">
        <f>5.02/5.28</f>
        <v>0.9507575758</v>
      </c>
      <c r="AY23" s="34">
        <v>0.0</v>
      </c>
      <c r="AZ23" s="30">
        <v>0.0</v>
      </c>
      <c r="BA23" s="30">
        <v>1.0</v>
      </c>
      <c r="BB23" s="33">
        <f>2.63/3.19</f>
        <v>0.8244514107</v>
      </c>
      <c r="BC23" s="30">
        <v>2.0</v>
      </c>
      <c r="BD23" s="30">
        <v>0.0</v>
      </c>
      <c r="BE23" s="30">
        <v>0.0</v>
      </c>
      <c r="BF23" s="18">
        <v>0.0</v>
      </c>
      <c r="BG23" s="18" t="s">
        <v>84</v>
      </c>
      <c r="BH23" s="18">
        <v>0.0</v>
      </c>
      <c r="BI23" s="9">
        <v>0.0</v>
      </c>
      <c r="BJ23" s="18">
        <v>0.0</v>
      </c>
      <c r="BK23" s="18">
        <v>0.0</v>
      </c>
      <c r="BL23" s="18">
        <v>0.0</v>
      </c>
      <c r="BM23" s="18">
        <v>0.0</v>
      </c>
      <c r="BN23" s="18">
        <v>0.0</v>
      </c>
      <c r="BO23" s="18">
        <v>0.0</v>
      </c>
      <c r="BP23" s="9" t="s">
        <v>84</v>
      </c>
      <c r="BQ23" s="9" t="s">
        <v>84</v>
      </c>
      <c r="BR23" s="18">
        <v>0.0</v>
      </c>
      <c r="BS23" s="18">
        <v>0.0</v>
      </c>
      <c r="BT23" s="18">
        <v>0.0</v>
      </c>
      <c r="BU23" s="18">
        <v>0.0</v>
      </c>
      <c r="BV23" s="18">
        <v>0.0</v>
      </c>
      <c r="BW23" s="30">
        <v>0.0</v>
      </c>
      <c r="BX23" s="18">
        <v>0.0</v>
      </c>
      <c r="BY23" s="18">
        <v>0.0</v>
      </c>
      <c r="BZ23" s="18">
        <v>0.0</v>
      </c>
      <c r="CA23" s="18">
        <v>0.0</v>
      </c>
      <c r="CB23" s="18">
        <v>0.0</v>
      </c>
      <c r="CC23" s="36" t="s">
        <v>162</v>
      </c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</row>
    <row r="24" ht="18.75" customHeight="1">
      <c r="A24" s="9">
        <v>23.0</v>
      </c>
      <c r="B24" s="30">
        <v>68.0</v>
      </c>
      <c r="C24" s="31" t="s">
        <v>86</v>
      </c>
      <c r="D24" s="54" t="s">
        <v>82</v>
      </c>
      <c r="E24" s="30">
        <v>6.0</v>
      </c>
      <c r="F24" s="55">
        <v>168.9</v>
      </c>
      <c r="G24" s="56">
        <v>145.2</v>
      </c>
      <c r="H24" s="12">
        <f t="shared" si="1"/>
        <v>50.89877349</v>
      </c>
      <c r="I24" s="18">
        <v>1.0</v>
      </c>
      <c r="J24" s="18">
        <v>4.0</v>
      </c>
      <c r="K24" s="18">
        <v>1.0</v>
      </c>
      <c r="L24" s="18">
        <v>0.0</v>
      </c>
      <c r="M24" s="18">
        <v>107.0</v>
      </c>
      <c r="N24" s="18">
        <v>0.0</v>
      </c>
      <c r="O24" s="18">
        <v>165.0</v>
      </c>
      <c r="P24" s="18">
        <v>0.0</v>
      </c>
      <c r="Q24" s="18">
        <v>20.0</v>
      </c>
      <c r="R24" s="18">
        <v>0.0</v>
      </c>
      <c r="S24" s="32">
        <v>98.6</v>
      </c>
      <c r="T24" s="18">
        <v>0.0</v>
      </c>
      <c r="U24" s="18">
        <v>96.0</v>
      </c>
      <c r="V24" s="18">
        <v>1.0</v>
      </c>
      <c r="W24" s="9">
        <v>0.0</v>
      </c>
      <c r="X24" s="18">
        <v>0.0</v>
      </c>
      <c r="Y24" s="18">
        <v>0.0</v>
      </c>
      <c r="Z24" s="18">
        <v>0.0</v>
      </c>
      <c r="AA24" s="18">
        <v>1.0</v>
      </c>
      <c r="AB24" s="18">
        <v>0.0</v>
      </c>
      <c r="AC24" s="18">
        <v>1.0</v>
      </c>
      <c r="AD24" s="18">
        <v>0.0</v>
      </c>
      <c r="AE24" s="18">
        <v>0.0</v>
      </c>
      <c r="AF24" s="18">
        <v>0.0</v>
      </c>
      <c r="AG24" s="18">
        <v>0.0</v>
      </c>
      <c r="AH24" s="18">
        <v>0.0</v>
      </c>
      <c r="AI24" s="18">
        <v>0.0</v>
      </c>
      <c r="AJ24" s="18">
        <v>0.0</v>
      </c>
      <c r="AK24" s="18">
        <v>1.0</v>
      </c>
      <c r="AL24" s="18">
        <v>0.0</v>
      </c>
      <c r="AM24" s="18">
        <v>0.0</v>
      </c>
      <c r="AN24" s="18">
        <v>0.0</v>
      </c>
      <c r="AO24" s="18">
        <v>1.0</v>
      </c>
      <c r="AP24" s="18">
        <v>1.0</v>
      </c>
      <c r="AQ24" s="18" t="s">
        <v>84</v>
      </c>
      <c r="AR24" s="18">
        <v>0.0</v>
      </c>
      <c r="AS24" s="9">
        <v>0.0</v>
      </c>
      <c r="AT24" s="9">
        <v>0.0</v>
      </c>
      <c r="AU24" s="9">
        <v>0.0</v>
      </c>
      <c r="AV24" s="9">
        <v>1.0</v>
      </c>
      <c r="AW24" s="18">
        <v>31.0</v>
      </c>
      <c r="AX24" s="33">
        <f>4.56/5.03</f>
        <v>0.9065606362</v>
      </c>
      <c r="AY24" s="34">
        <v>0.0</v>
      </c>
      <c r="AZ24" s="30">
        <v>1.0</v>
      </c>
      <c r="BA24" s="30">
        <v>0.0</v>
      </c>
      <c r="BB24" s="33">
        <f>3.56/3.64</f>
        <v>0.978021978</v>
      </c>
      <c r="BC24" s="30">
        <v>1.0</v>
      </c>
      <c r="BD24" s="30">
        <v>0.0</v>
      </c>
      <c r="BE24" s="30">
        <v>1.0</v>
      </c>
      <c r="BF24" s="18">
        <v>1.0</v>
      </c>
      <c r="BG24" s="36" t="s">
        <v>163</v>
      </c>
      <c r="BH24" s="18">
        <v>0.0</v>
      </c>
      <c r="BI24" s="9">
        <v>0.0</v>
      </c>
      <c r="BJ24" s="18">
        <v>0.0</v>
      </c>
      <c r="BK24" s="18">
        <v>0.0</v>
      </c>
      <c r="BL24" s="18">
        <v>0.0</v>
      </c>
      <c r="BM24" s="18">
        <v>0.0</v>
      </c>
      <c r="BN24" s="18">
        <v>0.0</v>
      </c>
      <c r="BO24" s="18">
        <v>0.0</v>
      </c>
      <c r="BP24" s="9" t="s">
        <v>84</v>
      </c>
      <c r="BQ24" s="9" t="s">
        <v>84</v>
      </c>
      <c r="BR24" s="18">
        <v>0.0</v>
      </c>
      <c r="BS24" s="18">
        <v>0.0</v>
      </c>
      <c r="BT24" s="18">
        <v>0.0</v>
      </c>
      <c r="BU24" s="18">
        <v>0.0</v>
      </c>
      <c r="BV24" s="18">
        <v>0.0</v>
      </c>
      <c r="BW24" s="30">
        <v>0.0</v>
      </c>
      <c r="BX24" s="18">
        <v>0.0</v>
      </c>
      <c r="BY24" s="18">
        <v>0.0</v>
      </c>
      <c r="BZ24" s="18">
        <v>1.0</v>
      </c>
      <c r="CA24" s="18">
        <v>0.0</v>
      </c>
      <c r="CB24" s="18">
        <v>0.0</v>
      </c>
      <c r="CC24" s="36" t="s">
        <v>92</v>
      </c>
      <c r="CD24" s="16"/>
      <c r="CE24" s="16"/>
      <c r="CF24" s="16"/>
      <c r="CG24" s="16"/>
      <c r="CH24" s="16"/>
      <c r="CI24" s="16"/>
      <c r="CJ24" s="16"/>
      <c r="CK24" s="16"/>
      <c r="CL24" s="16"/>
      <c r="CM24" s="16"/>
      <c r="CN24" s="16"/>
      <c r="CO24" s="16"/>
      <c r="CP24" s="16"/>
      <c r="CQ24" s="16"/>
      <c r="CR24" s="16"/>
      <c r="CS24" s="16"/>
      <c r="CT24" s="16"/>
      <c r="CU24" s="16"/>
      <c r="CV24" s="16"/>
      <c r="CW24" s="16"/>
    </row>
    <row r="25" ht="18.75" customHeight="1">
      <c r="A25" s="9">
        <v>24.0</v>
      </c>
      <c r="B25" s="30">
        <v>52.0</v>
      </c>
      <c r="C25" s="31" t="s">
        <v>81</v>
      </c>
      <c r="D25" s="54" t="s">
        <v>82</v>
      </c>
      <c r="E25" s="30">
        <v>3.0</v>
      </c>
      <c r="F25" s="55">
        <v>188.0</v>
      </c>
      <c r="G25" s="56">
        <v>106.6</v>
      </c>
      <c r="H25" s="12">
        <f t="shared" si="1"/>
        <v>30.1607062</v>
      </c>
      <c r="I25" s="18">
        <v>0.0</v>
      </c>
      <c r="J25" s="18">
        <v>2.0</v>
      </c>
      <c r="K25" s="18">
        <v>4.0</v>
      </c>
      <c r="L25" s="18">
        <v>0.0</v>
      </c>
      <c r="M25" s="18">
        <v>74.0</v>
      </c>
      <c r="N25" s="18">
        <v>0.0</v>
      </c>
      <c r="O25" s="18">
        <v>139.0</v>
      </c>
      <c r="P25" s="18">
        <v>0.0</v>
      </c>
      <c r="Q25" s="18">
        <v>20.0</v>
      </c>
      <c r="R25" s="18">
        <v>0.0</v>
      </c>
      <c r="S25" s="32">
        <v>97.7</v>
      </c>
      <c r="T25" s="18">
        <v>0.0</v>
      </c>
      <c r="U25" s="18">
        <v>97.0</v>
      </c>
      <c r="V25" s="18">
        <v>1.0</v>
      </c>
      <c r="W25" s="9">
        <v>0.0</v>
      </c>
      <c r="X25" s="18">
        <v>0.0</v>
      </c>
      <c r="Y25" s="18">
        <v>0.0</v>
      </c>
      <c r="Z25" s="18">
        <v>0.0</v>
      </c>
      <c r="AA25" s="18">
        <v>0.0</v>
      </c>
      <c r="AB25" s="18">
        <v>0.0</v>
      </c>
      <c r="AC25" s="18">
        <v>0.0</v>
      </c>
      <c r="AD25" s="18">
        <v>0.0</v>
      </c>
      <c r="AE25" s="18">
        <v>0.0</v>
      </c>
      <c r="AF25" s="18">
        <v>0.0</v>
      </c>
      <c r="AG25" s="18">
        <v>1.0</v>
      </c>
      <c r="AH25" s="18">
        <v>0.0</v>
      </c>
      <c r="AI25" s="18">
        <v>0.0</v>
      </c>
      <c r="AJ25" s="18">
        <v>0.0</v>
      </c>
      <c r="AK25" s="18">
        <v>0.0</v>
      </c>
      <c r="AL25" s="18">
        <v>0.0</v>
      </c>
      <c r="AM25" s="18">
        <v>0.0</v>
      </c>
      <c r="AN25" s="18">
        <v>0.0</v>
      </c>
      <c r="AO25" s="18" t="s">
        <v>84</v>
      </c>
      <c r="AP25" s="18" t="s">
        <v>84</v>
      </c>
      <c r="AQ25" s="18" t="s">
        <v>84</v>
      </c>
      <c r="AR25" s="18" t="s">
        <v>84</v>
      </c>
      <c r="AS25" s="9" t="s">
        <v>84</v>
      </c>
      <c r="AT25" s="9" t="s">
        <v>84</v>
      </c>
      <c r="AU25" s="9" t="s">
        <v>84</v>
      </c>
      <c r="AV25" s="9" t="s">
        <v>84</v>
      </c>
      <c r="AW25" s="18" t="s">
        <v>84</v>
      </c>
      <c r="AX25" s="33">
        <f>5/5.08</f>
        <v>0.9842519685</v>
      </c>
      <c r="AY25" s="34">
        <v>0.0</v>
      </c>
      <c r="AZ25" s="30">
        <v>0.0</v>
      </c>
      <c r="BA25" s="30">
        <v>1.0</v>
      </c>
      <c r="BB25" s="33">
        <f>3.15/3.39</f>
        <v>0.9292035398</v>
      </c>
      <c r="BC25" s="30">
        <v>1.0</v>
      </c>
      <c r="BD25" s="30">
        <v>0.0</v>
      </c>
      <c r="BE25" s="30">
        <v>0.0</v>
      </c>
      <c r="BF25" s="18">
        <v>0.0</v>
      </c>
      <c r="BG25" s="18" t="s">
        <v>84</v>
      </c>
      <c r="BH25" s="18">
        <v>0.0</v>
      </c>
      <c r="BI25" s="9">
        <v>0.0</v>
      </c>
      <c r="BJ25" s="18">
        <v>0.0</v>
      </c>
      <c r="BK25" s="18">
        <v>0.0</v>
      </c>
      <c r="BL25" s="18">
        <v>0.0</v>
      </c>
      <c r="BM25" s="18">
        <v>0.0</v>
      </c>
      <c r="BN25" s="18">
        <v>0.0</v>
      </c>
      <c r="BO25" s="18">
        <v>0.0</v>
      </c>
      <c r="BP25" s="9" t="s">
        <v>84</v>
      </c>
      <c r="BQ25" s="9" t="s">
        <v>84</v>
      </c>
      <c r="BR25" s="18">
        <v>0.0</v>
      </c>
      <c r="BS25" s="18">
        <v>0.0</v>
      </c>
      <c r="BT25" s="18">
        <v>0.0</v>
      </c>
      <c r="BU25" s="18">
        <v>0.0</v>
      </c>
      <c r="BV25" s="18">
        <v>0.0</v>
      </c>
      <c r="BW25" s="30">
        <v>0.0</v>
      </c>
      <c r="BX25" s="18">
        <v>0.0</v>
      </c>
      <c r="BY25" s="18">
        <v>0.0</v>
      </c>
      <c r="BZ25" s="18">
        <v>1.0</v>
      </c>
      <c r="CA25" s="18">
        <v>0.0</v>
      </c>
      <c r="CB25" s="18">
        <v>0.0</v>
      </c>
      <c r="CC25" s="36" t="s">
        <v>113</v>
      </c>
      <c r="CD25" s="16"/>
      <c r="CE25" s="16"/>
      <c r="CF25" s="16"/>
      <c r="CG25" s="16"/>
      <c r="CH25" s="16"/>
      <c r="CI25" s="16"/>
      <c r="CJ25" s="16"/>
      <c r="CK25" s="16"/>
      <c r="CL25" s="16"/>
      <c r="CM25" s="16"/>
      <c r="CN25" s="16"/>
      <c r="CO25" s="16"/>
      <c r="CP25" s="16"/>
      <c r="CQ25" s="16"/>
      <c r="CR25" s="16"/>
      <c r="CS25" s="16"/>
      <c r="CT25" s="16"/>
      <c r="CU25" s="16"/>
      <c r="CV25" s="16"/>
      <c r="CW25" s="16"/>
    </row>
    <row r="26" ht="18.75" customHeight="1">
      <c r="A26" s="9">
        <v>25.0</v>
      </c>
      <c r="B26" s="30">
        <v>58.0</v>
      </c>
      <c r="C26" s="31" t="s">
        <v>81</v>
      </c>
      <c r="D26" s="54" t="s">
        <v>82</v>
      </c>
      <c r="E26" s="30">
        <v>1.0</v>
      </c>
      <c r="F26" s="55">
        <v>152.4</v>
      </c>
      <c r="G26" s="56">
        <v>103.9</v>
      </c>
      <c r="H26" s="12">
        <f t="shared" si="1"/>
        <v>44.73481169</v>
      </c>
      <c r="I26" s="18">
        <v>0.0</v>
      </c>
      <c r="J26" s="18">
        <v>2.0</v>
      </c>
      <c r="K26" s="18">
        <v>1.0</v>
      </c>
      <c r="L26" s="18">
        <v>0.0</v>
      </c>
      <c r="M26" s="18">
        <v>67.0</v>
      </c>
      <c r="N26" s="18">
        <v>0.0</v>
      </c>
      <c r="O26" s="18">
        <v>132.0</v>
      </c>
      <c r="P26" s="18">
        <v>0.0</v>
      </c>
      <c r="Q26" s="18">
        <v>16.0</v>
      </c>
      <c r="R26" s="18">
        <v>0.0</v>
      </c>
      <c r="S26" s="32">
        <v>97.8</v>
      </c>
      <c r="T26" s="18">
        <v>0.0</v>
      </c>
      <c r="U26" s="18">
        <v>98.0</v>
      </c>
      <c r="V26" s="18">
        <v>1.0</v>
      </c>
      <c r="W26" s="9">
        <v>0.0</v>
      </c>
      <c r="X26" s="18">
        <v>0.0</v>
      </c>
      <c r="Y26" s="18">
        <v>0.0</v>
      </c>
      <c r="Z26" s="18">
        <v>0.0</v>
      </c>
      <c r="AA26" s="18">
        <v>0.0</v>
      </c>
      <c r="AB26" s="18">
        <v>0.0</v>
      </c>
      <c r="AC26" s="18">
        <v>0.0</v>
      </c>
      <c r="AD26" s="18">
        <v>0.0</v>
      </c>
      <c r="AE26" s="18">
        <v>0.0</v>
      </c>
      <c r="AF26" s="18">
        <v>0.0</v>
      </c>
      <c r="AG26" s="18">
        <v>0.0</v>
      </c>
      <c r="AH26" s="18">
        <v>0.0</v>
      </c>
      <c r="AI26" s="18">
        <v>1.0</v>
      </c>
      <c r="AJ26" s="18">
        <v>0.0</v>
      </c>
      <c r="AK26" s="18">
        <v>1.0</v>
      </c>
      <c r="AL26" s="18">
        <v>0.0</v>
      </c>
      <c r="AM26" s="18">
        <v>0.0</v>
      </c>
      <c r="AN26" s="18">
        <v>0.0</v>
      </c>
      <c r="AO26" s="18" t="s">
        <v>84</v>
      </c>
      <c r="AP26" s="18" t="s">
        <v>84</v>
      </c>
      <c r="AQ26" s="18" t="s">
        <v>84</v>
      </c>
      <c r="AR26" s="18">
        <v>0.0</v>
      </c>
      <c r="AS26" s="9" t="s">
        <v>84</v>
      </c>
      <c r="AT26" s="9" t="s">
        <v>84</v>
      </c>
      <c r="AU26" s="9" t="s">
        <v>84</v>
      </c>
      <c r="AV26" s="9" t="s">
        <v>84</v>
      </c>
      <c r="AW26" s="18" t="s">
        <v>84</v>
      </c>
      <c r="AX26" s="33">
        <f>5.32/4.93</f>
        <v>1.079107505</v>
      </c>
      <c r="AY26" s="34">
        <v>0.0</v>
      </c>
      <c r="AZ26" s="30">
        <v>0.0</v>
      </c>
      <c r="BA26" s="30">
        <v>1.0</v>
      </c>
      <c r="BB26" s="33">
        <f>3/3.69</f>
        <v>0.8130081301</v>
      </c>
      <c r="BC26" s="30">
        <v>2.0</v>
      </c>
      <c r="BD26" s="30">
        <v>0.0</v>
      </c>
      <c r="BE26" s="30">
        <v>0.0</v>
      </c>
      <c r="BF26" s="18">
        <v>0.0</v>
      </c>
      <c r="BG26" s="18" t="s">
        <v>84</v>
      </c>
      <c r="BH26" s="18">
        <v>0.0</v>
      </c>
      <c r="BI26" s="9">
        <v>0.0</v>
      </c>
      <c r="BJ26" s="18">
        <v>0.0</v>
      </c>
      <c r="BK26" s="18">
        <v>0.0</v>
      </c>
      <c r="BL26" s="18">
        <v>0.0</v>
      </c>
      <c r="BM26" s="18">
        <v>0.0</v>
      </c>
      <c r="BN26" s="18">
        <v>0.0</v>
      </c>
      <c r="BO26" s="18">
        <v>0.0</v>
      </c>
      <c r="BP26" s="9" t="s">
        <v>84</v>
      </c>
      <c r="BQ26" s="9" t="s">
        <v>84</v>
      </c>
      <c r="BR26" s="18">
        <v>0.0</v>
      </c>
      <c r="BS26" s="18">
        <v>0.0</v>
      </c>
      <c r="BT26" s="18">
        <v>0.0</v>
      </c>
      <c r="BU26" s="18">
        <v>0.0</v>
      </c>
      <c r="BV26" s="18">
        <v>0.0</v>
      </c>
      <c r="BW26" s="30">
        <v>0.0</v>
      </c>
      <c r="BX26" s="18">
        <v>0.0</v>
      </c>
      <c r="BY26" s="18">
        <v>0.0</v>
      </c>
      <c r="BZ26" s="18">
        <v>0.0</v>
      </c>
      <c r="CA26" s="18">
        <v>0.0</v>
      </c>
      <c r="CB26" s="18">
        <v>0.0</v>
      </c>
      <c r="CC26" s="36" t="s">
        <v>164</v>
      </c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</row>
    <row r="27" ht="18.75" customHeight="1">
      <c r="A27" s="9">
        <v>26.0</v>
      </c>
      <c r="B27" s="30">
        <v>73.0</v>
      </c>
      <c r="C27" s="31" t="s">
        <v>81</v>
      </c>
      <c r="D27" s="54" t="s">
        <v>82</v>
      </c>
      <c r="E27" s="30">
        <v>5.0</v>
      </c>
      <c r="F27" s="55">
        <v>182.9</v>
      </c>
      <c r="G27" s="56">
        <v>106.6</v>
      </c>
      <c r="H27" s="12">
        <f t="shared" si="1"/>
        <v>31.8661645</v>
      </c>
      <c r="I27" s="18">
        <v>1.0</v>
      </c>
      <c r="J27" s="18">
        <v>3.0</v>
      </c>
      <c r="K27" s="18">
        <v>2.0</v>
      </c>
      <c r="L27" s="18">
        <v>1.0</v>
      </c>
      <c r="M27" s="18">
        <v>130.0</v>
      </c>
      <c r="N27" s="18">
        <v>0.0</v>
      </c>
      <c r="O27" s="18">
        <v>122.0</v>
      </c>
      <c r="P27" s="18">
        <v>0.0</v>
      </c>
      <c r="Q27" s="18">
        <v>22.0</v>
      </c>
      <c r="R27" s="18">
        <v>0.0</v>
      </c>
      <c r="S27" s="32">
        <v>97.1</v>
      </c>
      <c r="T27" s="18">
        <v>0.0</v>
      </c>
      <c r="U27" s="18">
        <v>93.0</v>
      </c>
      <c r="V27" s="18">
        <v>1.0</v>
      </c>
      <c r="W27" s="9">
        <v>0.0</v>
      </c>
      <c r="X27" s="18">
        <v>1.0</v>
      </c>
      <c r="Y27" s="18">
        <v>0.0</v>
      </c>
      <c r="Z27" s="18">
        <v>0.0</v>
      </c>
      <c r="AA27" s="18">
        <v>0.0</v>
      </c>
      <c r="AB27" s="18">
        <v>0.0</v>
      </c>
      <c r="AC27" s="18">
        <v>0.0</v>
      </c>
      <c r="AD27" s="18">
        <v>0.0</v>
      </c>
      <c r="AE27" s="18">
        <v>0.0</v>
      </c>
      <c r="AF27" s="18">
        <v>0.0</v>
      </c>
      <c r="AG27" s="18">
        <v>0.0</v>
      </c>
      <c r="AH27" s="18">
        <v>0.0</v>
      </c>
      <c r="AI27" s="18">
        <v>0.0</v>
      </c>
      <c r="AJ27" s="18">
        <v>0.0</v>
      </c>
      <c r="AK27" s="18">
        <v>0.0</v>
      </c>
      <c r="AL27" s="18">
        <v>0.0</v>
      </c>
      <c r="AM27" s="18">
        <v>0.0</v>
      </c>
      <c r="AN27" s="18">
        <v>0.0</v>
      </c>
      <c r="AO27" s="18">
        <v>1.0</v>
      </c>
      <c r="AP27" s="18">
        <v>1.0</v>
      </c>
      <c r="AQ27" s="18">
        <v>0.0</v>
      </c>
      <c r="AR27" s="18">
        <v>0.0</v>
      </c>
      <c r="AS27" s="9">
        <v>1.0</v>
      </c>
      <c r="AT27" s="9">
        <v>0.0</v>
      </c>
      <c r="AU27" s="9">
        <v>0.0</v>
      </c>
      <c r="AV27" s="9">
        <v>0.0</v>
      </c>
      <c r="AW27" s="18" t="s">
        <v>97</v>
      </c>
      <c r="AX27" s="33">
        <f>4.95/3.93</f>
        <v>1.259541985</v>
      </c>
      <c r="AY27" s="34">
        <v>0.0</v>
      </c>
      <c r="AZ27" s="30">
        <v>0.0</v>
      </c>
      <c r="BA27" s="30">
        <v>1.0</v>
      </c>
      <c r="BB27" s="33">
        <f>3.11/3.62</f>
        <v>0.8591160221</v>
      </c>
      <c r="BC27" s="30">
        <v>3.0</v>
      </c>
      <c r="BD27" s="30">
        <v>1.0</v>
      </c>
      <c r="BE27" s="30">
        <v>1.0</v>
      </c>
      <c r="BF27" s="18">
        <v>0.0</v>
      </c>
      <c r="BG27" s="18" t="s">
        <v>84</v>
      </c>
      <c r="BH27" s="18">
        <v>1.0</v>
      </c>
      <c r="BI27" s="9">
        <v>0.0</v>
      </c>
      <c r="BJ27" s="18">
        <v>0.0</v>
      </c>
      <c r="BK27" s="18">
        <v>0.0</v>
      </c>
      <c r="BL27" s="18">
        <v>0.0</v>
      </c>
      <c r="BM27" s="18">
        <v>0.0</v>
      </c>
      <c r="BN27" s="18">
        <v>0.0</v>
      </c>
      <c r="BO27" s="18">
        <v>1.0</v>
      </c>
      <c r="BP27" s="9">
        <v>1.0</v>
      </c>
      <c r="BQ27" s="9">
        <v>1.0</v>
      </c>
      <c r="BR27" s="18">
        <v>0.0</v>
      </c>
      <c r="BS27" s="18">
        <v>0.0</v>
      </c>
      <c r="BT27" s="18">
        <v>0.0</v>
      </c>
      <c r="BU27" s="18">
        <v>0.0</v>
      </c>
      <c r="BV27" s="18">
        <v>0.0</v>
      </c>
      <c r="BW27" s="30">
        <v>0.0</v>
      </c>
      <c r="BX27" s="18">
        <v>0.0</v>
      </c>
      <c r="BY27" s="18">
        <v>0.0</v>
      </c>
      <c r="BZ27" s="18">
        <v>0.0</v>
      </c>
      <c r="CA27" s="18">
        <v>0.0</v>
      </c>
      <c r="CB27" s="18">
        <v>0.0</v>
      </c>
      <c r="CC27" s="36" t="s">
        <v>101</v>
      </c>
      <c r="CD27" s="16"/>
      <c r="CE27" s="16"/>
      <c r="CF27" s="16"/>
      <c r="CG27" s="16"/>
      <c r="CH27" s="16"/>
      <c r="CI27" s="16"/>
      <c r="CJ27" s="16"/>
      <c r="CK27" s="16"/>
      <c r="CL27" s="16"/>
      <c r="CM27" s="16"/>
      <c r="CN27" s="16"/>
      <c r="CO27" s="16"/>
      <c r="CP27" s="16"/>
      <c r="CQ27" s="16"/>
      <c r="CR27" s="16"/>
      <c r="CS27" s="16"/>
      <c r="CT27" s="16"/>
      <c r="CU27" s="16"/>
      <c r="CV27" s="16"/>
      <c r="CW27" s="16"/>
    </row>
    <row r="28" ht="18.75" customHeight="1">
      <c r="A28" s="9">
        <v>27.0</v>
      </c>
      <c r="B28" s="30">
        <v>40.0</v>
      </c>
      <c r="C28" s="31" t="s">
        <v>86</v>
      </c>
      <c r="D28" s="54" t="s">
        <v>88</v>
      </c>
      <c r="E28" s="30">
        <v>4.0</v>
      </c>
      <c r="F28" s="55">
        <v>175.3</v>
      </c>
      <c r="G28" s="56">
        <v>140.2</v>
      </c>
      <c r="H28" s="12">
        <f t="shared" si="1"/>
        <v>45.62303592</v>
      </c>
      <c r="I28" s="18">
        <v>1.0</v>
      </c>
      <c r="J28" s="18">
        <v>1.0</v>
      </c>
      <c r="K28" s="18">
        <v>2.0</v>
      </c>
      <c r="L28" s="18">
        <v>0.0</v>
      </c>
      <c r="M28" s="18">
        <v>82.0</v>
      </c>
      <c r="N28" s="18">
        <v>0.0</v>
      </c>
      <c r="O28" s="18">
        <v>178.0</v>
      </c>
      <c r="P28" s="18">
        <v>0.0</v>
      </c>
      <c r="Q28" s="18">
        <v>20.0</v>
      </c>
      <c r="R28" s="18">
        <v>0.0</v>
      </c>
      <c r="S28" s="32">
        <v>97.7</v>
      </c>
      <c r="T28" s="18">
        <v>0.0</v>
      </c>
      <c r="U28" s="18">
        <v>99.0</v>
      </c>
      <c r="V28" s="18">
        <v>1.0</v>
      </c>
      <c r="W28" s="9">
        <v>0.0</v>
      </c>
      <c r="X28" s="18">
        <v>0.0</v>
      </c>
      <c r="Y28" s="18">
        <v>0.0</v>
      </c>
      <c r="Z28" s="18">
        <v>0.0</v>
      </c>
      <c r="AA28" s="18">
        <v>0.0</v>
      </c>
      <c r="AB28" s="18">
        <v>1.0</v>
      </c>
      <c r="AC28" s="18">
        <v>0.0</v>
      </c>
      <c r="AD28" s="18">
        <v>0.0</v>
      </c>
      <c r="AE28" s="18">
        <v>1.0</v>
      </c>
      <c r="AF28" s="18">
        <v>0.0</v>
      </c>
      <c r="AG28" s="18">
        <v>0.0</v>
      </c>
      <c r="AH28" s="18">
        <v>0.0</v>
      </c>
      <c r="AI28" s="18">
        <v>0.0</v>
      </c>
      <c r="AJ28" s="18">
        <v>0.0</v>
      </c>
      <c r="AK28" s="18">
        <v>1.0</v>
      </c>
      <c r="AL28" s="18">
        <v>0.0</v>
      </c>
      <c r="AM28" s="18">
        <v>0.0</v>
      </c>
      <c r="AN28" s="18">
        <v>0.0</v>
      </c>
      <c r="AO28" s="18">
        <v>0.0</v>
      </c>
      <c r="AP28" s="18" t="s">
        <v>84</v>
      </c>
      <c r="AQ28" s="18">
        <v>1.0</v>
      </c>
      <c r="AR28" s="18">
        <v>0.0</v>
      </c>
      <c r="AS28" s="9">
        <v>1.0</v>
      </c>
      <c r="AT28" s="9">
        <v>1.0</v>
      </c>
      <c r="AU28" s="9">
        <v>1.0</v>
      </c>
      <c r="AV28" s="9">
        <v>0.0</v>
      </c>
      <c r="AW28" s="18" t="s">
        <v>97</v>
      </c>
      <c r="AX28" s="33">
        <f>2.12/5.26</f>
        <v>0.4030418251</v>
      </c>
      <c r="AY28" s="34">
        <v>0.0</v>
      </c>
      <c r="AZ28" s="30">
        <v>0.0</v>
      </c>
      <c r="BA28" s="30">
        <v>0.0</v>
      </c>
      <c r="BB28" s="33">
        <f>3.27/3.51</f>
        <v>0.9316239316</v>
      </c>
      <c r="BC28" s="30">
        <v>1.0</v>
      </c>
      <c r="BD28" s="30">
        <v>0.0</v>
      </c>
      <c r="BE28" s="30">
        <v>0.0</v>
      </c>
      <c r="BF28" s="18">
        <v>0.0</v>
      </c>
      <c r="BG28" s="18" t="s">
        <v>84</v>
      </c>
      <c r="BH28" s="18">
        <v>0.0</v>
      </c>
      <c r="BI28" s="9">
        <v>0.0</v>
      </c>
      <c r="BJ28" s="18">
        <v>0.0</v>
      </c>
      <c r="BK28" s="18">
        <v>0.0</v>
      </c>
      <c r="BL28" s="18">
        <v>0.0</v>
      </c>
      <c r="BM28" s="18">
        <v>0.0</v>
      </c>
      <c r="BN28" s="18">
        <v>0.0</v>
      </c>
      <c r="BO28" s="18">
        <v>0.0</v>
      </c>
      <c r="BP28" s="9" t="s">
        <v>84</v>
      </c>
      <c r="BQ28" s="9" t="s">
        <v>84</v>
      </c>
      <c r="BR28" s="18">
        <v>0.0</v>
      </c>
      <c r="BS28" s="18">
        <v>0.0</v>
      </c>
      <c r="BT28" s="18">
        <v>0.0</v>
      </c>
      <c r="BU28" s="18">
        <v>0.0</v>
      </c>
      <c r="BV28" s="18">
        <v>0.0</v>
      </c>
      <c r="BW28" s="30">
        <v>0.0</v>
      </c>
      <c r="BX28" s="18">
        <v>0.0</v>
      </c>
      <c r="BY28" s="18">
        <v>0.0</v>
      </c>
      <c r="BZ28" s="18">
        <v>1.0</v>
      </c>
      <c r="CA28" s="18">
        <v>0.0</v>
      </c>
      <c r="CB28" s="18">
        <v>0.0</v>
      </c>
      <c r="CC28" s="36" t="s">
        <v>92</v>
      </c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</row>
    <row r="29" ht="18.75" customHeight="1">
      <c r="A29" s="9">
        <v>28.0</v>
      </c>
      <c r="B29" s="30">
        <v>32.0</v>
      </c>
      <c r="C29" s="31" t="s">
        <v>86</v>
      </c>
      <c r="D29" s="54" t="s">
        <v>88</v>
      </c>
      <c r="E29" s="30">
        <v>3.0</v>
      </c>
      <c r="F29" s="55">
        <v>157.5</v>
      </c>
      <c r="G29" s="56">
        <v>96.0</v>
      </c>
      <c r="H29" s="12">
        <f t="shared" si="1"/>
        <v>38.69992441</v>
      </c>
      <c r="I29" s="18">
        <v>0.0</v>
      </c>
      <c r="J29" s="18">
        <v>1.0</v>
      </c>
      <c r="K29" s="18">
        <v>1.0</v>
      </c>
      <c r="L29" s="18">
        <v>0.0</v>
      </c>
      <c r="M29" s="18">
        <v>80.0</v>
      </c>
      <c r="N29" s="18">
        <v>0.0</v>
      </c>
      <c r="O29" s="18">
        <v>143.0</v>
      </c>
      <c r="P29" s="18">
        <v>0.0</v>
      </c>
      <c r="Q29" s="18">
        <v>16.0</v>
      </c>
      <c r="R29" s="18">
        <v>0.0</v>
      </c>
      <c r="S29" s="32">
        <v>98.3</v>
      </c>
      <c r="T29" s="18">
        <v>0.0</v>
      </c>
      <c r="U29" s="18">
        <v>100.0</v>
      </c>
      <c r="V29" s="18">
        <v>0.0</v>
      </c>
      <c r="W29" s="9">
        <v>0.0</v>
      </c>
      <c r="X29" s="18">
        <v>0.0</v>
      </c>
      <c r="Y29" s="18">
        <v>0.0</v>
      </c>
      <c r="Z29" s="18">
        <v>0.0</v>
      </c>
      <c r="AA29" s="18">
        <v>0.0</v>
      </c>
      <c r="AB29" s="18">
        <v>0.0</v>
      </c>
      <c r="AC29" s="18">
        <v>0.0</v>
      </c>
      <c r="AD29" s="18">
        <v>0.0</v>
      </c>
      <c r="AE29" s="18">
        <v>1.0</v>
      </c>
      <c r="AF29" s="18">
        <v>1.0</v>
      </c>
      <c r="AG29" s="18">
        <v>0.0</v>
      </c>
      <c r="AH29" s="18">
        <v>0.0</v>
      </c>
      <c r="AI29" s="18">
        <v>0.0</v>
      </c>
      <c r="AJ29" s="18">
        <v>0.0</v>
      </c>
      <c r="AK29" s="18">
        <v>0.0</v>
      </c>
      <c r="AL29" s="18">
        <v>0.0</v>
      </c>
      <c r="AM29" s="18">
        <v>0.0</v>
      </c>
      <c r="AN29" s="18">
        <v>0.0</v>
      </c>
      <c r="AO29" s="18">
        <v>0.0</v>
      </c>
      <c r="AP29" s="18" t="s">
        <v>84</v>
      </c>
      <c r="AQ29" s="18" t="s">
        <v>84</v>
      </c>
      <c r="AR29" s="18" t="s">
        <v>84</v>
      </c>
      <c r="AS29" s="9">
        <v>0.0</v>
      </c>
      <c r="AT29" s="9">
        <v>0.0</v>
      </c>
      <c r="AU29" s="9">
        <v>0.0</v>
      </c>
      <c r="AV29" s="9">
        <v>0.0</v>
      </c>
      <c r="AW29" s="18" t="s">
        <v>97</v>
      </c>
      <c r="AX29" s="33">
        <f>3.82/4.06</f>
        <v>0.9408866995</v>
      </c>
      <c r="AY29" s="34">
        <v>0.0</v>
      </c>
      <c r="AZ29" s="30">
        <v>1.0</v>
      </c>
      <c r="BA29" s="30">
        <v>0.0</v>
      </c>
      <c r="BB29" s="33">
        <f>2.67/2.6</f>
        <v>1.026923077</v>
      </c>
      <c r="BC29" s="30">
        <v>1.0</v>
      </c>
      <c r="BD29" s="30">
        <v>0.0</v>
      </c>
      <c r="BE29" s="30">
        <v>0.0</v>
      </c>
      <c r="BF29" s="18">
        <v>0.0</v>
      </c>
      <c r="BG29" s="18" t="s">
        <v>84</v>
      </c>
      <c r="BH29" s="18">
        <v>0.0</v>
      </c>
      <c r="BI29" s="9">
        <v>0.0</v>
      </c>
      <c r="BJ29" s="18">
        <v>0.0</v>
      </c>
      <c r="BK29" s="18">
        <v>0.0</v>
      </c>
      <c r="BL29" s="18">
        <v>0.0</v>
      </c>
      <c r="BM29" s="18">
        <v>0.0</v>
      </c>
      <c r="BN29" s="18">
        <v>0.0</v>
      </c>
      <c r="BO29" s="18">
        <v>0.0</v>
      </c>
      <c r="BP29" s="9" t="s">
        <v>84</v>
      </c>
      <c r="BQ29" s="9" t="s">
        <v>84</v>
      </c>
      <c r="BR29" s="18">
        <v>1.0</v>
      </c>
      <c r="BS29" s="18" t="s">
        <v>145</v>
      </c>
      <c r="BT29" s="18">
        <v>1.0</v>
      </c>
      <c r="BU29" s="18">
        <v>0.0</v>
      </c>
      <c r="BV29" s="18">
        <v>0.0</v>
      </c>
      <c r="BW29" s="30">
        <v>0.0</v>
      </c>
      <c r="BX29" s="18">
        <v>0.0</v>
      </c>
      <c r="BY29" s="18">
        <v>0.0</v>
      </c>
      <c r="BZ29" s="18">
        <v>1.0</v>
      </c>
      <c r="CA29" s="18">
        <v>0.0</v>
      </c>
      <c r="CB29" s="18">
        <v>0.0</v>
      </c>
      <c r="CC29" s="36" t="s">
        <v>165</v>
      </c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</row>
    <row r="30" ht="18.75" customHeight="1">
      <c r="A30" s="9">
        <v>29.0</v>
      </c>
      <c r="B30" s="30">
        <v>63.0</v>
      </c>
      <c r="C30" s="31" t="s">
        <v>86</v>
      </c>
      <c r="D30" s="54" t="s">
        <v>82</v>
      </c>
      <c r="E30" s="30">
        <v>2.0</v>
      </c>
      <c r="F30" s="55">
        <v>172.7</v>
      </c>
      <c r="G30" s="56">
        <v>78.0</v>
      </c>
      <c r="H30" s="12">
        <f t="shared" si="1"/>
        <v>26.15230229</v>
      </c>
      <c r="I30" s="18">
        <v>1.0</v>
      </c>
      <c r="J30" s="18">
        <v>3.0</v>
      </c>
      <c r="K30" s="18">
        <v>1.0</v>
      </c>
      <c r="L30" s="18">
        <v>0.0</v>
      </c>
      <c r="M30" s="18">
        <v>109.0</v>
      </c>
      <c r="N30" s="18">
        <v>0.0</v>
      </c>
      <c r="O30" s="18">
        <v>114.0</v>
      </c>
      <c r="P30" s="18">
        <v>0.0</v>
      </c>
      <c r="Q30" s="18">
        <v>20.0</v>
      </c>
      <c r="R30" s="18">
        <v>0.0</v>
      </c>
      <c r="S30" s="32">
        <v>98.5</v>
      </c>
      <c r="T30" s="18">
        <v>0.0</v>
      </c>
      <c r="U30" s="18">
        <v>92.0</v>
      </c>
      <c r="V30" s="18">
        <v>1.0</v>
      </c>
      <c r="W30" s="9">
        <v>0.0</v>
      </c>
      <c r="X30" s="18">
        <v>0.0</v>
      </c>
      <c r="Y30" s="18">
        <v>0.0</v>
      </c>
      <c r="Z30" s="18">
        <v>1.0</v>
      </c>
      <c r="AA30" s="18">
        <v>1.0</v>
      </c>
      <c r="AB30" s="18">
        <v>0.0</v>
      </c>
      <c r="AC30" s="18">
        <v>0.0</v>
      </c>
      <c r="AD30" s="18">
        <v>0.0</v>
      </c>
      <c r="AE30" s="18">
        <v>0.0</v>
      </c>
      <c r="AF30" s="18">
        <v>1.0</v>
      </c>
      <c r="AG30" s="18">
        <v>0.0</v>
      </c>
      <c r="AH30" s="18">
        <v>0.0</v>
      </c>
      <c r="AI30" s="18">
        <v>0.0</v>
      </c>
      <c r="AJ30" s="18">
        <v>0.0</v>
      </c>
      <c r="AK30" s="18">
        <v>1.0</v>
      </c>
      <c r="AL30" s="18">
        <v>1.0</v>
      </c>
      <c r="AM30" s="18">
        <v>0.0</v>
      </c>
      <c r="AN30" s="18">
        <v>0.0</v>
      </c>
      <c r="AO30" s="18" t="s">
        <v>84</v>
      </c>
      <c r="AP30" s="18" t="s">
        <v>84</v>
      </c>
      <c r="AQ30" s="18">
        <v>0.0</v>
      </c>
      <c r="AR30" s="18">
        <v>0.0</v>
      </c>
      <c r="AS30" s="9">
        <v>0.0</v>
      </c>
      <c r="AT30" s="9">
        <v>0.0</v>
      </c>
      <c r="AU30" s="9">
        <v>0.0</v>
      </c>
      <c r="AV30" s="9">
        <v>0.0</v>
      </c>
      <c r="AW30" s="18">
        <v>35.5</v>
      </c>
      <c r="AX30" s="33">
        <f>3.99/4.68</f>
        <v>0.8525641026</v>
      </c>
      <c r="AY30" s="34">
        <v>1.0</v>
      </c>
      <c r="AZ30" s="30">
        <v>0.0</v>
      </c>
      <c r="BA30" s="30">
        <v>0.0</v>
      </c>
      <c r="BB30" s="33">
        <f>3.26/3.35</f>
        <v>0.9731343284</v>
      </c>
      <c r="BC30" s="30">
        <v>1.0</v>
      </c>
      <c r="BD30" s="30">
        <v>0.0</v>
      </c>
      <c r="BE30" s="30">
        <v>1.0</v>
      </c>
      <c r="BF30" s="18">
        <v>0.0</v>
      </c>
      <c r="BG30" s="18" t="s">
        <v>84</v>
      </c>
      <c r="BH30" s="18">
        <v>0.0</v>
      </c>
      <c r="BI30" s="9">
        <v>0.0</v>
      </c>
      <c r="BJ30" s="18">
        <v>0.0</v>
      </c>
      <c r="BK30" s="18">
        <v>0.0</v>
      </c>
      <c r="BL30" s="18">
        <v>0.0</v>
      </c>
      <c r="BM30" s="18">
        <v>0.0</v>
      </c>
      <c r="BN30" s="18">
        <v>0.0</v>
      </c>
      <c r="BO30" s="18">
        <v>0.0</v>
      </c>
      <c r="BP30" s="9" t="s">
        <v>84</v>
      </c>
      <c r="BQ30" s="9" t="s">
        <v>84</v>
      </c>
      <c r="BR30" s="18">
        <v>0.0</v>
      </c>
      <c r="BS30" s="18">
        <v>0.0</v>
      </c>
      <c r="BT30" s="18">
        <v>0.0</v>
      </c>
      <c r="BU30" s="18">
        <v>0.0</v>
      </c>
      <c r="BV30" s="18">
        <v>0.0</v>
      </c>
      <c r="BW30" s="30">
        <v>0.0</v>
      </c>
      <c r="BX30" s="18">
        <v>0.0</v>
      </c>
      <c r="BY30" s="18">
        <v>0.0</v>
      </c>
      <c r="BZ30" s="18">
        <v>0.0</v>
      </c>
      <c r="CA30" s="18">
        <v>0.0</v>
      </c>
      <c r="CB30" s="18">
        <v>0.0</v>
      </c>
      <c r="CC30" s="36" t="s">
        <v>104</v>
      </c>
      <c r="CD30" s="16"/>
      <c r="CE30" s="16"/>
      <c r="CF30" s="16"/>
      <c r="CG30" s="16"/>
      <c r="CH30" s="16"/>
      <c r="CI30" s="16"/>
      <c r="CJ30" s="16"/>
      <c r="CK30" s="16"/>
      <c r="CL30" s="16"/>
      <c r="CM30" s="16"/>
      <c r="CN30" s="16"/>
      <c r="CO30" s="16"/>
      <c r="CP30" s="16"/>
      <c r="CQ30" s="16"/>
      <c r="CR30" s="16"/>
      <c r="CS30" s="16"/>
      <c r="CT30" s="16"/>
      <c r="CU30" s="16"/>
      <c r="CV30" s="16"/>
      <c r="CW30" s="16"/>
    </row>
    <row r="31" ht="18.75" customHeight="1">
      <c r="A31" s="9">
        <v>30.0</v>
      </c>
      <c r="B31" s="30">
        <v>46.0</v>
      </c>
      <c r="C31" s="31" t="s">
        <v>86</v>
      </c>
      <c r="D31" s="54" t="s">
        <v>88</v>
      </c>
      <c r="E31" s="30">
        <v>1.0</v>
      </c>
      <c r="F31" s="55">
        <v>160.0</v>
      </c>
      <c r="G31" s="32">
        <v>122.1</v>
      </c>
      <c r="H31" s="12">
        <f t="shared" si="1"/>
        <v>47.6953125</v>
      </c>
      <c r="I31" s="18">
        <v>1.0</v>
      </c>
      <c r="J31" s="18">
        <v>2.0</v>
      </c>
      <c r="K31" s="18">
        <v>1.0</v>
      </c>
      <c r="L31" s="18">
        <v>0.0</v>
      </c>
      <c r="M31" s="18">
        <v>84.0</v>
      </c>
      <c r="N31" s="18">
        <v>0.0</v>
      </c>
      <c r="O31" s="18">
        <v>125.0</v>
      </c>
      <c r="P31" s="18">
        <v>0.0</v>
      </c>
      <c r="Q31" s="18">
        <v>16.0</v>
      </c>
      <c r="R31" s="18">
        <v>0.0</v>
      </c>
      <c r="S31" s="32">
        <v>98.9</v>
      </c>
      <c r="T31" s="18">
        <v>0.0</v>
      </c>
      <c r="U31" s="18">
        <v>97.0</v>
      </c>
      <c r="V31" s="18">
        <v>0.0</v>
      </c>
      <c r="W31" s="9">
        <v>0.0</v>
      </c>
      <c r="X31" s="18">
        <v>0.0</v>
      </c>
      <c r="Y31" s="18">
        <v>0.0</v>
      </c>
      <c r="Z31" s="18">
        <v>1.0</v>
      </c>
      <c r="AA31" s="18">
        <v>0.0</v>
      </c>
      <c r="AB31" s="18">
        <v>0.0</v>
      </c>
      <c r="AC31" s="18">
        <v>0.0</v>
      </c>
      <c r="AD31" s="18">
        <v>0.0</v>
      </c>
      <c r="AE31" s="18">
        <v>0.0</v>
      </c>
      <c r="AF31" s="18">
        <v>0.0</v>
      </c>
      <c r="AG31" s="18">
        <v>0.0</v>
      </c>
      <c r="AH31" s="18">
        <v>0.0</v>
      </c>
      <c r="AI31" s="18">
        <v>0.0</v>
      </c>
      <c r="AJ31" s="18">
        <v>0.0</v>
      </c>
      <c r="AK31" s="18">
        <v>0.0</v>
      </c>
      <c r="AL31" s="18">
        <v>0.0</v>
      </c>
      <c r="AM31" s="18">
        <v>0.0</v>
      </c>
      <c r="AN31" s="18">
        <v>0.0</v>
      </c>
      <c r="AO31" s="18">
        <v>0.0</v>
      </c>
      <c r="AP31" s="18" t="s">
        <v>84</v>
      </c>
      <c r="AQ31" s="18" t="s">
        <v>84</v>
      </c>
      <c r="AR31" s="18">
        <v>0.0</v>
      </c>
      <c r="AS31" s="9" t="s">
        <v>84</v>
      </c>
      <c r="AT31" s="9" t="s">
        <v>84</v>
      </c>
      <c r="AU31" s="9" t="s">
        <v>84</v>
      </c>
      <c r="AV31" s="9" t="s">
        <v>84</v>
      </c>
      <c r="AW31" s="18" t="s">
        <v>84</v>
      </c>
      <c r="AX31" s="33">
        <f>4.01/5.34</f>
        <v>0.7509363296</v>
      </c>
      <c r="AY31" s="34">
        <v>0.0</v>
      </c>
      <c r="AZ31" s="30">
        <v>0.0</v>
      </c>
      <c r="BA31" s="30">
        <v>0.0</v>
      </c>
      <c r="BB31" s="33">
        <f>2.72/2.06</f>
        <v>1.32038835</v>
      </c>
      <c r="BC31" s="30">
        <v>2.0</v>
      </c>
      <c r="BD31" s="30">
        <v>0.0</v>
      </c>
      <c r="BE31" s="30">
        <v>0.0</v>
      </c>
      <c r="BF31" s="18">
        <v>0.0</v>
      </c>
      <c r="BG31" s="18" t="s">
        <v>84</v>
      </c>
      <c r="BH31" s="18">
        <v>0.0</v>
      </c>
      <c r="BI31" s="9">
        <v>0.0</v>
      </c>
      <c r="BJ31" s="18">
        <v>0.0</v>
      </c>
      <c r="BK31" s="18">
        <v>0.0</v>
      </c>
      <c r="BL31" s="18">
        <v>0.0</v>
      </c>
      <c r="BM31" s="18">
        <v>0.0</v>
      </c>
      <c r="BN31" s="18">
        <v>0.0</v>
      </c>
      <c r="BO31" s="18">
        <v>0.0</v>
      </c>
      <c r="BP31" s="9" t="s">
        <v>84</v>
      </c>
      <c r="BQ31" s="9" t="s">
        <v>84</v>
      </c>
      <c r="BR31" s="18">
        <v>0.0</v>
      </c>
      <c r="BS31" s="18">
        <v>0.0</v>
      </c>
      <c r="BT31" s="18">
        <v>0.0</v>
      </c>
      <c r="BU31" s="18">
        <v>0.0</v>
      </c>
      <c r="BV31" s="18">
        <v>0.0</v>
      </c>
      <c r="BW31" s="30">
        <v>0.0</v>
      </c>
      <c r="BX31" s="18">
        <v>0.0</v>
      </c>
      <c r="BY31" s="18">
        <v>0.0</v>
      </c>
      <c r="BZ31" s="18">
        <v>1.0</v>
      </c>
      <c r="CA31" s="18">
        <v>0.0</v>
      </c>
      <c r="CB31" s="18">
        <v>0.0</v>
      </c>
      <c r="CC31" s="36" t="s">
        <v>104</v>
      </c>
      <c r="CD31" s="16"/>
      <c r="CE31" s="16"/>
      <c r="CF31" s="16"/>
      <c r="CG31" s="16"/>
      <c r="CH31" s="16"/>
      <c r="CI31" s="16"/>
      <c r="CJ31" s="16"/>
      <c r="CK31" s="16"/>
      <c r="CL31" s="16"/>
      <c r="CM31" s="16"/>
      <c r="CN31" s="16"/>
      <c r="CO31" s="16"/>
      <c r="CP31" s="16"/>
      <c r="CQ31" s="16"/>
      <c r="CR31" s="16"/>
      <c r="CS31" s="16"/>
      <c r="CT31" s="16"/>
      <c r="CU31" s="16"/>
      <c r="CV31" s="16"/>
      <c r="CW31" s="16"/>
    </row>
    <row r="32" ht="18.75" customHeight="1">
      <c r="A32" s="9">
        <v>31.0</v>
      </c>
      <c r="B32" s="30">
        <v>77.0</v>
      </c>
      <c r="C32" s="31" t="s">
        <v>86</v>
      </c>
      <c r="D32" s="54" t="s">
        <v>88</v>
      </c>
      <c r="E32" s="30">
        <v>4.0</v>
      </c>
      <c r="F32" s="55">
        <v>175.3</v>
      </c>
      <c r="G32" s="56">
        <v>81.6</v>
      </c>
      <c r="H32" s="12">
        <f t="shared" si="1"/>
        <v>26.5537784</v>
      </c>
      <c r="I32" s="18">
        <v>1.0</v>
      </c>
      <c r="J32" s="18">
        <v>5.0</v>
      </c>
      <c r="K32" s="18">
        <v>2.0</v>
      </c>
      <c r="L32" s="18">
        <v>0.0</v>
      </c>
      <c r="M32" s="18">
        <v>105.0</v>
      </c>
      <c r="N32" s="18">
        <v>0.0</v>
      </c>
      <c r="O32" s="18">
        <v>115.0</v>
      </c>
      <c r="P32" s="18">
        <v>0.0</v>
      </c>
      <c r="Q32" s="18">
        <v>20.0</v>
      </c>
      <c r="R32" s="18">
        <v>0.0</v>
      </c>
      <c r="S32" s="32">
        <v>98.6</v>
      </c>
      <c r="T32" s="18">
        <v>1.0</v>
      </c>
      <c r="U32" s="18">
        <v>88.0</v>
      </c>
      <c r="V32" s="18">
        <v>1.0</v>
      </c>
      <c r="W32" s="9">
        <v>0.0</v>
      </c>
      <c r="X32" s="18">
        <v>0.0</v>
      </c>
      <c r="Y32" s="18">
        <v>0.0</v>
      </c>
      <c r="Z32" s="18">
        <v>1.0</v>
      </c>
      <c r="AA32" s="18">
        <v>1.0</v>
      </c>
      <c r="AB32" s="18">
        <v>0.0</v>
      </c>
      <c r="AC32" s="18">
        <v>1.0</v>
      </c>
      <c r="AD32" s="18">
        <v>0.0</v>
      </c>
      <c r="AE32" s="18">
        <v>1.0</v>
      </c>
      <c r="AF32" s="18">
        <v>0.0</v>
      </c>
      <c r="AG32" s="18">
        <v>0.0</v>
      </c>
      <c r="AH32" s="18">
        <v>0.0</v>
      </c>
      <c r="AI32" s="18">
        <v>0.0</v>
      </c>
      <c r="AJ32" s="18">
        <v>0.0</v>
      </c>
      <c r="AK32" s="18">
        <v>0.0</v>
      </c>
      <c r="AL32" s="18">
        <v>0.0</v>
      </c>
      <c r="AM32" s="18">
        <v>0.0</v>
      </c>
      <c r="AN32" s="18">
        <v>0.0</v>
      </c>
      <c r="AO32" s="18" t="s">
        <v>84</v>
      </c>
      <c r="AP32" s="18" t="s">
        <v>84</v>
      </c>
      <c r="AQ32" s="18">
        <v>1.0</v>
      </c>
      <c r="AR32" s="18">
        <v>0.0</v>
      </c>
      <c r="AS32" s="9" t="s">
        <v>84</v>
      </c>
      <c r="AT32" s="9" t="s">
        <v>84</v>
      </c>
      <c r="AU32" s="9" t="s">
        <v>84</v>
      </c>
      <c r="AV32" s="9" t="s">
        <v>84</v>
      </c>
      <c r="AW32" s="18" t="s">
        <v>84</v>
      </c>
      <c r="AX32" s="33">
        <f>5.01/4.94</f>
        <v>1.01417004</v>
      </c>
      <c r="AY32" s="34">
        <v>0.0</v>
      </c>
      <c r="AZ32" s="30">
        <v>0.0</v>
      </c>
      <c r="BA32" s="30">
        <v>1.0</v>
      </c>
      <c r="BB32" s="33">
        <f>3.96/3.51</f>
        <v>1.128205128</v>
      </c>
      <c r="BC32" s="30">
        <v>2.0</v>
      </c>
      <c r="BD32" s="30">
        <v>0.0</v>
      </c>
      <c r="BE32" s="30">
        <v>1.0</v>
      </c>
      <c r="BF32" s="18">
        <v>0.0</v>
      </c>
      <c r="BG32" s="18" t="s">
        <v>84</v>
      </c>
      <c r="BH32" s="18">
        <v>0.0</v>
      </c>
      <c r="BI32" s="9">
        <v>0.0</v>
      </c>
      <c r="BJ32" s="18">
        <v>0.0</v>
      </c>
      <c r="BK32" s="18">
        <v>0.0</v>
      </c>
      <c r="BL32" s="18">
        <v>0.0</v>
      </c>
      <c r="BM32" s="18">
        <v>0.0</v>
      </c>
      <c r="BN32" s="18">
        <v>0.0</v>
      </c>
      <c r="BO32" s="18">
        <v>0.0</v>
      </c>
      <c r="BP32" s="9" t="s">
        <v>84</v>
      </c>
      <c r="BQ32" s="9" t="s">
        <v>84</v>
      </c>
      <c r="BR32" s="18">
        <v>0.0</v>
      </c>
      <c r="BS32" s="18">
        <v>0.0</v>
      </c>
      <c r="BT32" s="18">
        <v>0.0</v>
      </c>
      <c r="BU32" s="18">
        <v>0.0</v>
      </c>
      <c r="BV32" s="18">
        <v>0.0</v>
      </c>
      <c r="BW32" s="30">
        <v>0.0</v>
      </c>
      <c r="BX32" s="18">
        <v>0.0</v>
      </c>
      <c r="BY32" s="36" t="s">
        <v>159</v>
      </c>
      <c r="BZ32" s="18">
        <v>0.0</v>
      </c>
      <c r="CA32" s="18">
        <v>0.0</v>
      </c>
      <c r="CB32" s="18">
        <v>0.0</v>
      </c>
      <c r="CC32" s="36" t="s">
        <v>104</v>
      </c>
      <c r="CD32" s="16"/>
      <c r="CE32" s="16"/>
      <c r="CF32" s="16"/>
      <c r="CG32" s="16"/>
      <c r="CH32" s="16"/>
      <c r="CI32" s="16"/>
      <c r="CJ32" s="16"/>
      <c r="CK32" s="16"/>
      <c r="CL32" s="16"/>
      <c r="CM32" s="16"/>
      <c r="CN32" s="16"/>
      <c r="CO32" s="16"/>
      <c r="CP32" s="16"/>
      <c r="CQ32" s="16"/>
      <c r="CR32" s="16"/>
      <c r="CS32" s="16"/>
      <c r="CT32" s="16"/>
      <c r="CU32" s="16"/>
      <c r="CV32" s="16"/>
      <c r="CW32" s="16"/>
    </row>
    <row r="33" ht="18.75" customHeight="1">
      <c r="A33" s="9">
        <v>32.0</v>
      </c>
      <c r="B33" s="30">
        <v>76.0</v>
      </c>
      <c r="C33" s="31" t="s">
        <v>81</v>
      </c>
      <c r="D33" s="54" t="s">
        <v>88</v>
      </c>
      <c r="E33" s="30">
        <v>7.0</v>
      </c>
      <c r="F33" s="55">
        <v>180.3</v>
      </c>
      <c r="G33" s="56">
        <v>102.1</v>
      </c>
      <c r="H33" s="12">
        <f t="shared" si="1"/>
        <v>31.40756655</v>
      </c>
      <c r="I33" s="18">
        <v>1.0</v>
      </c>
      <c r="J33" s="18">
        <v>5.0</v>
      </c>
      <c r="K33" s="18">
        <v>1.0</v>
      </c>
      <c r="L33" s="18">
        <v>1.0</v>
      </c>
      <c r="M33" s="18">
        <v>110.0</v>
      </c>
      <c r="N33" s="18">
        <v>0.0</v>
      </c>
      <c r="O33" s="18">
        <v>176.0</v>
      </c>
      <c r="P33" s="18">
        <v>0.0</v>
      </c>
      <c r="Q33" s="18">
        <v>18.0</v>
      </c>
      <c r="R33" s="18">
        <v>0.0</v>
      </c>
      <c r="S33" s="32">
        <v>98.2</v>
      </c>
      <c r="T33" s="18">
        <v>1.0</v>
      </c>
      <c r="U33" s="18">
        <v>86.0</v>
      </c>
      <c r="V33" s="18">
        <v>1.0</v>
      </c>
      <c r="W33" s="9">
        <v>0.0</v>
      </c>
      <c r="X33" s="18">
        <v>0.0</v>
      </c>
      <c r="Y33" s="18">
        <v>0.0</v>
      </c>
      <c r="Z33" s="18">
        <v>0.0</v>
      </c>
      <c r="AA33" s="18">
        <v>1.0</v>
      </c>
      <c r="AB33" s="18">
        <v>0.0</v>
      </c>
      <c r="AC33" s="18">
        <v>0.0</v>
      </c>
      <c r="AD33" s="18">
        <v>1.0</v>
      </c>
      <c r="AE33" s="18">
        <v>0.0</v>
      </c>
      <c r="AF33" s="18">
        <v>0.0</v>
      </c>
      <c r="AG33" s="18">
        <v>0.0</v>
      </c>
      <c r="AH33" s="18">
        <v>0.0</v>
      </c>
      <c r="AI33" s="18">
        <v>0.0</v>
      </c>
      <c r="AJ33" s="18">
        <v>0.0</v>
      </c>
      <c r="AK33" s="18">
        <v>0.0</v>
      </c>
      <c r="AL33" s="18">
        <v>0.0</v>
      </c>
      <c r="AM33" s="18">
        <v>0.0</v>
      </c>
      <c r="AN33" s="18">
        <v>0.0</v>
      </c>
      <c r="AO33" s="18">
        <v>1.0</v>
      </c>
      <c r="AP33" s="18">
        <v>1.0</v>
      </c>
      <c r="AQ33" s="18" t="s">
        <v>84</v>
      </c>
      <c r="AR33" s="18">
        <v>0.0</v>
      </c>
      <c r="AS33" s="9" t="s">
        <v>84</v>
      </c>
      <c r="AT33" s="9" t="s">
        <v>84</v>
      </c>
      <c r="AU33" s="9" t="s">
        <v>84</v>
      </c>
      <c r="AV33" s="9" t="s">
        <v>84</v>
      </c>
      <c r="AW33" s="18" t="s">
        <v>84</v>
      </c>
      <c r="AX33" s="33">
        <f>3.65/3.94</f>
        <v>0.9263959391</v>
      </c>
      <c r="AY33" s="34">
        <v>0.0</v>
      </c>
      <c r="AZ33" s="30">
        <v>1.0</v>
      </c>
      <c r="BA33" s="30">
        <v>0.0</v>
      </c>
      <c r="BB33" s="33">
        <f>3.27/3.83</f>
        <v>0.8537859008</v>
      </c>
      <c r="BC33" s="30">
        <v>3.0</v>
      </c>
      <c r="BD33" s="30">
        <v>0.0</v>
      </c>
      <c r="BE33" s="30">
        <v>1.0</v>
      </c>
      <c r="BF33" s="18">
        <v>0.0</v>
      </c>
      <c r="BG33" s="18" t="s">
        <v>84</v>
      </c>
      <c r="BH33" s="18">
        <v>0.0</v>
      </c>
      <c r="BI33" s="9">
        <v>0.0</v>
      </c>
      <c r="BJ33" s="18">
        <v>0.0</v>
      </c>
      <c r="BK33" s="18">
        <v>0.0</v>
      </c>
      <c r="BL33" s="18">
        <v>0.0</v>
      </c>
      <c r="BM33" s="18">
        <v>0.0</v>
      </c>
      <c r="BN33" s="18">
        <v>0.0</v>
      </c>
      <c r="BO33" s="18">
        <v>0.0</v>
      </c>
      <c r="BP33" s="9" t="s">
        <v>84</v>
      </c>
      <c r="BQ33" s="9" t="s">
        <v>84</v>
      </c>
      <c r="BR33" s="18">
        <v>0.0</v>
      </c>
      <c r="BS33" s="18">
        <v>0.0</v>
      </c>
      <c r="BT33" s="18">
        <v>0.0</v>
      </c>
      <c r="BU33" s="18">
        <v>0.0</v>
      </c>
      <c r="BV33" s="18">
        <v>0.0</v>
      </c>
      <c r="BW33" s="30">
        <v>0.0</v>
      </c>
      <c r="BX33" s="18">
        <v>0.0</v>
      </c>
      <c r="BY33" s="18">
        <v>0.0</v>
      </c>
      <c r="BZ33" s="18">
        <v>0.0</v>
      </c>
      <c r="CA33" s="18">
        <v>0.0</v>
      </c>
      <c r="CB33" s="18">
        <v>0.0</v>
      </c>
      <c r="CC33" s="36" t="s">
        <v>166</v>
      </c>
      <c r="CD33" s="16"/>
      <c r="CE33" s="16"/>
      <c r="CF33" s="16"/>
      <c r="CG33" s="16"/>
      <c r="CH33" s="16"/>
      <c r="CI33" s="16"/>
      <c r="CJ33" s="16"/>
      <c r="CK33" s="16"/>
      <c r="CL33" s="16"/>
      <c r="CM33" s="16"/>
      <c r="CN33" s="16"/>
      <c r="CO33" s="16"/>
      <c r="CP33" s="16"/>
      <c r="CQ33" s="16"/>
      <c r="CR33" s="16"/>
      <c r="CS33" s="16"/>
      <c r="CT33" s="16"/>
      <c r="CU33" s="16"/>
      <c r="CV33" s="16"/>
      <c r="CW33" s="16"/>
    </row>
    <row r="34" ht="18.75" customHeight="1">
      <c r="A34" s="9">
        <v>33.0</v>
      </c>
      <c r="B34" s="30">
        <v>46.0</v>
      </c>
      <c r="C34" s="31" t="s">
        <v>81</v>
      </c>
      <c r="D34" s="54" t="s">
        <v>88</v>
      </c>
      <c r="E34" s="30">
        <v>3.0</v>
      </c>
      <c r="F34" s="55">
        <v>180.3</v>
      </c>
      <c r="G34" s="56">
        <v>90.2</v>
      </c>
      <c r="H34" s="12">
        <f t="shared" si="1"/>
        <v>27.7469393</v>
      </c>
      <c r="I34" s="18">
        <v>0.0</v>
      </c>
      <c r="J34" s="18">
        <v>1.0</v>
      </c>
      <c r="K34" s="18">
        <v>2.0</v>
      </c>
      <c r="L34" s="18">
        <v>0.0</v>
      </c>
      <c r="M34" s="18">
        <v>101.0</v>
      </c>
      <c r="N34" s="18">
        <v>0.0</v>
      </c>
      <c r="O34" s="18">
        <v>136.0</v>
      </c>
      <c r="P34" s="18">
        <v>0.0</v>
      </c>
      <c r="Q34" s="18">
        <v>15.0</v>
      </c>
      <c r="R34" s="18">
        <v>0.0</v>
      </c>
      <c r="S34" s="32">
        <v>98.8</v>
      </c>
      <c r="T34" s="18">
        <v>0.0</v>
      </c>
      <c r="U34" s="18">
        <v>100.0</v>
      </c>
      <c r="V34" s="18">
        <v>0.0</v>
      </c>
      <c r="W34" s="9">
        <v>0.0</v>
      </c>
      <c r="X34" s="18">
        <v>0.0</v>
      </c>
      <c r="Y34" s="18">
        <v>0.0</v>
      </c>
      <c r="Z34" s="18">
        <v>0.0</v>
      </c>
      <c r="AA34" s="18">
        <v>0.0</v>
      </c>
      <c r="AB34" s="18">
        <v>0.0</v>
      </c>
      <c r="AC34" s="18">
        <v>0.0</v>
      </c>
      <c r="AD34" s="18">
        <v>0.0</v>
      </c>
      <c r="AE34" s="18">
        <v>0.0</v>
      </c>
      <c r="AF34" s="18">
        <v>0.0</v>
      </c>
      <c r="AG34" s="18">
        <v>0.0</v>
      </c>
      <c r="AH34" s="18">
        <v>0.0</v>
      </c>
      <c r="AI34" s="18">
        <v>0.0</v>
      </c>
      <c r="AJ34" s="18">
        <v>0.0</v>
      </c>
      <c r="AK34" s="18">
        <v>0.0</v>
      </c>
      <c r="AL34" s="18">
        <v>0.0</v>
      </c>
      <c r="AM34" s="18">
        <v>0.0</v>
      </c>
      <c r="AN34" s="18">
        <v>0.0</v>
      </c>
      <c r="AO34" s="18">
        <v>0.0</v>
      </c>
      <c r="AP34" s="18" t="s">
        <v>84</v>
      </c>
      <c r="AQ34" s="18">
        <v>1.0</v>
      </c>
      <c r="AR34" s="18">
        <v>0.0</v>
      </c>
      <c r="AS34" s="9">
        <v>1.0</v>
      </c>
      <c r="AT34" s="9">
        <v>1.0</v>
      </c>
      <c r="AU34" s="9">
        <v>1.0</v>
      </c>
      <c r="AV34" s="9">
        <v>0.0</v>
      </c>
      <c r="AW34" s="18">
        <v>50.0</v>
      </c>
      <c r="AX34" s="33">
        <f>5.41/3.89</f>
        <v>1.390745501</v>
      </c>
      <c r="AY34" s="34">
        <v>0.0</v>
      </c>
      <c r="AZ34" s="30">
        <v>0.0</v>
      </c>
      <c r="BA34" s="30">
        <v>1.0</v>
      </c>
      <c r="BB34" s="33">
        <f>3.35/3.21</f>
        <v>1.043613707</v>
      </c>
      <c r="BC34" s="30">
        <v>4.0</v>
      </c>
      <c r="BD34" s="30">
        <v>1.0</v>
      </c>
      <c r="BE34" s="30">
        <v>1.0</v>
      </c>
      <c r="BF34" s="18">
        <v>0.0</v>
      </c>
      <c r="BG34" s="18" t="s">
        <v>84</v>
      </c>
      <c r="BH34" s="18">
        <v>0.0</v>
      </c>
      <c r="BI34" s="9">
        <v>0.0</v>
      </c>
      <c r="BJ34" s="18">
        <v>0.0</v>
      </c>
      <c r="BK34" s="18">
        <v>0.0</v>
      </c>
      <c r="BL34" s="18">
        <v>0.0</v>
      </c>
      <c r="BM34" s="18">
        <v>0.0</v>
      </c>
      <c r="BN34" s="18">
        <v>0.0</v>
      </c>
      <c r="BO34" s="18">
        <v>0.0</v>
      </c>
      <c r="BP34" s="9" t="s">
        <v>84</v>
      </c>
      <c r="BQ34" s="9" t="s">
        <v>84</v>
      </c>
      <c r="BR34" s="18">
        <v>0.0</v>
      </c>
      <c r="BS34" s="18">
        <v>0.0</v>
      </c>
      <c r="BT34" s="18">
        <v>0.0</v>
      </c>
      <c r="BU34" s="18">
        <v>0.0</v>
      </c>
      <c r="BV34" s="18">
        <v>0.0</v>
      </c>
      <c r="BW34" s="30">
        <v>0.0</v>
      </c>
      <c r="BX34" s="18">
        <v>0.0</v>
      </c>
      <c r="BY34" s="18">
        <v>0.0</v>
      </c>
      <c r="BZ34" s="18">
        <v>0.0</v>
      </c>
      <c r="CA34" s="18">
        <v>0.0</v>
      </c>
      <c r="CB34" s="18">
        <v>0.0</v>
      </c>
      <c r="CC34" s="36" t="s">
        <v>167</v>
      </c>
      <c r="CD34" s="16"/>
      <c r="CE34" s="16"/>
      <c r="CF34" s="16"/>
      <c r="CG34" s="16"/>
      <c r="CH34" s="16"/>
      <c r="CI34" s="16"/>
      <c r="CJ34" s="16"/>
      <c r="CK34" s="16"/>
      <c r="CL34" s="16"/>
      <c r="CM34" s="16"/>
      <c r="CN34" s="16"/>
      <c r="CO34" s="16"/>
      <c r="CP34" s="16"/>
      <c r="CQ34" s="16"/>
      <c r="CR34" s="16"/>
      <c r="CS34" s="16"/>
      <c r="CT34" s="16"/>
      <c r="CU34" s="16"/>
      <c r="CV34" s="16"/>
      <c r="CW34" s="16"/>
    </row>
    <row r="35" ht="18.75" customHeight="1">
      <c r="A35" s="9">
        <v>34.0</v>
      </c>
      <c r="B35" s="30">
        <v>44.0</v>
      </c>
      <c r="C35" s="31" t="s">
        <v>86</v>
      </c>
      <c r="D35" s="54" t="s">
        <v>88</v>
      </c>
      <c r="E35" s="30">
        <v>1.0</v>
      </c>
      <c r="F35" s="55">
        <v>160.0</v>
      </c>
      <c r="G35" s="56">
        <v>86.2</v>
      </c>
      <c r="H35" s="12">
        <f t="shared" si="1"/>
        <v>33.671875</v>
      </c>
      <c r="I35" s="18">
        <v>0.0</v>
      </c>
      <c r="J35" s="18">
        <v>2.0</v>
      </c>
      <c r="K35" s="18">
        <v>1.0</v>
      </c>
      <c r="L35" s="18">
        <v>0.0</v>
      </c>
      <c r="M35" s="18">
        <v>86.0</v>
      </c>
      <c r="N35" s="18">
        <v>0.0</v>
      </c>
      <c r="O35" s="18">
        <v>127.0</v>
      </c>
      <c r="P35" s="18">
        <v>1.0</v>
      </c>
      <c r="Q35" s="18">
        <v>40.0</v>
      </c>
      <c r="R35" s="18">
        <v>0.0</v>
      </c>
      <c r="S35" s="32">
        <v>100.2</v>
      </c>
      <c r="T35" s="18">
        <v>0.0</v>
      </c>
      <c r="U35" s="18">
        <v>100.0</v>
      </c>
      <c r="V35" s="18">
        <v>0.0</v>
      </c>
      <c r="W35" s="9">
        <v>0.0</v>
      </c>
      <c r="X35" s="18">
        <v>0.0</v>
      </c>
      <c r="Y35" s="18">
        <v>0.0</v>
      </c>
      <c r="Z35" s="18">
        <v>0.0</v>
      </c>
      <c r="AA35" s="18">
        <v>0.0</v>
      </c>
      <c r="AB35" s="18">
        <v>0.0</v>
      </c>
      <c r="AC35" s="18">
        <v>0.0</v>
      </c>
      <c r="AD35" s="18">
        <v>0.0</v>
      </c>
      <c r="AE35" s="18">
        <v>0.0</v>
      </c>
      <c r="AF35" s="18">
        <v>0.0</v>
      </c>
      <c r="AG35" s="18">
        <v>0.0</v>
      </c>
      <c r="AH35" s="18">
        <v>0.0</v>
      </c>
      <c r="AI35" s="18">
        <v>0.0</v>
      </c>
      <c r="AJ35" s="18">
        <v>0.0</v>
      </c>
      <c r="AK35" s="18">
        <v>0.0</v>
      </c>
      <c r="AL35" s="18">
        <v>0.0</v>
      </c>
      <c r="AM35" s="18">
        <v>0.0</v>
      </c>
      <c r="AN35" s="18">
        <v>0.0</v>
      </c>
      <c r="AO35" s="18">
        <v>0.0</v>
      </c>
      <c r="AP35" s="18" t="s">
        <v>84</v>
      </c>
      <c r="AQ35" s="18" t="s">
        <v>84</v>
      </c>
      <c r="AR35" s="18">
        <v>0.0</v>
      </c>
      <c r="AS35" s="9" t="s">
        <v>84</v>
      </c>
      <c r="AT35" s="9" t="s">
        <v>84</v>
      </c>
      <c r="AU35" s="9" t="s">
        <v>84</v>
      </c>
      <c r="AV35" s="9" t="s">
        <v>84</v>
      </c>
      <c r="AW35" s="18" t="s">
        <v>84</v>
      </c>
      <c r="AX35" s="33">
        <f>3.19/5.08</f>
        <v>0.6279527559</v>
      </c>
      <c r="AY35" s="34">
        <v>0.0</v>
      </c>
      <c r="AZ35" s="30">
        <v>0.0</v>
      </c>
      <c r="BA35" s="30">
        <v>0.0</v>
      </c>
      <c r="BB35" s="33">
        <f>2.96/3.41</f>
        <v>0.8680351906</v>
      </c>
      <c r="BC35" s="30">
        <v>1.0</v>
      </c>
      <c r="BD35" s="30">
        <v>0.0</v>
      </c>
      <c r="BE35" s="30">
        <v>0.0</v>
      </c>
      <c r="BF35" s="18">
        <v>0.0</v>
      </c>
      <c r="BG35" s="18" t="s">
        <v>84</v>
      </c>
      <c r="BH35" s="18">
        <v>0.0</v>
      </c>
      <c r="BI35" s="9">
        <v>0.0</v>
      </c>
      <c r="BJ35" s="18">
        <v>0.0</v>
      </c>
      <c r="BK35" s="18">
        <v>0.0</v>
      </c>
      <c r="BL35" s="18">
        <v>0.0</v>
      </c>
      <c r="BM35" s="18">
        <v>0.0</v>
      </c>
      <c r="BN35" s="18">
        <v>0.0</v>
      </c>
      <c r="BO35" s="18">
        <v>0.0</v>
      </c>
      <c r="BP35" s="9" t="s">
        <v>84</v>
      </c>
      <c r="BQ35" s="9" t="s">
        <v>84</v>
      </c>
      <c r="BR35" s="18">
        <v>0.0</v>
      </c>
      <c r="BS35" s="18">
        <v>0.0</v>
      </c>
      <c r="BT35" s="18">
        <v>0.0</v>
      </c>
      <c r="BU35" s="18">
        <v>0.0</v>
      </c>
      <c r="BV35" s="18">
        <v>0.0</v>
      </c>
      <c r="BW35" s="30">
        <v>0.0</v>
      </c>
      <c r="BX35" s="18">
        <v>0.0</v>
      </c>
      <c r="BY35" s="18">
        <v>0.0</v>
      </c>
      <c r="BZ35" s="18">
        <v>0.0</v>
      </c>
      <c r="CA35" s="18">
        <v>0.0</v>
      </c>
      <c r="CB35" s="18">
        <v>0.0</v>
      </c>
      <c r="CC35" s="36" t="s">
        <v>101</v>
      </c>
      <c r="CD35" s="16"/>
      <c r="CE35" s="16"/>
      <c r="CF35" s="16"/>
      <c r="CG35" s="16"/>
      <c r="CH35" s="16"/>
      <c r="CI35" s="16"/>
      <c r="CJ35" s="16"/>
      <c r="CK35" s="16"/>
      <c r="CL35" s="16"/>
      <c r="CM35" s="16"/>
      <c r="CN35" s="16"/>
      <c r="CO35" s="16"/>
      <c r="CP35" s="16"/>
      <c r="CQ35" s="16"/>
      <c r="CR35" s="16"/>
      <c r="CS35" s="16"/>
      <c r="CT35" s="16"/>
      <c r="CU35" s="16"/>
      <c r="CV35" s="16"/>
      <c r="CW35" s="16"/>
    </row>
    <row r="36" ht="18.75" customHeight="1">
      <c r="A36" s="9">
        <v>35.0</v>
      </c>
      <c r="B36" s="30">
        <v>55.0</v>
      </c>
      <c r="C36" s="31" t="s">
        <v>81</v>
      </c>
      <c r="D36" s="54" t="s">
        <v>82</v>
      </c>
      <c r="E36" s="30">
        <v>0.0</v>
      </c>
      <c r="F36" s="55">
        <v>172.7</v>
      </c>
      <c r="G36" s="56">
        <v>74.8</v>
      </c>
      <c r="H36" s="12">
        <f t="shared" si="1"/>
        <v>25.07938733</v>
      </c>
      <c r="I36" s="18">
        <v>1.0</v>
      </c>
      <c r="J36" s="18">
        <v>3.0</v>
      </c>
      <c r="K36" s="18">
        <v>1.0</v>
      </c>
      <c r="L36" s="18">
        <v>0.0</v>
      </c>
      <c r="M36" s="18">
        <v>84.0</v>
      </c>
      <c r="N36" s="18">
        <v>0.0</v>
      </c>
      <c r="O36" s="18">
        <v>136.0</v>
      </c>
      <c r="P36" s="18">
        <v>0.0</v>
      </c>
      <c r="Q36" s="18">
        <v>25.0</v>
      </c>
      <c r="R36" s="18">
        <v>0.0</v>
      </c>
      <c r="S36" s="32">
        <v>98.1</v>
      </c>
      <c r="T36" s="18">
        <v>0.0</v>
      </c>
      <c r="U36" s="18">
        <v>95.0</v>
      </c>
      <c r="V36" s="18">
        <v>1.0</v>
      </c>
      <c r="W36" s="9">
        <v>0.0</v>
      </c>
      <c r="X36" s="18">
        <v>0.0</v>
      </c>
      <c r="Y36" s="18">
        <v>0.0</v>
      </c>
      <c r="Z36" s="18">
        <v>0.0</v>
      </c>
      <c r="AA36" s="18">
        <v>1.0</v>
      </c>
      <c r="AB36" s="18">
        <v>0.0</v>
      </c>
      <c r="AC36" s="18">
        <v>1.0</v>
      </c>
      <c r="AD36" s="18">
        <v>0.0</v>
      </c>
      <c r="AE36" s="18">
        <v>0.0</v>
      </c>
      <c r="AF36" s="18">
        <v>0.0</v>
      </c>
      <c r="AG36" s="18">
        <v>1.0</v>
      </c>
      <c r="AH36" s="18">
        <v>1.0</v>
      </c>
      <c r="AI36" s="18">
        <v>0.0</v>
      </c>
      <c r="AJ36" s="18">
        <v>0.0</v>
      </c>
      <c r="AK36" s="18">
        <v>1.0</v>
      </c>
      <c r="AL36" s="18">
        <v>0.0</v>
      </c>
      <c r="AM36" s="18">
        <v>0.0</v>
      </c>
      <c r="AN36" s="18">
        <v>0.0</v>
      </c>
      <c r="AO36" s="18">
        <v>1.0</v>
      </c>
      <c r="AP36" s="18">
        <v>1.0</v>
      </c>
      <c r="AQ36" s="18">
        <v>0.0</v>
      </c>
      <c r="AR36" s="18">
        <v>0.0</v>
      </c>
      <c r="AS36" s="9" t="s">
        <v>84</v>
      </c>
      <c r="AT36" s="9" t="s">
        <v>84</v>
      </c>
      <c r="AU36" s="9" t="s">
        <v>84</v>
      </c>
      <c r="AV36" s="9" t="s">
        <v>84</v>
      </c>
      <c r="AW36" s="18">
        <v>43.0</v>
      </c>
      <c r="AX36" s="33">
        <f>4.05/4.81</f>
        <v>0.841995842</v>
      </c>
      <c r="AY36" s="34">
        <v>0.0</v>
      </c>
      <c r="AZ36" s="30">
        <v>0.0</v>
      </c>
      <c r="BA36" s="30">
        <v>0.0</v>
      </c>
      <c r="BB36" s="33">
        <f>3.33/3.24</f>
        <v>1.027777778</v>
      </c>
      <c r="BC36" s="30">
        <v>1.0</v>
      </c>
      <c r="BD36" s="30">
        <v>0.0</v>
      </c>
      <c r="BE36" s="30">
        <v>1.0</v>
      </c>
      <c r="BF36" s="18">
        <v>0.0</v>
      </c>
      <c r="BG36" s="18" t="s">
        <v>84</v>
      </c>
      <c r="BH36" s="18">
        <v>1.0</v>
      </c>
      <c r="BI36" s="9">
        <v>0.0</v>
      </c>
      <c r="BJ36" s="18">
        <v>0.0</v>
      </c>
      <c r="BK36" s="18">
        <v>0.0</v>
      </c>
      <c r="BL36" s="18">
        <v>0.0</v>
      </c>
      <c r="BM36" s="18">
        <v>0.0</v>
      </c>
      <c r="BN36" s="18">
        <v>0.0</v>
      </c>
      <c r="BO36" s="18">
        <v>0.0</v>
      </c>
      <c r="BP36" s="9" t="s">
        <v>84</v>
      </c>
      <c r="BQ36" s="9" t="s">
        <v>84</v>
      </c>
      <c r="BR36" s="18">
        <v>0.0</v>
      </c>
      <c r="BS36" s="18">
        <v>0.0</v>
      </c>
      <c r="BT36" s="18">
        <v>0.0</v>
      </c>
      <c r="BU36" s="18">
        <v>0.0</v>
      </c>
      <c r="BV36" s="18">
        <v>0.0</v>
      </c>
      <c r="BW36" s="30">
        <v>0.0</v>
      </c>
      <c r="BX36" s="18">
        <v>0.0</v>
      </c>
      <c r="BY36" s="18">
        <v>0.0</v>
      </c>
      <c r="BZ36" s="18">
        <v>0.0</v>
      </c>
      <c r="CA36" s="18">
        <v>0.0</v>
      </c>
      <c r="CB36" s="18">
        <v>0.0</v>
      </c>
      <c r="CC36" s="36" t="s">
        <v>168</v>
      </c>
      <c r="CD36" s="16"/>
      <c r="CE36" s="16"/>
      <c r="CF36" s="16"/>
      <c r="CG36" s="16"/>
      <c r="CH36" s="16"/>
      <c r="CI36" s="16"/>
      <c r="CJ36" s="16"/>
      <c r="CK36" s="16"/>
      <c r="CL36" s="16"/>
      <c r="CM36" s="16"/>
      <c r="CN36" s="16"/>
      <c r="CO36" s="16"/>
      <c r="CP36" s="16"/>
      <c r="CQ36" s="16"/>
      <c r="CR36" s="16"/>
      <c r="CS36" s="16"/>
      <c r="CT36" s="16"/>
      <c r="CU36" s="16"/>
      <c r="CV36" s="16"/>
      <c r="CW36" s="16"/>
    </row>
    <row r="37" ht="18.75" customHeight="1">
      <c r="A37" s="9">
        <v>36.0</v>
      </c>
      <c r="B37" s="30">
        <v>58.0</v>
      </c>
      <c r="C37" s="31" t="s">
        <v>81</v>
      </c>
      <c r="D37" s="31" t="s">
        <v>82</v>
      </c>
      <c r="E37" s="31" t="s">
        <v>103</v>
      </c>
      <c r="F37" s="55">
        <v>172.7</v>
      </c>
      <c r="G37" s="56">
        <v>117.9</v>
      </c>
      <c r="H37" s="12">
        <f t="shared" si="1"/>
        <v>39.53021077</v>
      </c>
      <c r="I37" s="9">
        <v>0.0</v>
      </c>
      <c r="J37" s="9">
        <v>2.0</v>
      </c>
      <c r="K37" s="9">
        <v>1.0</v>
      </c>
      <c r="L37" s="9">
        <v>0.0</v>
      </c>
      <c r="M37" s="9">
        <v>80.0</v>
      </c>
      <c r="N37" s="9">
        <v>0.0</v>
      </c>
      <c r="O37" s="9">
        <v>126.0</v>
      </c>
      <c r="P37" s="9">
        <v>0.0</v>
      </c>
      <c r="Q37" s="9">
        <v>18.0</v>
      </c>
      <c r="R37" s="9">
        <v>0.0</v>
      </c>
      <c r="S37" s="12">
        <v>98.2</v>
      </c>
      <c r="T37" s="9">
        <v>1.0</v>
      </c>
      <c r="U37" s="9" t="s">
        <v>84</v>
      </c>
      <c r="V37" s="9">
        <v>1.0</v>
      </c>
      <c r="W37" s="9">
        <v>0.0</v>
      </c>
      <c r="X37" s="9">
        <v>0.0</v>
      </c>
      <c r="Y37" s="9">
        <v>0.0</v>
      </c>
      <c r="Z37" s="9">
        <v>0.0</v>
      </c>
      <c r="AA37" s="9">
        <v>0.0</v>
      </c>
      <c r="AB37" s="9">
        <v>0.0</v>
      </c>
      <c r="AC37" s="9">
        <v>0.0</v>
      </c>
      <c r="AD37" s="9">
        <v>0.0</v>
      </c>
      <c r="AE37" s="9">
        <v>0.0</v>
      </c>
      <c r="AF37" s="9">
        <v>0.0</v>
      </c>
      <c r="AG37" s="9">
        <v>0.0</v>
      </c>
      <c r="AH37" s="9">
        <v>0.0</v>
      </c>
      <c r="AI37" s="9">
        <v>0.0</v>
      </c>
      <c r="AJ37" s="9">
        <v>0.0</v>
      </c>
      <c r="AK37" s="9">
        <v>0.0</v>
      </c>
      <c r="AL37" s="9">
        <v>0.0</v>
      </c>
      <c r="AM37" s="9">
        <v>0.0</v>
      </c>
      <c r="AN37" s="9">
        <v>0.0</v>
      </c>
      <c r="AO37" s="9" t="s">
        <v>84</v>
      </c>
      <c r="AP37" s="9" t="s">
        <v>84</v>
      </c>
      <c r="AQ37" s="9">
        <v>0.0</v>
      </c>
      <c r="AR37" s="9">
        <v>0.0</v>
      </c>
      <c r="AS37" s="9" t="s">
        <v>84</v>
      </c>
      <c r="AT37" s="9" t="s">
        <v>84</v>
      </c>
      <c r="AU37" s="9" t="s">
        <v>84</v>
      </c>
      <c r="AV37" s="9" t="s">
        <v>84</v>
      </c>
      <c r="AW37" s="9" t="s">
        <v>84</v>
      </c>
      <c r="AX37" s="33">
        <f>4.47/5.87</f>
        <v>0.7614991482</v>
      </c>
      <c r="AY37" s="34">
        <v>0.0</v>
      </c>
      <c r="AZ37" s="30">
        <v>0.0</v>
      </c>
      <c r="BA37" s="30">
        <v>0.0</v>
      </c>
      <c r="BB37" s="33">
        <f>3.14/3.7</f>
        <v>0.8486486486</v>
      </c>
      <c r="BC37" s="30">
        <v>1.0</v>
      </c>
      <c r="BD37" s="30">
        <v>0.0</v>
      </c>
      <c r="BE37" s="30">
        <v>0.0</v>
      </c>
      <c r="BF37" s="9">
        <v>0.0</v>
      </c>
      <c r="BG37" s="9" t="s">
        <v>84</v>
      </c>
      <c r="BH37" s="9">
        <v>0.0</v>
      </c>
      <c r="BI37" s="9">
        <v>0.0</v>
      </c>
      <c r="BJ37" s="9">
        <v>0.0</v>
      </c>
      <c r="BK37" s="9">
        <v>0.0</v>
      </c>
      <c r="BL37" s="9">
        <v>0.0</v>
      </c>
      <c r="BM37" s="9">
        <v>0.0</v>
      </c>
      <c r="BN37" s="9">
        <v>0.0</v>
      </c>
      <c r="BO37" s="9">
        <v>0.0</v>
      </c>
      <c r="BP37" s="9" t="s">
        <v>84</v>
      </c>
      <c r="BQ37" s="9" t="s">
        <v>84</v>
      </c>
      <c r="BR37" s="9">
        <v>0.0</v>
      </c>
      <c r="BS37" s="9">
        <v>0.0</v>
      </c>
      <c r="BT37" s="18">
        <v>0.0</v>
      </c>
      <c r="BU37" s="9">
        <v>0.0</v>
      </c>
      <c r="BV37" s="9">
        <v>0.0</v>
      </c>
      <c r="BW37" s="9">
        <v>0.0</v>
      </c>
      <c r="BX37" s="9">
        <v>0.0</v>
      </c>
      <c r="BY37" s="9">
        <v>0.0</v>
      </c>
      <c r="BZ37" s="9">
        <v>0.0</v>
      </c>
      <c r="CA37" s="9">
        <v>0.0</v>
      </c>
      <c r="CB37" s="9">
        <v>0.0</v>
      </c>
      <c r="CC37" s="15" t="s">
        <v>101</v>
      </c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</row>
    <row r="38" ht="18.75" customHeight="1">
      <c r="A38" s="9">
        <v>37.0</v>
      </c>
      <c r="B38" s="30">
        <v>69.0</v>
      </c>
      <c r="C38" s="31" t="s">
        <v>86</v>
      </c>
      <c r="D38" s="31" t="s">
        <v>82</v>
      </c>
      <c r="E38" s="31" t="s">
        <v>90</v>
      </c>
      <c r="F38" s="55">
        <v>162.6</v>
      </c>
      <c r="G38" s="56">
        <v>99.3</v>
      </c>
      <c r="H38" s="12">
        <f t="shared" si="1"/>
        <v>37.55849367</v>
      </c>
      <c r="I38" s="9">
        <v>1.0</v>
      </c>
      <c r="J38" s="9">
        <v>3.0</v>
      </c>
      <c r="K38" s="9">
        <v>1.0</v>
      </c>
      <c r="L38" s="9">
        <v>0.0</v>
      </c>
      <c r="M38" s="9">
        <v>89.0</v>
      </c>
      <c r="N38" s="9">
        <v>0.0</v>
      </c>
      <c r="O38" s="9">
        <v>138.0</v>
      </c>
      <c r="P38" s="9">
        <v>0.0</v>
      </c>
      <c r="Q38" s="9">
        <v>18.0</v>
      </c>
      <c r="R38" s="9">
        <v>0.0</v>
      </c>
      <c r="S38" s="12">
        <v>98.6</v>
      </c>
      <c r="T38" s="9">
        <v>0.0</v>
      </c>
      <c r="U38" s="9">
        <v>99.0</v>
      </c>
      <c r="V38" s="9">
        <v>0.0</v>
      </c>
      <c r="W38" s="9">
        <v>0.0</v>
      </c>
      <c r="X38" s="9">
        <v>0.0</v>
      </c>
      <c r="Y38" s="9">
        <v>0.0</v>
      </c>
      <c r="Z38" s="9">
        <v>0.0</v>
      </c>
      <c r="AA38" s="9">
        <v>1.0</v>
      </c>
      <c r="AB38" s="9">
        <v>0.0</v>
      </c>
      <c r="AC38" s="9">
        <v>0.0</v>
      </c>
      <c r="AD38" s="9">
        <v>0.0</v>
      </c>
      <c r="AE38" s="9">
        <v>1.0</v>
      </c>
      <c r="AF38" s="9">
        <v>0.0</v>
      </c>
      <c r="AG38" s="9">
        <v>1.0</v>
      </c>
      <c r="AH38" s="9">
        <v>1.0</v>
      </c>
      <c r="AI38" s="9">
        <v>1.0</v>
      </c>
      <c r="AJ38" s="9">
        <v>0.0</v>
      </c>
      <c r="AK38" s="9">
        <v>0.0</v>
      </c>
      <c r="AL38" s="9">
        <v>0.0</v>
      </c>
      <c r="AM38" s="9">
        <v>0.0</v>
      </c>
      <c r="AN38" s="9">
        <v>0.0</v>
      </c>
      <c r="AO38" s="9">
        <v>1.0</v>
      </c>
      <c r="AP38" s="9">
        <v>0.0</v>
      </c>
      <c r="AQ38" s="9">
        <v>0.0</v>
      </c>
      <c r="AR38" s="9">
        <v>0.0</v>
      </c>
      <c r="AS38" s="9">
        <v>0.0</v>
      </c>
      <c r="AT38" s="9">
        <v>0.0</v>
      </c>
      <c r="AU38" s="9">
        <v>0.0</v>
      </c>
      <c r="AV38" s="9">
        <v>0.0</v>
      </c>
      <c r="AW38" s="9">
        <v>42.0</v>
      </c>
      <c r="AX38" s="33">
        <f>3.66/4.83</f>
        <v>0.7577639752</v>
      </c>
      <c r="AY38" s="34">
        <v>0.0</v>
      </c>
      <c r="AZ38" s="30">
        <v>0.0</v>
      </c>
      <c r="BA38" s="30">
        <v>0.0</v>
      </c>
      <c r="BB38" s="33">
        <f>3.02/3.13</f>
        <v>0.96485623</v>
      </c>
      <c r="BC38" s="30">
        <v>1.0</v>
      </c>
      <c r="BD38" s="30">
        <v>0.0</v>
      </c>
      <c r="BE38" s="30">
        <v>0.0</v>
      </c>
      <c r="BF38" s="9">
        <v>0.0</v>
      </c>
      <c r="BG38" s="9" t="s">
        <v>84</v>
      </c>
      <c r="BH38" s="9">
        <v>0.0</v>
      </c>
      <c r="BI38" s="9">
        <v>0.0</v>
      </c>
      <c r="BJ38" s="9">
        <v>0.0</v>
      </c>
      <c r="BK38" s="9">
        <v>0.0</v>
      </c>
      <c r="BL38" s="9">
        <v>0.0</v>
      </c>
      <c r="BM38" s="9">
        <v>0.0</v>
      </c>
      <c r="BN38" s="9">
        <v>0.0</v>
      </c>
      <c r="BO38" s="9">
        <v>0.0</v>
      </c>
      <c r="BP38" s="9" t="s">
        <v>84</v>
      </c>
      <c r="BQ38" s="9" t="s">
        <v>84</v>
      </c>
      <c r="BR38" s="9">
        <v>0.0</v>
      </c>
      <c r="BS38" s="9">
        <v>0.0</v>
      </c>
      <c r="BT38" s="18">
        <v>0.0</v>
      </c>
      <c r="BU38" s="9">
        <v>0.0</v>
      </c>
      <c r="BV38" s="9">
        <v>0.0</v>
      </c>
      <c r="BW38" s="9">
        <v>0.0</v>
      </c>
      <c r="BX38" s="9">
        <v>0.0</v>
      </c>
      <c r="BY38" s="9">
        <v>0.0</v>
      </c>
      <c r="BZ38" s="9">
        <v>0.0</v>
      </c>
      <c r="CA38" s="9">
        <v>0.0</v>
      </c>
      <c r="CB38" s="9">
        <v>0.0</v>
      </c>
      <c r="CC38" s="15" t="s">
        <v>87</v>
      </c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</row>
    <row r="39" ht="18.75" customHeight="1">
      <c r="A39" s="9">
        <v>38.0</v>
      </c>
      <c r="B39" s="30">
        <v>25.0</v>
      </c>
      <c r="C39" s="31" t="s">
        <v>81</v>
      </c>
      <c r="D39" s="31" t="s">
        <v>82</v>
      </c>
      <c r="E39" s="31" t="s">
        <v>93</v>
      </c>
      <c r="F39" s="55">
        <v>185.4</v>
      </c>
      <c r="G39" s="56">
        <v>149.69</v>
      </c>
      <c r="H39" s="12">
        <f t="shared" si="1"/>
        <v>43.54851285</v>
      </c>
      <c r="I39" s="9">
        <v>1.0</v>
      </c>
      <c r="J39" s="9">
        <v>2.0</v>
      </c>
      <c r="K39" s="9">
        <v>4.0</v>
      </c>
      <c r="L39" s="9">
        <v>1.0</v>
      </c>
      <c r="M39" s="9">
        <v>112.0</v>
      </c>
      <c r="N39" s="9">
        <v>0.0</v>
      </c>
      <c r="O39" s="9">
        <v>157.0</v>
      </c>
      <c r="P39" s="9">
        <v>0.0</v>
      </c>
      <c r="Q39" s="9">
        <v>20.0</v>
      </c>
      <c r="R39" s="9">
        <v>0.0</v>
      </c>
      <c r="S39" s="12">
        <v>99.9</v>
      </c>
      <c r="T39" s="9">
        <v>0.0</v>
      </c>
      <c r="U39" s="9">
        <v>100.0</v>
      </c>
      <c r="V39" s="9">
        <v>0.0</v>
      </c>
      <c r="W39" s="9">
        <v>0.0</v>
      </c>
      <c r="X39" s="9">
        <v>0.0</v>
      </c>
      <c r="Y39" s="9">
        <v>0.0</v>
      </c>
      <c r="Z39" s="9">
        <v>1.0</v>
      </c>
      <c r="AA39" s="9">
        <v>1.0</v>
      </c>
      <c r="AB39" s="9">
        <v>0.0</v>
      </c>
      <c r="AC39" s="9">
        <v>0.0</v>
      </c>
      <c r="AD39" s="9">
        <v>0.0</v>
      </c>
      <c r="AE39" s="9">
        <v>0.0</v>
      </c>
      <c r="AF39" s="9">
        <v>0.0</v>
      </c>
      <c r="AG39" s="9">
        <v>1.0</v>
      </c>
      <c r="AH39" s="9">
        <v>0.0</v>
      </c>
      <c r="AI39" s="9">
        <v>1.0</v>
      </c>
      <c r="AJ39" s="9">
        <v>1.0</v>
      </c>
      <c r="AK39" s="9">
        <v>0.0</v>
      </c>
      <c r="AL39" s="9">
        <v>1.0</v>
      </c>
      <c r="AM39" s="9">
        <v>0.0</v>
      </c>
      <c r="AN39" s="9">
        <v>0.0</v>
      </c>
      <c r="AO39" s="9">
        <v>0.0</v>
      </c>
      <c r="AP39" s="9" t="s">
        <v>84</v>
      </c>
      <c r="AQ39" s="9" t="s">
        <v>84</v>
      </c>
      <c r="AR39" s="9" t="s">
        <v>84</v>
      </c>
      <c r="AS39" s="9" t="s">
        <v>84</v>
      </c>
      <c r="AT39" s="9" t="s">
        <v>84</v>
      </c>
      <c r="AU39" s="9" t="s">
        <v>84</v>
      </c>
      <c r="AV39" s="9" t="s">
        <v>84</v>
      </c>
      <c r="AW39" s="9" t="s">
        <v>84</v>
      </c>
      <c r="AX39" s="33">
        <f>4.03/4.85</f>
        <v>0.8309278351</v>
      </c>
      <c r="AY39" s="34">
        <v>0.0</v>
      </c>
      <c r="AZ39" s="30">
        <v>0.0</v>
      </c>
      <c r="BA39" s="30">
        <v>0.0</v>
      </c>
      <c r="BB39" s="33">
        <f>2.52/3.1</f>
        <v>0.8129032258</v>
      </c>
      <c r="BC39" s="30">
        <v>2.0</v>
      </c>
      <c r="BD39" s="30">
        <v>0.0</v>
      </c>
      <c r="BE39" s="30">
        <v>0.0</v>
      </c>
      <c r="BF39" s="9">
        <v>0.0</v>
      </c>
      <c r="BG39" s="9" t="s">
        <v>84</v>
      </c>
      <c r="BH39" s="9">
        <v>0.0</v>
      </c>
      <c r="BI39" s="9">
        <v>0.0</v>
      </c>
      <c r="BJ39" s="9">
        <v>0.0</v>
      </c>
      <c r="BK39" s="9">
        <v>0.0</v>
      </c>
      <c r="BL39" s="9">
        <v>0.0</v>
      </c>
      <c r="BM39" s="9">
        <v>0.0</v>
      </c>
      <c r="BN39" s="9">
        <v>0.0</v>
      </c>
      <c r="BO39" s="9">
        <v>0.0</v>
      </c>
      <c r="BP39" s="9" t="s">
        <v>84</v>
      </c>
      <c r="BQ39" s="9" t="s">
        <v>84</v>
      </c>
      <c r="BR39" s="9">
        <v>0.0</v>
      </c>
      <c r="BS39" s="9">
        <v>0.0</v>
      </c>
      <c r="BT39" s="18">
        <v>0.0</v>
      </c>
      <c r="BU39" s="9">
        <v>0.0</v>
      </c>
      <c r="BV39" s="9">
        <v>0.0</v>
      </c>
      <c r="BW39" s="9">
        <v>0.0</v>
      </c>
      <c r="BX39" s="9">
        <v>0.0</v>
      </c>
      <c r="BY39" s="9">
        <v>0.0</v>
      </c>
      <c r="BZ39" s="9">
        <v>0.0</v>
      </c>
      <c r="CA39" s="9">
        <v>0.0</v>
      </c>
      <c r="CB39" s="9">
        <v>0.0</v>
      </c>
      <c r="CC39" s="15" t="s">
        <v>169</v>
      </c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</row>
    <row r="40" ht="18.75" customHeight="1">
      <c r="A40" s="9">
        <v>39.0</v>
      </c>
      <c r="B40" s="30">
        <v>72.0</v>
      </c>
      <c r="C40" s="31" t="s">
        <v>86</v>
      </c>
      <c r="D40" s="31" t="s">
        <v>82</v>
      </c>
      <c r="E40" s="31" t="s">
        <v>93</v>
      </c>
      <c r="F40" s="55">
        <v>177.8</v>
      </c>
      <c r="G40" s="56">
        <v>95.3</v>
      </c>
      <c r="H40" s="12">
        <f t="shared" si="1"/>
        <v>30.14597866</v>
      </c>
      <c r="I40" s="9">
        <v>1.0</v>
      </c>
      <c r="J40" s="9">
        <v>3.0</v>
      </c>
      <c r="K40" s="9">
        <v>4.0</v>
      </c>
      <c r="L40" s="9">
        <v>0.0</v>
      </c>
      <c r="M40" s="9">
        <v>75.0</v>
      </c>
      <c r="N40" s="9">
        <v>0.0</v>
      </c>
      <c r="O40" s="9">
        <v>137.0</v>
      </c>
      <c r="P40" s="9">
        <v>0.0</v>
      </c>
      <c r="Q40" s="9">
        <v>26.0</v>
      </c>
      <c r="R40" s="9">
        <v>0.0</v>
      </c>
      <c r="S40" s="12">
        <v>98.2</v>
      </c>
      <c r="T40" s="9">
        <v>1.0</v>
      </c>
      <c r="U40" s="9">
        <v>88.0</v>
      </c>
      <c r="V40" s="9">
        <v>1.0</v>
      </c>
      <c r="W40" s="9">
        <v>0.0</v>
      </c>
      <c r="X40" s="9">
        <v>0.0</v>
      </c>
      <c r="Y40" s="9">
        <v>1.0</v>
      </c>
      <c r="Z40" s="9">
        <v>0.0</v>
      </c>
      <c r="AA40" s="9">
        <v>0.0</v>
      </c>
      <c r="AB40" s="9">
        <v>0.0</v>
      </c>
      <c r="AC40" s="9">
        <v>0.0</v>
      </c>
      <c r="AD40" s="9">
        <v>0.0</v>
      </c>
      <c r="AE40" s="9">
        <v>0.0</v>
      </c>
      <c r="AF40" s="9">
        <v>0.0</v>
      </c>
      <c r="AG40" s="9">
        <v>0.0</v>
      </c>
      <c r="AH40" s="9">
        <v>1.0</v>
      </c>
      <c r="AI40" s="9">
        <v>0.0</v>
      </c>
      <c r="AJ40" s="9">
        <v>0.0</v>
      </c>
      <c r="AK40" s="9">
        <v>1.0</v>
      </c>
      <c r="AL40" s="9">
        <v>0.0</v>
      </c>
      <c r="AM40" s="9">
        <v>0.0</v>
      </c>
      <c r="AN40" s="9">
        <v>0.0</v>
      </c>
      <c r="AO40" s="9" t="s">
        <v>84</v>
      </c>
      <c r="AP40" s="9" t="s">
        <v>84</v>
      </c>
      <c r="AQ40" s="9" t="s">
        <v>84</v>
      </c>
      <c r="AR40" s="9" t="s">
        <v>84</v>
      </c>
      <c r="AS40" s="9" t="s">
        <v>84</v>
      </c>
      <c r="AT40" s="9" t="s">
        <v>84</v>
      </c>
      <c r="AU40" s="9" t="s">
        <v>84</v>
      </c>
      <c r="AV40" s="9" t="s">
        <v>84</v>
      </c>
      <c r="AW40" s="9" t="s">
        <v>84</v>
      </c>
      <c r="AX40" s="33">
        <f>4.35/4.12</f>
        <v>1.055825243</v>
      </c>
      <c r="AY40" s="34">
        <v>0.0</v>
      </c>
      <c r="AZ40" s="30">
        <v>0.0</v>
      </c>
      <c r="BA40" s="30">
        <v>1.0</v>
      </c>
      <c r="BB40" s="33">
        <f>2.86/3.09</f>
        <v>0.925566343</v>
      </c>
      <c r="BC40" s="30">
        <v>1.0</v>
      </c>
      <c r="BD40" s="30">
        <v>0.0</v>
      </c>
      <c r="BE40" s="30">
        <v>0.0</v>
      </c>
      <c r="BF40" s="9">
        <v>0.0</v>
      </c>
      <c r="BG40" s="9" t="s">
        <v>84</v>
      </c>
      <c r="BH40" s="9">
        <v>0.0</v>
      </c>
      <c r="BI40" s="9">
        <v>0.0</v>
      </c>
      <c r="BJ40" s="9">
        <v>0.0</v>
      </c>
      <c r="BK40" s="9">
        <v>0.0</v>
      </c>
      <c r="BL40" s="9">
        <v>0.0</v>
      </c>
      <c r="BM40" s="9">
        <v>0.0</v>
      </c>
      <c r="BN40" s="9">
        <v>0.0</v>
      </c>
      <c r="BO40" s="9">
        <v>0.0</v>
      </c>
      <c r="BP40" s="9" t="s">
        <v>84</v>
      </c>
      <c r="BQ40" s="9" t="s">
        <v>84</v>
      </c>
      <c r="BR40" s="9">
        <v>0.0</v>
      </c>
      <c r="BS40" s="9">
        <v>0.0</v>
      </c>
      <c r="BT40" s="18">
        <v>0.0</v>
      </c>
      <c r="BU40" s="9">
        <v>0.0</v>
      </c>
      <c r="BV40" s="9">
        <v>0.0</v>
      </c>
      <c r="BW40" s="9">
        <v>0.0</v>
      </c>
      <c r="BX40" s="9">
        <v>0.0</v>
      </c>
      <c r="BY40" s="9">
        <v>0.0</v>
      </c>
      <c r="BZ40" s="9">
        <v>0.0</v>
      </c>
      <c r="CA40" s="9">
        <v>0.0</v>
      </c>
      <c r="CB40" s="9">
        <v>0.0</v>
      </c>
      <c r="CC40" s="15" t="s">
        <v>101</v>
      </c>
      <c r="CD40" s="57"/>
      <c r="CE40" s="57"/>
      <c r="CF40" s="57"/>
      <c r="CG40" s="57"/>
      <c r="CH40" s="57"/>
      <c r="CI40" s="57"/>
      <c r="CJ40" s="57"/>
      <c r="CK40" s="57"/>
      <c r="CL40" s="57"/>
      <c r="CM40" s="57"/>
      <c r="CN40" s="57"/>
      <c r="CO40" s="57"/>
      <c r="CP40" s="57"/>
      <c r="CQ40" s="57"/>
      <c r="CR40" s="57"/>
      <c r="CS40" s="57"/>
      <c r="CT40" s="57"/>
      <c r="CU40" s="57"/>
      <c r="CV40" s="57"/>
      <c r="CW40" s="57"/>
    </row>
    <row r="41" ht="18.75" customHeight="1">
      <c r="A41" s="9">
        <v>40.0</v>
      </c>
      <c r="B41" s="30">
        <v>53.0</v>
      </c>
      <c r="C41" s="31" t="s">
        <v>81</v>
      </c>
      <c r="D41" s="31" t="s">
        <v>82</v>
      </c>
      <c r="E41" s="31" t="s">
        <v>123</v>
      </c>
      <c r="F41" s="55">
        <v>180.3</v>
      </c>
      <c r="G41" s="56">
        <v>107.0</v>
      </c>
      <c r="H41" s="12">
        <f t="shared" si="1"/>
        <v>32.91488365</v>
      </c>
      <c r="I41" s="9">
        <v>1.0</v>
      </c>
      <c r="J41" s="9">
        <v>4.0</v>
      </c>
      <c r="K41" s="9">
        <v>2.0</v>
      </c>
      <c r="L41" s="9">
        <v>1.0</v>
      </c>
      <c r="M41" s="9">
        <v>115.0</v>
      </c>
      <c r="N41" s="9">
        <v>0.0</v>
      </c>
      <c r="O41" s="9">
        <v>125.0</v>
      </c>
      <c r="P41" s="9">
        <v>0.0</v>
      </c>
      <c r="Q41" s="9">
        <v>24.0</v>
      </c>
      <c r="R41" s="9">
        <v>1.0</v>
      </c>
      <c r="S41" s="12">
        <v>96.5</v>
      </c>
      <c r="T41" s="9">
        <v>1.0</v>
      </c>
      <c r="U41" s="9" t="s">
        <v>84</v>
      </c>
      <c r="V41" s="9">
        <v>1.0</v>
      </c>
      <c r="W41" s="9">
        <v>0.0</v>
      </c>
      <c r="X41" s="9">
        <v>0.0</v>
      </c>
      <c r="Y41" s="9">
        <v>1.0</v>
      </c>
      <c r="Z41" s="9">
        <v>0.0</v>
      </c>
      <c r="AA41" s="9">
        <v>0.0</v>
      </c>
      <c r="AB41" s="9">
        <v>0.0</v>
      </c>
      <c r="AC41" s="9">
        <v>0.0</v>
      </c>
      <c r="AD41" s="9">
        <v>1.0</v>
      </c>
      <c r="AE41" s="9">
        <v>0.0</v>
      </c>
      <c r="AF41" s="9">
        <v>0.0</v>
      </c>
      <c r="AG41" s="9">
        <v>0.0</v>
      </c>
      <c r="AH41" s="9">
        <v>0.0</v>
      </c>
      <c r="AI41" s="9">
        <v>0.0</v>
      </c>
      <c r="AJ41" s="9">
        <v>0.0</v>
      </c>
      <c r="AK41" s="9">
        <v>0.0</v>
      </c>
      <c r="AL41" s="9">
        <v>0.0</v>
      </c>
      <c r="AM41" s="9">
        <v>0.0</v>
      </c>
      <c r="AN41" s="9">
        <v>0.0</v>
      </c>
      <c r="AO41" s="9">
        <v>0.0</v>
      </c>
      <c r="AP41" s="9" t="s">
        <v>84</v>
      </c>
      <c r="AQ41" s="9">
        <v>1.0</v>
      </c>
      <c r="AR41" s="9">
        <v>1.0</v>
      </c>
      <c r="AS41" s="9">
        <v>1.0</v>
      </c>
      <c r="AT41" s="9">
        <v>1.0</v>
      </c>
      <c r="AU41" s="9">
        <v>1.0</v>
      </c>
      <c r="AV41" s="9">
        <v>0.0</v>
      </c>
      <c r="AW41" s="9" t="s">
        <v>97</v>
      </c>
      <c r="AX41" s="33">
        <f>6.33/4.35</f>
        <v>1.455172414</v>
      </c>
      <c r="AY41" s="34">
        <v>0.0</v>
      </c>
      <c r="AZ41" s="30">
        <v>0.0</v>
      </c>
      <c r="BA41" s="30">
        <v>1.0</v>
      </c>
      <c r="BB41" s="33">
        <f>4.16/3.9</f>
        <v>1.066666667</v>
      </c>
      <c r="BC41" s="30">
        <v>4.0</v>
      </c>
      <c r="BD41" s="30">
        <v>1.0</v>
      </c>
      <c r="BE41" s="30">
        <v>1.0</v>
      </c>
      <c r="BF41" s="9">
        <v>0.0</v>
      </c>
      <c r="BG41" s="9" t="s">
        <v>84</v>
      </c>
      <c r="BH41" s="9">
        <v>1.0</v>
      </c>
      <c r="BI41" s="9">
        <v>0.0</v>
      </c>
      <c r="BJ41" s="9">
        <v>0.0</v>
      </c>
      <c r="BK41" s="9">
        <v>0.0</v>
      </c>
      <c r="BL41" s="9">
        <v>0.0</v>
      </c>
      <c r="BM41" s="9">
        <v>1.0</v>
      </c>
      <c r="BN41" s="9">
        <v>0.0</v>
      </c>
      <c r="BO41" s="9">
        <v>1.0</v>
      </c>
      <c r="BP41" s="9">
        <v>0.0</v>
      </c>
      <c r="BQ41" s="9">
        <v>0.0</v>
      </c>
      <c r="BR41" s="9">
        <v>1.0</v>
      </c>
      <c r="BS41" s="9" t="s">
        <v>170</v>
      </c>
      <c r="BT41" s="18">
        <v>0.0</v>
      </c>
      <c r="BU41" s="9">
        <v>0.0</v>
      </c>
      <c r="BV41" s="9">
        <v>0.0</v>
      </c>
      <c r="BW41" s="9">
        <v>0.0</v>
      </c>
      <c r="BX41" s="9">
        <v>0.0</v>
      </c>
      <c r="BY41" s="9">
        <v>1.0</v>
      </c>
      <c r="BZ41" s="9">
        <v>0.0</v>
      </c>
      <c r="CA41" s="9">
        <v>0.0</v>
      </c>
      <c r="CB41" s="9">
        <v>0.0</v>
      </c>
      <c r="CC41" s="15" t="s">
        <v>101</v>
      </c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</row>
    <row r="42" ht="18.75" customHeight="1">
      <c r="A42" s="9">
        <v>41.0</v>
      </c>
      <c r="B42" s="30">
        <v>66.0</v>
      </c>
      <c r="C42" s="31" t="s">
        <v>86</v>
      </c>
      <c r="D42" s="31" t="s">
        <v>82</v>
      </c>
      <c r="E42" s="31" t="s">
        <v>103</v>
      </c>
      <c r="F42" s="55">
        <v>185.4</v>
      </c>
      <c r="G42" s="56">
        <v>113.4</v>
      </c>
      <c r="H42" s="12">
        <f t="shared" si="1"/>
        <v>32.99085682</v>
      </c>
      <c r="I42" s="9">
        <v>0.0</v>
      </c>
      <c r="J42" s="9">
        <v>2.0</v>
      </c>
      <c r="K42" s="9">
        <v>1.0</v>
      </c>
      <c r="L42" s="9">
        <v>0.0</v>
      </c>
      <c r="M42" s="9">
        <v>68.0</v>
      </c>
      <c r="N42" s="9">
        <v>0.0</v>
      </c>
      <c r="O42" s="9">
        <v>168.0</v>
      </c>
      <c r="P42" s="9">
        <v>0.0</v>
      </c>
      <c r="Q42" s="9">
        <v>26.0</v>
      </c>
      <c r="R42" s="9">
        <v>0.0</v>
      </c>
      <c r="S42" s="12">
        <v>99.4</v>
      </c>
      <c r="T42" s="9">
        <v>0.0</v>
      </c>
      <c r="U42" s="9">
        <v>95.0</v>
      </c>
      <c r="V42" s="9">
        <v>0.0</v>
      </c>
      <c r="W42" s="9">
        <v>0.0</v>
      </c>
      <c r="X42" s="9">
        <v>0.0</v>
      </c>
      <c r="Y42" s="9">
        <v>0.0</v>
      </c>
      <c r="Z42" s="9">
        <v>0.0</v>
      </c>
      <c r="AA42" s="9">
        <v>0.0</v>
      </c>
      <c r="AB42" s="9">
        <v>0.0</v>
      </c>
      <c r="AC42" s="9">
        <v>0.0</v>
      </c>
      <c r="AD42" s="9">
        <v>0.0</v>
      </c>
      <c r="AE42" s="9">
        <v>0.0</v>
      </c>
      <c r="AF42" s="9">
        <v>0.0</v>
      </c>
      <c r="AG42" s="9">
        <v>1.0</v>
      </c>
      <c r="AH42" s="9">
        <v>0.0</v>
      </c>
      <c r="AI42" s="9">
        <v>1.0</v>
      </c>
      <c r="AJ42" s="9">
        <v>1.0</v>
      </c>
      <c r="AK42" s="9">
        <v>0.0</v>
      </c>
      <c r="AL42" s="9">
        <v>0.0</v>
      </c>
      <c r="AM42" s="9">
        <v>0.0</v>
      </c>
      <c r="AN42" s="9">
        <v>0.0</v>
      </c>
      <c r="AO42" s="9" t="s">
        <v>84</v>
      </c>
      <c r="AP42" s="9" t="s">
        <v>84</v>
      </c>
      <c r="AQ42" s="9">
        <v>0.0</v>
      </c>
      <c r="AR42" s="9">
        <v>0.0</v>
      </c>
      <c r="AS42" s="9" t="s">
        <v>84</v>
      </c>
      <c r="AT42" s="9" t="s">
        <v>84</v>
      </c>
      <c r="AU42" s="9" t="s">
        <v>84</v>
      </c>
      <c r="AV42" s="9" t="s">
        <v>84</v>
      </c>
      <c r="AW42" s="9" t="s">
        <v>84</v>
      </c>
      <c r="AX42" s="33">
        <f>4.57/5.62</f>
        <v>0.8131672598</v>
      </c>
      <c r="AY42" s="34">
        <v>0.0</v>
      </c>
      <c r="AZ42" s="30">
        <v>0.0</v>
      </c>
      <c r="BA42" s="30">
        <v>0.0</v>
      </c>
      <c r="BB42" s="33">
        <f>2.39/3.6</f>
        <v>0.6638888889</v>
      </c>
      <c r="BC42" s="30">
        <v>2.0</v>
      </c>
      <c r="BD42" s="30">
        <v>0.0</v>
      </c>
      <c r="BE42" s="30">
        <v>0.0</v>
      </c>
      <c r="BF42" s="9">
        <v>0.0</v>
      </c>
      <c r="BG42" s="9" t="s">
        <v>84</v>
      </c>
      <c r="BH42" s="9">
        <v>0.0</v>
      </c>
      <c r="BI42" s="9">
        <v>0.0</v>
      </c>
      <c r="BJ42" s="9">
        <v>0.0</v>
      </c>
      <c r="BK42" s="9">
        <v>0.0</v>
      </c>
      <c r="BL42" s="9">
        <v>0.0</v>
      </c>
      <c r="BM42" s="9">
        <v>0.0</v>
      </c>
      <c r="BN42" s="9">
        <v>0.0</v>
      </c>
      <c r="BO42" s="9">
        <v>0.0</v>
      </c>
      <c r="BP42" s="9" t="s">
        <v>84</v>
      </c>
      <c r="BQ42" s="9" t="s">
        <v>84</v>
      </c>
      <c r="BR42" s="9">
        <v>0.0</v>
      </c>
      <c r="BS42" s="9">
        <v>0.0</v>
      </c>
      <c r="BT42" s="18">
        <v>0.0</v>
      </c>
      <c r="BU42" s="9">
        <v>0.0</v>
      </c>
      <c r="BV42" s="9">
        <v>0.0</v>
      </c>
      <c r="BW42" s="9">
        <v>0.0</v>
      </c>
      <c r="BX42" s="9">
        <v>0.0</v>
      </c>
      <c r="BY42" s="9">
        <v>0.0</v>
      </c>
      <c r="BZ42" s="9">
        <v>0.0</v>
      </c>
      <c r="CA42" s="9">
        <v>0.0</v>
      </c>
      <c r="CB42" s="9">
        <v>0.0</v>
      </c>
      <c r="CC42" s="15" t="s">
        <v>171</v>
      </c>
      <c r="CD42" s="57"/>
      <c r="CE42" s="57"/>
      <c r="CF42" s="57"/>
      <c r="CG42" s="57"/>
      <c r="CH42" s="57"/>
      <c r="CI42" s="57"/>
      <c r="CJ42" s="57"/>
      <c r="CK42" s="57"/>
      <c r="CL42" s="57"/>
      <c r="CM42" s="57"/>
      <c r="CN42" s="57"/>
      <c r="CO42" s="57"/>
      <c r="CP42" s="57"/>
      <c r="CQ42" s="57"/>
      <c r="CR42" s="57"/>
      <c r="CS42" s="57"/>
      <c r="CT42" s="57"/>
      <c r="CU42" s="57"/>
      <c r="CV42" s="57"/>
      <c r="CW42" s="57"/>
    </row>
    <row r="43" ht="18.75" customHeight="1">
      <c r="A43" s="9">
        <v>42.0</v>
      </c>
      <c r="B43" s="30">
        <v>72.0</v>
      </c>
      <c r="C43" s="31" t="s">
        <v>86</v>
      </c>
      <c r="D43" s="31" t="s">
        <v>82</v>
      </c>
      <c r="E43" s="31" t="s">
        <v>90</v>
      </c>
      <c r="F43" s="55">
        <v>160.0</v>
      </c>
      <c r="G43" s="56">
        <v>87.1</v>
      </c>
      <c r="H43" s="12">
        <f t="shared" si="1"/>
        <v>34.0234375</v>
      </c>
      <c r="I43" s="9">
        <v>1.0</v>
      </c>
      <c r="J43" s="9">
        <v>4.0</v>
      </c>
      <c r="K43" s="9">
        <v>2.0</v>
      </c>
      <c r="L43" s="9">
        <v>0.0</v>
      </c>
      <c r="M43" s="9">
        <v>92.0</v>
      </c>
      <c r="N43" s="9">
        <v>0.0</v>
      </c>
      <c r="O43" s="9">
        <v>123.0</v>
      </c>
      <c r="P43" s="9">
        <v>0.0</v>
      </c>
      <c r="Q43" s="9">
        <v>18.0</v>
      </c>
      <c r="R43" s="9">
        <v>0.0</v>
      </c>
      <c r="S43" s="12">
        <v>98.2</v>
      </c>
      <c r="T43" s="9">
        <v>0.0</v>
      </c>
      <c r="U43" s="9">
        <v>95.0</v>
      </c>
      <c r="V43" s="9">
        <v>0.0</v>
      </c>
      <c r="W43" s="9">
        <v>0.0</v>
      </c>
      <c r="X43" s="9">
        <v>0.0</v>
      </c>
      <c r="Y43" s="9">
        <v>1.0</v>
      </c>
      <c r="Z43" s="9">
        <v>1.0</v>
      </c>
      <c r="AA43" s="9">
        <v>1.0</v>
      </c>
      <c r="AB43" s="9">
        <v>1.0</v>
      </c>
      <c r="AC43" s="9">
        <v>1.0</v>
      </c>
      <c r="AD43" s="9">
        <v>1.0</v>
      </c>
      <c r="AE43" s="9">
        <v>1.0</v>
      </c>
      <c r="AF43" s="9">
        <v>0.0</v>
      </c>
      <c r="AG43" s="9">
        <v>1.0</v>
      </c>
      <c r="AH43" s="9">
        <v>0.0</v>
      </c>
      <c r="AI43" s="9">
        <v>0.0</v>
      </c>
      <c r="AJ43" s="9">
        <v>0.0</v>
      </c>
      <c r="AK43" s="9">
        <v>0.0</v>
      </c>
      <c r="AL43" s="9">
        <v>0.0</v>
      </c>
      <c r="AM43" s="9">
        <v>0.0</v>
      </c>
      <c r="AN43" s="9">
        <v>1.0</v>
      </c>
      <c r="AO43" s="9">
        <v>1.0</v>
      </c>
      <c r="AP43" s="9">
        <v>0.0</v>
      </c>
      <c r="AQ43" s="9" t="s">
        <v>84</v>
      </c>
      <c r="AR43" s="9">
        <v>1.0</v>
      </c>
      <c r="AS43" s="9" t="s">
        <v>84</v>
      </c>
      <c r="AT43" s="9" t="s">
        <v>84</v>
      </c>
      <c r="AU43" s="9" t="s">
        <v>84</v>
      </c>
      <c r="AV43" s="9" t="s">
        <v>84</v>
      </c>
      <c r="AW43" s="9" t="s">
        <v>84</v>
      </c>
      <c r="AX43" s="33">
        <f>2.91/4.68</f>
        <v>0.6217948718</v>
      </c>
      <c r="AY43" s="34">
        <v>0.0</v>
      </c>
      <c r="AZ43" s="30">
        <v>0.0</v>
      </c>
      <c r="BA43" s="30">
        <v>0.0</v>
      </c>
      <c r="BB43" s="33">
        <f>2.55/3.15</f>
        <v>0.8095238095</v>
      </c>
      <c r="BC43" s="30">
        <v>1.0</v>
      </c>
      <c r="BD43" s="30">
        <v>0.0</v>
      </c>
      <c r="BE43" s="30">
        <v>0.0</v>
      </c>
      <c r="BF43" s="9">
        <v>0.0</v>
      </c>
      <c r="BG43" s="9" t="s">
        <v>84</v>
      </c>
      <c r="BH43" s="9">
        <v>0.0</v>
      </c>
      <c r="BI43" s="9">
        <v>0.0</v>
      </c>
      <c r="BJ43" s="9">
        <v>0.0</v>
      </c>
      <c r="BK43" s="9">
        <v>0.0</v>
      </c>
      <c r="BL43" s="9">
        <v>0.0</v>
      </c>
      <c r="BM43" s="9">
        <v>0.0</v>
      </c>
      <c r="BN43" s="9">
        <v>0.0</v>
      </c>
      <c r="BO43" s="9">
        <v>0.0</v>
      </c>
      <c r="BP43" s="9" t="s">
        <v>84</v>
      </c>
      <c r="BQ43" s="9" t="s">
        <v>84</v>
      </c>
      <c r="BR43" s="9">
        <v>0.0</v>
      </c>
      <c r="BS43" s="9">
        <v>0.0</v>
      </c>
      <c r="BT43" s="18">
        <v>0.0</v>
      </c>
      <c r="BU43" s="9">
        <v>1.0</v>
      </c>
      <c r="BV43" s="9">
        <v>0.0</v>
      </c>
      <c r="BW43" s="9">
        <v>1.0</v>
      </c>
      <c r="BX43" s="9">
        <v>0.0</v>
      </c>
      <c r="BY43" s="9">
        <v>0.0</v>
      </c>
      <c r="BZ43" s="9">
        <v>0.0</v>
      </c>
      <c r="CA43" s="9">
        <v>0.0</v>
      </c>
      <c r="CB43" s="9">
        <v>1.0</v>
      </c>
      <c r="CC43" s="15" t="s">
        <v>104</v>
      </c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57"/>
      <c r="CV43" s="57"/>
      <c r="CW43" s="57"/>
    </row>
    <row r="44" ht="18.75" customHeight="1">
      <c r="A44" s="9">
        <v>43.0</v>
      </c>
      <c r="B44" s="30">
        <v>57.0</v>
      </c>
      <c r="C44" s="31" t="s">
        <v>81</v>
      </c>
      <c r="D44" s="31" t="s">
        <v>88</v>
      </c>
      <c r="E44" s="31" t="s">
        <v>93</v>
      </c>
      <c r="F44" s="55">
        <v>180.3</v>
      </c>
      <c r="G44" s="56">
        <v>115.67</v>
      </c>
      <c r="H44" s="12">
        <f t="shared" si="1"/>
        <v>35.58191207</v>
      </c>
      <c r="I44" s="9">
        <v>0.0</v>
      </c>
      <c r="J44" s="9">
        <v>2.0</v>
      </c>
      <c r="K44" s="9">
        <v>2.0</v>
      </c>
      <c r="L44" s="9">
        <v>0.0</v>
      </c>
      <c r="M44" s="9">
        <v>93.0</v>
      </c>
      <c r="N44" s="9">
        <v>0.0</v>
      </c>
      <c r="O44" s="9">
        <v>172.0</v>
      </c>
      <c r="P44" s="9">
        <v>0.0</v>
      </c>
      <c r="Q44" s="9">
        <v>17.0</v>
      </c>
      <c r="R44" s="9">
        <v>0.0</v>
      </c>
      <c r="S44" s="12">
        <v>98.2</v>
      </c>
      <c r="T44" s="9">
        <v>0.0</v>
      </c>
      <c r="U44" s="9">
        <v>96.0</v>
      </c>
      <c r="V44" s="9">
        <v>0.0</v>
      </c>
      <c r="W44" s="9">
        <v>0.0</v>
      </c>
      <c r="X44" s="9">
        <v>1.0</v>
      </c>
      <c r="Y44" s="9">
        <v>0.0</v>
      </c>
      <c r="Z44" s="9">
        <v>0.0</v>
      </c>
      <c r="AA44" s="9">
        <v>0.0</v>
      </c>
      <c r="AB44" s="9">
        <v>0.0</v>
      </c>
      <c r="AC44" s="9">
        <v>0.0</v>
      </c>
      <c r="AD44" s="9">
        <v>0.0</v>
      </c>
      <c r="AE44" s="9">
        <v>0.0</v>
      </c>
      <c r="AF44" s="9">
        <v>0.0</v>
      </c>
      <c r="AG44" s="9">
        <v>1.0</v>
      </c>
      <c r="AH44" s="9">
        <v>0.0</v>
      </c>
      <c r="AI44" s="9">
        <v>0.0</v>
      </c>
      <c r="AJ44" s="9">
        <v>0.0</v>
      </c>
      <c r="AK44" s="9">
        <v>0.0</v>
      </c>
      <c r="AL44" s="9">
        <v>0.0</v>
      </c>
      <c r="AM44" s="9">
        <v>0.0</v>
      </c>
      <c r="AN44" s="9">
        <v>0.0</v>
      </c>
      <c r="AO44" s="9" t="s">
        <v>84</v>
      </c>
      <c r="AP44" s="9" t="s">
        <v>84</v>
      </c>
      <c r="AQ44" s="9">
        <v>1.0</v>
      </c>
      <c r="AR44" s="9">
        <v>0.0</v>
      </c>
      <c r="AS44" s="9">
        <v>1.0</v>
      </c>
      <c r="AT44" s="9">
        <v>1.0</v>
      </c>
      <c r="AU44" s="9">
        <v>1.0</v>
      </c>
      <c r="AV44" s="9">
        <v>0.0</v>
      </c>
      <c r="AW44" s="9">
        <v>53.6</v>
      </c>
      <c r="AX44" s="33">
        <f>4.77/4.66</f>
        <v>1.02360515</v>
      </c>
      <c r="AY44" s="34">
        <v>0.0</v>
      </c>
      <c r="AZ44" s="30">
        <v>0.0</v>
      </c>
      <c r="BA44" s="30">
        <v>1.0</v>
      </c>
      <c r="BB44" s="33">
        <f>3.57/4.18</f>
        <v>0.8540669856</v>
      </c>
      <c r="BC44" s="30">
        <v>3.0</v>
      </c>
      <c r="BD44" s="30">
        <v>0.0</v>
      </c>
      <c r="BE44" s="30">
        <v>1.0</v>
      </c>
      <c r="BF44" s="9">
        <v>0.0</v>
      </c>
      <c r="BG44" s="9" t="s">
        <v>84</v>
      </c>
      <c r="BH44" s="9">
        <v>0.0</v>
      </c>
      <c r="BI44" s="9">
        <v>0.0</v>
      </c>
      <c r="BJ44" s="9">
        <v>0.0</v>
      </c>
      <c r="BK44" s="9">
        <v>0.0</v>
      </c>
      <c r="BL44" s="9">
        <v>0.0</v>
      </c>
      <c r="BM44" s="9">
        <v>0.0</v>
      </c>
      <c r="BN44" s="9">
        <v>0.0</v>
      </c>
      <c r="BO44" s="9">
        <v>0.0</v>
      </c>
      <c r="BP44" s="9" t="s">
        <v>84</v>
      </c>
      <c r="BQ44" s="9" t="s">
        <v>84</v>
      </c>
      <c r="BR44" s="9">
        <v>0.0</v>
      </c>
      <c r="BS44" s="9">
        <v>0.0</v>
      </c>
      <c r="BT44" s="18">
        <v>0.0</v>
      </c>
      <c r="BU44" s="9">
        <v>0.0</v>
      </c>
      <c r="BV44" s="9">
        <v>0.0</v>
      </c>
      <c r="BW44" s="9">
        <v>0.0</v>
      </c>
      <c r="BX44" s="9">
        <v>0.0</v>
      </c>
      <c r="BY44" s="9">
        <v>0.0</v>
      </c>
      <c r="BZ44" s="9">
        <v>0.0</v>
      </c>
      <c r="CA44" s="9">
        <v>0.0</v>
      </c>
      <c r="CB44" s="9">
        <v>0.0</v>
      </c>
      <c r="CC44" s="15" t="s">
        <v>113</v>
      </c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57"/>
      <c r="CV44" s="57"/>
      <c r="CW44" s="57"/>
    </row>
    <row r="45" ht="18.75" customHeight="1">
      <c r="A45" s="9">
        <v>44.0</v>
      </c>
      <c r="B45" s="30">
        <v>75.0</v>
      </c>
      <c r="C45" s="31" t="s">
        <v>86</v>
      </c>
      <c r="D45" s="31" t="s">
        <v>82</v>
      </c>
      <c r="E45" s="31" t="s">
        <v>83</v>
      </c>
      <c r="F45" s="55">
        <v>152.4</v>
      </c>
      <c r="G45" s="56">
        <v>42.9</v>
      </c>
      <c r="H45" s="12">
        <f t="shared" si="1"/>
        <v>18.47087028</v>
      </c>
      <c r="I45" s="9">
        <v>1.0</v>
      </c>
      <c r="J45" s="9">
        <v>4.0</v>
      </c>
      <c r="K45" s="9">
        <v>1.0</v>
      </c>
      <c r="L45" s="9">
        <v>1.0</v>
      </c>
      <c r="M45" s="9">
        <v>124.0</v>
      </c>
      <c r="N45" s="9">
        <v>0.0</v>
      </c>
      <c r="O45" s="9">
        <v>134.0</v>
      </c>
      <c r="P45" s="9">
        <v>0.0</v>
      </c>
      <c r="Q45" s="9">
        <v>14.0</v>
      </c>
      <c r="R45" s="9">
        <v>0.0</v>
      </c>
      <c r="S45" s="12">
        <v>98.0</v>
      </c>
      <c r="T45" s="9">
        <v>0.0</v>
      </c>
      <c r="U45" s="9">
        <v>97.0</v>
      </c>
      <c r="V45" s="9">
        <v>0.0</v>
      </c>
      <c r="W45" s="9">
        <v>0.0</v>
      </c>
      <c r="X45" s="9">
        <v>0.0</v>
      </c>
      <c r="Y45" s="9">
        <v>0.0</v>
      </c>
      <c r="Z45" s="9">
        <v>1.0</v>
      </c>
      <c r="AA45" s="9">
        <v>1.0</v>
      </c>
      <c r="AB45" s="9">
        <v>0.0</v>
      </c>
      <c r="AC45" s="9">
        <v>0.0</v>
      </c>
      <c r="AD45" s="9">
        <v>0.0</v>
      </c>
      <c r="AE45" s="9">
        <v>0.0</v>
      </c>
      <c r="AF45" s="9">
        <v>0.0</v>
      </c>
      <c r="AG45" s="9">
        <v>1.0</v>
      </c>
      <c r="AH45" s="9">
        <v>0.0</v>
      </c>
      <c r="AI45" s="9">
        <v>0.0</v>
      </c>
      <c r="AJ45" s="9">
        <v>0.0</v>
      </c>
      <c r="AK45" s="9">
        <v>0.0</v>
      </c>
      <c r="AL45" s="9">
        <v>0.0</v>
      </c>
      <c r="AM45" s="9">
        <v>0.0</v>
      </c>
      <c r="AN45" s="9">
        <v>0.0</v>
      </c>
      <c r="AO45" s="9" t="s">
        <v>84</v>
      </c>
      <c r="AP45" s="9" t="s">
        <v>84</v>
      </c>
      <c r="AQ45" s="9" t="s">
        <v>84</v>
      </c>
      <c r="AR45" s="9">
        <v>0.0</v>
      </c>
      <c r="AS45" s="9" t="s">
        <v>84</v>
      </c>
      <c r="AT45" s="9" t="s">
        <v>84</v>
      </c>
      <c r="AU45" s="9" t="s">
        <v>84</v>
      </c>
      <c r="AV45" s="9" t="s">
        <v>84</v>
      </c>
      <c r="AW45" s="9" t="s">
        <v>84</v>
      </c>
      <c r="AX45" s="33">
        <f>4.55/4.61</f>
        <v>0.9869848156</v>
      </c>
      <c r="AY45" s="34">
        <v>0.0</v>
      </c>
      <c r="AZ45" s="30">
        <v>0.0</v>
      </c>
      <c r="BA45" s="30">
        <v>1.0</v>
      </c>
      <c r="BB45" s="33">
        <f>2.73/3.1</f>
        <v>0.8806451613</v>
      </c>
      <c r="BC45" s="30">
        <v>3.0</v>
      </c>
      <c r="BD45" s="30">
        <v>0.0</v>
      </c>
      <c r="BE45" s="30">
        <v>1.0</v>
      </c>
      <c r="BF45" s="9">
        <v>0.0</v>
      </c>
      <c r="BG45" s="9" t="s">
        <v>84</v>
      </c>
      <c r="BH45" s="9">
        <v>0.0</v>
      </c>
      <c r="BI45" s="9">
        <v>0.0</v>
      </c>
      <c r="BJ45" s="9">
        <v>0.0</v>
      </c>
      <c r="BK45" s="9">
        <v>0.0</v>
      </c>
      <c r="BL45" s="9">
        <v>0.0</v>
      </c>
      <c r="BM45" s="9">
        <v>0.0</v>
      </c>
      <c r="BN45" s="9">
        <v>0.0</v>
      </c>
      <c r="BO45" s="9">
        <v>0.0</v>
      </c>
      <c r="BP45" s="9" t="s">
        <v>84</v>
      </c>
      <c r="BQ45" s="9" t="s">
        <v>84</v>
      </c>
      <c r="BR45" s="9">
        <v>0.0</v>
      </c>
      <c r="BS45" s="9">
        <v>0.0</v>
      </c>
      <c r="BT45" s="18">
        <v>0.0</v>
      </c>
      <c r="BU45" s="9">
        <v>0.0</v>
      </c>
      <c r="BV45" s="9">
        <v>0.0</v>
      </c>
      <c r="BW45" s="9">
        <v>1.0</v>
      </c>
      <c r="BX45" s="9">
        <v>0.0</v>
      </c>
      <c r="BY45" s="9">
        <v>0.0</v>
      </c>
      <c r="BZ45" s="9">
        <v>1.0</v>
      </c>
      <c r="CA45" s="9">
        <v>0.0</v>
      </c>
      <c r="CB45" s="9">
        <v>0.0</v>
      </c>
      <c r="CC45" s="15" t="s">
        <v>104</v>
      </c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</row>
    <row r="46" ht="18.75" customHeight="1">
      <c r="A46" s="9">
        <v>45.0</v>
      </c>
      <c r="B46" s="30">
        <v>45.0</v>
      </c>
      <c r="C46" s="31" t="s">
        <v>86</v>
      </c>
      <c r="D46" s="31" t="s">
        <v>82</v>
      </c>
      <c r="E46" s="31" t="s">
        <v>93</v>
      </c>
      <c r="F46" s="55">
        <v>167.6</v>
      </c>
      <c r="G46" s="56">
        <v>82.1</v>
      </c>
      <c r="H46" s="12">
        <f t="shared" si="1"/>
        <v>29.22773281</v>
      </c>
      <c r="I46" s="9">
        <v>0.0</v>
      </c>
      <c r="J46" s="9">
        <v>1.0</v>
      </c>
      <c r="K46" s="9">
        <v>1.0</v>
      </c>
      <c r="L46" s="9">
        <v>0.0</v>
      </c>
      <c r="M46" s="9">
        <v>98.0</v>
      </c>
      <c r="N46" s="9">
        <v>0.0</v>
      </c>
      <c r="O46" s="9">
        <v>162.0</v>
      </c>
      <c r="P46" s="9">
        <v>0.0</v>
      </c>
      <c r="Q46" s="9">
        <v>20.0</v>
      </c>
      <c r="R46" s="9">
        <v>0.0</v>
      </c>
      <c r="S46" s="12">
        <v>98.1</v>
      </c>
      <c r="T46" s="9">
        <v>0.0</v>
      </c>
      <c r="U46" s="9">
        <v>100.0</v>
      </c>
      <c r="V46" s="9">
        <v>0.0</v>
      </c>
      <c r="W46" s="9">
        <v>0.0</v>
      </c>
      <c r="X46" s="9">
        <v>0.0</v>
      </c>
      <c r="Y46" s="9">
        <v>0.0</v>
      </c>
      <c r="Z46" s="9">
        <v>0.0</v>
      </c>
      <c r="AA46" s="9">
        <v>0.0</v>
      </c>
      <c r="AB46" s="9">
        <v>0.0</v>
      </c>
      <c r="AC46" s="9">
        <v>0.0</v>
      </c>
      <c r="AD46" s="9">
        <v>0.0</v>
      </c>
      <c r="AE46" s="9">
        <v>0.0</v>
      </c>
      <c r="AF46" s="9">
        <v>0.0</v>
      </c>
      <c r="AG46" s="9">
        <v>1.0</v>
      </c>
      <c r="AH46" s="9">
        <v>1.0</v>
      </c>
      <c r="AI46" s="9">
        <v>0.0</v>
      </c>
      <c r="AJ46" s="9">
        <v>0.0</v>
      </c>
      <c r="AK46" s="9">
        <v>0.0</v>
      </c>
      <c r="AL46" s="9">
        <v>0.0</v>
      </c>
      <c r="AM46" s="9">
        <v>0.0</v>
      </c>
      <c r="AN46" s="9">
        <v>0.0</v>
      </c>
      <c r="AO46" s="9">
        <v>0.0</v>
      </c>
      <c r="AP46" s="9" t="s">
        <v>84</v>
      </c>
      <c r="AQ46" s="9">
        <v>0.0</v>
      </c>
      <c r="AR46" s="9">
        <v>0.0</v>
      </c>
      <c r="AS46" s="9" t="s">
        <v>84</v>
      </c>
      <c r="AT46" s="9" t="s">
        <v>84</v>
      </c>
      <c r="AU46" s="9" t="s">
        <v>84</v>
      </c>
      <c r="AV46" s="9" t="s">
        <v>84</v>
      </c>
      <c r="AW46" s="9" t="s">
        <v>84</v>
      </c>
      <c r="AX46" s="33">
        <f>4/4.82</f>
        <v>0.8298755187</v>
      </c>
      <c r="AY46" s="34">
        <v>0.0</v>
      </c>
      <c r="AZ46" s="30">
        <v>0.0</v>
      </c>
      <c r="BA46" s="30">
        <v>0.0</v>
      </c>
      <c r="BB46" s="33">
        <f>2.59/2.76</f>
        <v>0.9384057971</v>
      </c>
      <c r="BC46" s="30">
        <v>2.0</v>
      </c>
      <c r="BD46" s="30">
        <v>0.0</v>
      </c>
      <c r="BE46" s="30">
        <v>0.0</v>
      </c>
      <c r="BF46" s="9">
        <v>0.0</v>
      </c>
      <c r="BG46" s="9" t="s">
        <v>84</v>
      </c>
      <c r="BH46" s="9">
        <v>0.0</v>
      </c>
      <c r="BI46" s="9">
        <v>0.0</v>
      </c>
      <c r="BJ46" s="9">
        <v>0.0</v>
      </c>
      <c r="BK46" s="9">
        <v>0.0</v>
      </c>
      <c r="BL46" s="9">
        <v>0.0</v>
      </c>
      <c r="BM46" s="9">
        <v>0.0</v>
      </c>
      <c r="BN46" s="9">
        <v>0.0</v>
      </c>
      <c r="BO46" s="9">
        <v>0.0</v>
      </c>
      <c r="BP46" s="9" t="s">
        <v>84</v>
      </c>
      <c r="BQ46" s="9" t="s">
        <v>84</v>
      </c>
      <c r="BR46" s="9">
        <v>0.0</v>
      </c>
      <c r="BS46" s="9">
        <v>0.0</v>
      </c>
      <c r="BT46" s="18">
        <v>0.0</v>
      </c>
      <c r="BU46" s="9">
        <v>0.0</v>
      </c>
      <c r="BV46" s="9">
        <v>0.0</v>
      </c>
      <c r="BW46" s="9">
        <v>0.0</v>
      </c>
      <c r="BX46" s="9">
        <v>0.0</v>
      </c>
      <c r="BY46" s="9">
        <v>0.0</v>
      </c>
      <c r="BZ46" s="9">
        <v>1.0</v>
      </c>
      <c r="CA46" s="9">
        <v>0.0</v>
      </c>
      <c r="CB46" s="9">
        <v>0.0</v>
      </c>
      <c r="CC46" s="15" t="s">
        <v>85</v>
      </c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</row>
    <row r="47" ht="18.75" customHeight="1">
      <c r="A47" s="9">
        <v>46.0</v>
      </c>
      <c r="B47" s="30">
        <v>70.0</v>
      </c>
      <c r="C47" s="31" t="s">
        <v>86</v>
      </c>
      <c r="D47" s="31" t="s">
        <v>82</v>
      </c>
      <c r="E47" s="31" t="s">
        <v>96</v>
      </c>
      <c r="F47" s="55">
        <v>167.6</v>
      </c>
      <c r="G47" s="56">
        <v>96.6</v>
      </c>
      <c r="H47" s="12">
        <f t="shared" si="1"/>
        <v>34.38975627</v>
      </c>
      <c r="I47" s="9">
        <v>1.0</v>
      </c>
      <c r="J47" s="9">
        <v>3.0</v>
      </c>
      <c r="K47" s="9">
        <v>1.0</v>
      </c>
      <c r="L47" s="9">
        <v>1.0</v>
      </c>
      <c r="M47" s="9">
        <v>112.0</v>
      </c>
      <c r="N47" s="9">
        <v>0.0</v>
      </c>
      <c r="O47" s="9">
        <v>187.0</v>
      </c>
      <c r="P47" s="9">
        <v>0.0</v>
      </c>
      <c r="Q47" s="9">
        <v>20.0</v>
      </c>
      <c r="R47" s="9">
        <v>0.0</v>
      </c>
      <c r="S47" s="12">
        <v>98.2</v>
      </c>
      <c r="T47" s="9">
        <v>0.0</v>
      </c>
      <c r="U47" s="9">
        <v>96.0</v>
      </c>
      <c r="V47" s="9">
        <v>0.0</v>
      </c>
      <c r="W47" s="9">
        <v>0.0</v>
      </c>
      <c r="X47" s="9">
        <v>0.0</v>
      </c>
      <c r="Y47" s="9">
        <v>0.0</v>
      </c>
      <c r="Z47" s="9">
        <v>0.0</v>
      </c>
      <c r="AA47" s="9">
        <v>0.0</v>
      </c>
      <c r="AB47" s="9">
        <v>0.0</v>
      </c>
      <c r="AC47" s="9">
        <v>0.0</v>
      </c>
      <c r="AD47" s="9">
        <v>0.0</v>
      </c>
      <c r="AE47" s="9">
        <v>0.0</v>
      </c>
      <c r="AF47" s="9">
        <v>0.0</v>
      </c>
      <c r="AG47" s="9">
        <v>0.0</v>
      </c>
      <c r="AH47" s="9">
        <v>0.0</v>
      </c>
      <c r="AI47" s="9">
        <v>0.0</v>
      </c>
      <c r="AJ47" s="9">
        <v>0.0</v>
      </c>
      <c r="AK47" s="9">
        <v>1.0</v>
      </c>
      <c r="AL47" s="9">
        <v>0.0</v>
      </c>
      <c r="AM47" s="9">
        <v>0.0</v>
      </c>
      <c r="AN47" s="9">
        <v>0.0</v>
      </c>
      <c r="AO47" s="9">
        <v>1.0</v>
      </c>
      <c r="AP47" s="9">
        <v>0.0</v>
      </c>
      <c r="AQ47" s="9">
        <v>0.0</v>
      </c>
      <c r="AR47" s="9" t="s">
        <v>84</v>
      </c>
      <c r="AS47" s="9">
        <v>0.0</v>
      </c>
      <c r="AT47" s="9">
        <v>0.0</v>
      </c>
      <c r="AU47" s="9">
        <v>0.0</v>
      </c>
      <c r="AV47" s="9">
        <v>0.0</v>
      </c>
      <c r="AW47" s="9" t="s">
        <v>97</v>
      </c>
      <c r="AX47" s="33">
        <f>4.21/4.79</f>
        <v>0.878914405</v>
      </c>
      <c r="AY47" s="34">
        <v>1.0</v>
      </c>
      <c r="AZ47" s="30">
        <v>0.0</v>
      </c>
      <c r="BA47" s="30">
        <v>0.0</v>
      </c>
      <c r="BB47" s="33">
        <f>2.61/3.43</f>
        <v>0.7609329446</v>
      </c>
      <c r="BC47" s="30">
        <v>1.0</v>
      </c>
      <c r="BD47" s="30">
        <v>0.0</v>
      </c>
      <c r="BE47" s="30">
        <v>0.0</v>
      </c>
      <c r="BF47" s="9">
        <v>0.0</v>
      </c>
      <c r="BG47" s="9" t="s">
        <v>84</v>
      </c>
      <c r="BH47" s="9">
        <v>0.0</v>
      </c>
      <c r="BI47" s="9">
        <v>0.0</v>
      </c>
      <c r="BJ47" s="9">
        <v>0.0</v>
      </c>
      <c r="BK47" s="9">
        <v>0.0</v>
      </c>
      <c r="BL47" s="9">
        <v>0.0</v>
      </c>
      <c r="BM47" s="9">
        <v>0.0</v>
      </c>
      <c r="BN47" s="9">
        <v>0.0</v>
      </c>
      <c r="BO47" s="9">
        <v>0.0</v>
      </c>
      <c r="BP47" s="9" t="s">
        <v>84</v>
      </c>
      <c r="BQ47" s="9" t="s">
        <v>84</v>
      </c>
      <c r="BR47" s="9">
        <v>0.0</v>
      </c>
      <c r="BS47" s="9">
        <v>0.0</v>
      </c>
      <c r="BT47" s="18">
        <v>0.0</v>
      </c>
      <c r="BU47" s="9">
        <v>0.0</v>
      </c>
      <c r="BV47" s="9">
        <v>0.0</v>
      </c>
      <c r="BW47" s="9">
        <v>0.0</v>
      </c>
      <c r="BX47" s="9">
        <v>0.0</v>
      </c>
      <c r="BY47" s="9">
        <v>0.0</v>
      </c>
      <c r="BZ47" s="9">
        <v>0.0</v>
      </c>
      <c r="CA47" s="9">
        <v>0.0</v>
      </c>
      <c r="CB47" s="9">
        <v>0.0</v>
      </c>
      <c r="CC47" s="15" t="s">
        <v>95</v>
      </c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</row>
    <row r="48" ht="18.75" customHeight="1">
      <c r="A48" s="9">
        <v>47.0</v>
      </c>
      <c r="B48" s="30">
        <v>65.0</v>
      </c>
      <c r="C48" s="31" t="s">
        <v>86</v>
      </c>
      <c r="D48" s="31" t="s">
        <v>82</v>
      </c>
      <c r="E48" s="31" t="s">
        <v>83</v>
      </c>
      <c r="F48" s="55">
        <v>165.1</v>
      </c>
      <c r="G48" s="56">
        <v>69.9</v>
      </c>
      <c r="H48" s="12">
        <f t="shared" si="1"/>
        <v>25.64383827</v>
      </c>
      <c r="I48" s="9">
        <v>0.0</v>
      </c>
      <c r="J48" s="9">
        <v>1.0</v>
      </c>
      <c r="K48" s="9">
        <v>1.0</v>
      </c>
      <c r="L48" s="9">
        <v>0.0</v>
      </c>
      <c r="M48" s="9">
        <v>102.0</v>
      </c>
      <c r="N48" s="9">
        <v>0.0</v>
      </c>
      <c r="O48" s="9">
        <v>174.0</v>
      </c>
      <c r="P48" s="9">
        <v>0.0</v>
      </c>
      <c r="Q48" s="9">
        <v>18.0</v>
      </c>
      <c r="R48" s="9">
        <v>0.0</v>
      </c>
      <c r="S48" s="12">
        <v>99.8</v>
      </c>
      <c r="T48" s="9">
        <v>0.0</v>
      </c>
      <c r="U48" s="9">
        <v>99.0</v>
      </c>
      <c r="V48" s="9">
        <v>0.0</v>
      </c>
      <c r="W48" s="9">
        <v>0.0</v>
      </c>
      <c r="X48" s="9">
        <v>0.0</v>
      </c>
      <c r="Y48" s="9">
        <v>0.0</v>
      </c>
      <c r="Z48" s="9">
        <v>0.0</v>
      </c>
      <c r="AA48" s="9">
        <v>0.0</v>
      </c>
      <c r="AB48" s="9">
        <v>0.0</v>
      </c>
      <c r="AC48" s="9">
        <v>0.0</v>
      </c>
      <c r="AD48" s="9">
        <v>1.0</v>
      </c>
      <c r="AE48" s="9">
        <v>0.0</v>
      </c>
      <c r="AF48" s="9">
        <v>0.0</v>
      </c>
      <c r="AG48" s="9">
        <v>1.0</v>
      </c>
      <c r="AH48" s="9">
        <v>0.0</v>
      </c>
      <c r="AI48" s="9">
        <v>1.0</v>
      </c>
      <c r="AJ48" s="9">
        <v>0.0</v>
      </c>
      <c r="AK48" s="9">
        <v>0.0</v>
      </c>
      <c r="AL48" s="9">
        <v>0.0</v>
      </c>
      <c r="AM48" s="9">
        <v>0.0</v>
      </c>
      <c r="AN48" s="9">
        <v>0.0</v>
      </c>
      <c r="AO48" s="9">
        <v>1.0</v>
      </c>
      <c r="AP48" s="9">
        <v>1.0</v>
      </c>
      <c r="AQ48" s="9">
        <v>0.0</v>
      </c>
      <c r="AR48" s="9" t="s">
        <v>84</v>
      </c>
      <c r="AS48" s="9">
        <v>0.0</v>
      </c>
      <c r="AT48" s="9">
        <v>0.0</v>
      </c>
      <c r="AU48" s="9">
        <v>0.0</v>
      </c>
      <c r="AV48" s="9">
        <v>0.0</v>
      </c>
      <c r="AW48" s="9" t="s">
        <v>97</v>
      </c>
      <c r="AX48" s="33">
        <f>3.3/3.74</f>
        <v>0.8823529412</v>
      </c>
      <c r="AY48" s="34">
        <v>1.0</v>
      </c>
      <c r="AZ48" s="30">
        <v>0.0</v>
      </c>
      <c r="BA48" s="30">
        <v>0.0</v>
      </c>
      <c r="BB48" s="33">
        <f>2.3/3.04</f>
        <v>0.7565789474</v>
      </c>
      <c r="BC48" s="30">
        <v>2.0</v>
      </c>
      <c r="BD48" s="30">
        <v>1.0</v>
      </c>
      <c r="BE48" s="30">
        <v>0.0</v>
      </c>
      <c r="BF48" s="9">
        <v>0.0</v>
      </c>
      <c r="BG48" s="9" t="s">
        <v>84</v>
      </c>
      <c r="BH48" s="9">
        <v>0.0</v>
      </c>
      <c r="BI48" s="9">
        <v>0.0</v>
      </c>
      <c r="BJ48" s="9">
        <v>0.0</v>
      </c>
      <c r="BK48" s="9">
        <v>0.0</v>
      </c>
      <c r="BL48" s="9">
        <v>0.0</v>
      </c>
      <c r="BM48" s="9">
        <v>0.0</v>
      </c>
      <c r="BN48" s="9">
        <v>0.0</v>
      </c>
      <c r="BO48" s="9">
        <v>0.0</v>
      </c>
      <c r="BP48" s="9" t="s">
        <v>84</v>
      </c>
      <c r="BQ48" s="9" t="s">
        <v>84</v>
      </c>
      <c r="BR48" s="9">
        <v>0.0</v>
      </c>
      <c r="BS48" s="9">
        <v>0.0</v>
      </c>
      <c r="BT48" s="18">
        <v>0.0</v>
      </c>
      <c r="BU48" s="9">
        <v>0.0</v>
      </c>
      <c r="BV48" s="9">
        <v>0.0</v>
      </c>
      <c r="BW48" s="9">
        <v>0.0</v>
      </c>
      <c r="BX48" s="9">
        <v>0.0</v>
      </c>
      <c r="BY48" s="9">
        <v>0.0</v>
      </c>
      <c r="BZ48" s="9">
        <v>1.0</v>
      </c>
      <c r="CA48" s="9">
        <v>0.0</v>
      </c>
      <c r="CB48" s="9">
        <v>0.0</v>
      </c>
      <c r="CC48" s="15" t="s">
        <v>87</v>
      </c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</row>
    <row r="49" ht="18.75" customHeight="1">
      <c r="A49" s="9">
        <v>48.0</v>
      </c>
      <c r="B49" s="30">
        <v>71.0</v>
      </c>
      <c r="C49" s="31" t="s">
        <v>86</v>
      </c>
      <c r="D49" s="31" t="s">
        <v>88</v>
      </c>
      <c r="E49" s="31" t="s">
        <v>93</v>
      </c>
      <c r="F49" s="55">
        <v>162.6</v>
      </c>
      <c r="G49" s="56">
        <v>97.3</v>
      </c>
      <c r="H49" s="12">
        <f t="shared" si="1"/>
        <v>36.80202854</v>
      </c>
      <c r="I49" s="9">
        <v>1.0</v>
      </c>
      <c r="J49" s="9">
        <v>2.0</v>
      </c>
      <c r="K49" s="9">
        <v>2.0</v>
      </c>
      <c r="L49" s="9">
        <v>0.0</v>
      </c>
      <c r="M49" s="9">
        <v>81.0</v>
      </c>
      <c r="N49" s="9">
        <v>0.0</v>
      </c>
      <c r="O49" s="9">
        <v>108.0</v>
      </c>
      <c r="P49" s="9">
        <v>0.0</v>
      </c>
      <c r="Q49" s="9">
        <v>20.0</v>
      </c>
      <c r="R49" s="9">
        <v>0.0</v>
      </c>
      <c r="S49" s="12">
        <v>99.3</v>
      </c>
      <c r="T49" s="9">
        <v>0.0</v>
      </c>
      <c r="U49" s="9">
        <v>95.0</v>
      </c>
      <c r="V49" s="9">
        <v>0.0</v>
      </c>
      <c r="W49" s="9">
        <v>0.0</v>
      </c>
      <c r="X49" s="9">
        <v>0.0</v>
      </c>
      <c r="Y49" s="9">
        <v>0.0</v>
      </c>
      <c r="Z49" s="9">
        <v>0.0</v>
      </c>
      <c r="AA49" s="9">
        <v>0.0</v>
      </c>
      <c r="AB49" s="9">
        <v>0.0</v>
      </c>
      <c r="AC49" s="9">
        <v>1.0</v>
      </c>
      <c r="AD49" s="9">
        <v>0.0</v>
      </c>
      <c r="AE49" s="9">
        <v>0.0</v>
      </c>
      <c r="AF49" s="9">
        <v>0.0</v>
      </c>
      <c r="AG49" s="9">
        <v>0.0</v>
      </c>
      <c r="AH49" s="9">
        <v>0.0</v>
      </c>
      <c r="AI49" s="9">
        <v>0.0</v>
      </c>
      <c r="AJ49" s="9">
        <v>0.0</v>
      </c>
      <c r="AK49" s="9">
        <v>0.0</v>
      </c>
      <c r="AL49" s="9">
        <v>0.0</v>
      </c>
      <c r="AM49" s="9">
        <v>0.0</v>
      </c>
      <c r="AN49" s="9">
        <v>0.0</v>
      </c>
      <c r="AO49" s="9" t="s">
        <v>84</v>
      </c>
      <c r="AP49" s="9" t="s">
        <v>84</v>
      </c>
      <c r="AQ49" s="9">
        <v>1.0</v>
      </c>
      <c r="AR49" s="9">
        <v>0.0</v>
      </c>
      <c r="AS49" s="9" t="s">
        <v>84</v>
      </c>
      <c r="AT49" s="9" t="s">
        <v>84</v>
      </c>
      <c r="AU49" s="9" t="s">
        <v>84</v>
      </c>
      <c r="AV49" s="9" t="s">
        <v>84</v>
      </c>
      <c r="AW49" s="9" t="s">
        <v>84</v>
      </c>
      <c r="AX49" s="33">
        <f>4.16/4.6</f>
        <v>0.9043478261</v>
      </c>
      <c r="AY49" s="34">
        <v>1.0</v>
      </c>
      <c r="AZ49" s="30">
        <v>0.0</v>
      </c>
      <c r="BA49" s="30">
        <v>0.0</v>
      </c>
      <c r="BB49" s="33">
        <f>3.43/3.09</f>
        <v>1.110032362</v>
      </c>
      <c r="BC49" s="30">
        <v>2.0</v>
      </c>
      <c r="BD49" s="30">
        <v>0.0</v>
      </c>
      <c r="BE49" s="30">
        <v>0.0</v>
      </c>
      <c r="BF49" s="9">
        <v>0.0</v>
      </c>
      <c r="BG49" s="9" t="s">
        <v>84</v>
      </c>
      <c r="BH49" s="9">
        <v>0.0</v>
      </c>
      <c r="BI49" s="9">
        <v>0.0</v>
      </c>
      <c r="BJ49" s="9">
        <v>0.0</v>
      </c>
      <c r="BK49" s="9">
        <v>0.0</v>
      </c>
      <c r="BL49" s="9">
        <v>0.0</v>
      </c>
      <c r="BM49" s="9">
        <v>0.0</v>
      </c>
      <c r="BN49" s="9">
        <v>0.0</v>
      </c>
      <c r="BO49" s="9">
        <v>0.0</v>
      </c>
      <c r="BP49" s="9" t="s">
        <v>84</v>
      </c>
      <c r="BQ49" s="9" t="s">
        <v>84</v>
      </c>
      <c r="BR49" s="9">
        <v>0.0</v>
      </c>
      <c r="BS49" s="9">
        <v>0.0</v>
      </c>
      <c r="BT49" s="18">
        <v>0.0</v>
      </c>
      <c r="BU49" s="9">
        <v>0.0</v>
      </c>
      <c r="BV49" s="9">
        <v>0.0</v>
      </c>
      <c r="BW49" s="9">
        <v>0.0</v>
      </c>
      <c r="BX49" s="9">
        <v>0.0</v>
      </c>
      <c r="BY49" s="9">
        <v>0.0</v>
      </c>
      <c r="BZ49" s="9">
        <v>0.0</v>
      </c>
      <c r="CA49" s="9">
        <v>0.0</v>
      </c>
      <c r="CB49" s="9">
        <v>0.0</v>
      </c>
      <c r="CC49" s="15" t="s">
        <v>171</v>
      </c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</row>
    <row r="50" ht="18.75" customHeight="1">
      <c r="A50" s="9">
        <v>49.0</v>
      </c>
      <c r="B50" s="31" t="s">
        <v>172</v>
      </c>
      <c r="C50" s="31" t="s">
        <v>81</v>
      </c>
      <c r="D50" s="31" t="s">
        <v>88</v>
      </c>
      <c r="E50" s="31" t="s">
        <v>103</v>
      </c>
      <c r="F50" s="55">
        <v>182.9</v>
      </c>
      <c r="G50" s="56">
        <v>117.9</v>
      </c>
      <c r="H50" s="12">
        <f t="shared" si="1"/>
        <v>35.24409751</v>
      </c>
      <c r="I50" s="9">
        <v>0.0</v>
      </c>
      <c r="J50" s="9">
        <v>2.0</v>
      </c>
      <c r="K50" s="9">
        <v>1.0</v>
      </c>
      <c r="L50" s="9">
        <v>0.0</v>
      </c>
      <c r="M50" s="9">
        <v>100.0</v>
      </c>
      <c r="N50" s="9">
        <v>0.0</v>
      </c>
      <c r="O50" s="9">
        <v>148.0</v>
      </c>
      <c r="P50" s="9">
        <v>0.0</v>
      </c>
      <c r="Q50" s="9">
        <v>19.0</v>
      </c>
      <c r="R50" s="9">
        <v>0.0</v>
      </c>
      <c r="S50" s="12">
        <v>97.5</v>
      </c>
      <c r="T50" s="9">
        <v>0.0</v>
      </c>
      <c r="U50" s="9">
        <v>95.0</v>
      </c>
      <c r="V50" s="9">
        <v>0.0</v>
      </c>
      <c r="W50" s="9">
        <v>0.0</v>
      </c>
      <c r="X50" s="9">
        <v>0.0</v>
      </c>
      <c r="Y50" s="9">
        <v>0.0</v>
      </c>
      <c r="Z50" s="9">
        <v>0.0</v>
      </c>
      <c r="AA50" s="9">
        <v>0.0</v>
      </c>
      <c r="AB50" s="9">
        <v>0.0</v>
      </c>
      <c r="AC50" s="9">
        <v>0.0</v>
      </c>
      <c r="AD50" s="9">
        <v>0.0</v>
      </c>
      <c r="AE50" s="9">
        <v>1.0</v>
      </c>
      <c r="AF50" s="9">
        <v>0.0</v>
      </c>
      <c r="AG50" s="9">
        <v>0.0</v>
      </c>
      <c r="AH50" s="9">
        <v>0.0</v>
      </c>
      <c r="AI50" s="9">
        <v>0.0</v>
      </c>
      <c r="AJ50" s="9">
        <v>0.0</v>
      </c>
      <c r="AK50" s="9">
        <v>0.0</v>
      </c>
      <c r="AL50" s="9">
        <v>0.0</v>
      </c>
      <c r="AM50" s="9">
        <v>0.0</v>
      </c>
      <c r="AN50" s="9">
        <v>0.0</v>
      </c>
      <c r="AO50" s="9">
        <v>1.0</v>
      </c>
      <c r="AP50" s="9">
        <v>1.0</v>
      </c>
      <c r="AQ50" s="9">
        <v>0.0</v>
      </c>
      <c r="AR50" s="9">
        <v>0.0</v>
      </c>
      <c r="AS50" s="9">
        <v>0.0</v>
      </c>
      <c r="AT50" s="9">
        <v>0.0</v>
      </c>
      <c r="AU50" s="9">
        <v>0.0</v>
      </c>
      <c r="AV50" s="9">
        <v>0.0</v>
      </c>
      <c r="AW50" s="9" t="s">
        <v>97</v>
      </c>
      <c r="AX50" s="33">
        <f>4.59/4.73</f>
        <v>0.9704016913</v>
      </c>
      <c r="AY50" s="34">
        <v>0.0</v>
      </c>
      <c r="AZ50" s="30">
        <v>0.0</v>
      </c>
      <c r="BA50" s="30">
        <v>1.0</v>
      </c>
      <c r="BB50" s="33">
        <f>3.12/3.52</f>
        <v>0.8863636364</v>
      </c>
      <c r="BC50" s="30">
        <v>3.0</v>
      </c>
      <c r="BD50" s="30">
        <v>0.0</v>
      </c>
      <c r="BE50" s="30">
        <v>1.0</v>
      </c>
      <c r="BF50" s="9">
        <v>0.0</v>
      </c>
      <c r="BG50" s="9" t="s">
        <v>84</v>
      </c>
      <c r="BH50" s="9">
        <v>0.0</v>
      </c>
      <c r="BI50" s="9">
        <v>0.0</v>
      </c>
      <c r="BJ50" s="9">
        <v>0.0</v>
      </c>
      <c r="BK50" s="9">
        <v>0.0</v>
      </c>
      <c r="BL50" s="9">
        <v>0.0</v>
      </c>
      <c r="BM50" s="9">
        <v>0.0</v>
      </c>
      <c r="BN50" s="9">
        <v>0.0</v>
      </c>
      <c r="BO50" s="9">
        <v>0.0</v>
      </c>
      <c r="BP50" s="9" t="s">
        <v>84</v>
      </c>
      <c r="BQ50" s="9" t="s">
        <v>84</v>
      </c>
      <c r="BR50" s="9">
        <v>0.0</v>
      </c>
      <c r="BS50" s="9">
        <v>0.0</v>
      </c>
      <c r="BT50" s="18">
        <v>0.0</v>
      </c>
      <c r="BU50" s="9">
        <v>0.0</v>
      </c>
      <c r="BV50" s="9">
        <v>0.0</v>
      </c>
      <c r="BW50" s="9">
        <v>0.0</v>
      </c>
      <c r="BX50" s="9">
        <v>0.0</v>
      </c>
      <c r="BY50" s="9">
        <v>0.0</v>
      </c>
      <c r="BZ50" s="9">
        <v>0.0</v>
      </c>
      <c r="CA50" s="9">
        <v>0.0</v>
      </c>
      <c r="CB50" s="9">
        <v>0.0</v>
      </c>
      <c r="CC50" s="15" t="s">
        <v>95</v>
      </c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57"/>
      <c r="CV50" s="57"/>
      <c r="CW50" s="57"/>
    </row>
    <row r="51" ht="18.75" customHeight="1">
      <c r="A51" s="9">
        <v>50.0</v>
      </c>
      <c r="B51" s="30">
        <v>61.0</v>
      </c>
      <c r="C51" s="31" t="s">
        <v>86</v>
      </c>
      <c r="D51" s="31" t="s">
        <v>88</v>
      </c>
      <c r="E51" s="31" t="s">
        <v>109</v>
      </c>
      <c r="F51" s="55">
        <v>175.3</v>
      </c>
      <c r="G51" s="56">
        <v>95.4</v>
      </c>
      <c r="H51" s="12">
        <f t="shared" si="1"/>
        <v>31.04449092</v>
      </c>
      <c r="I51" s="9">
        <v>0.0</v>
      </c>
      <c r="J51" s="9">
        <v>1.0</v>
      </c>
      <c r="K51" s="9">
        <v>1.0</v>
      </c>
      <c r="L51" s="9">
        <v>0.0</v>
      </c>
      <c r="M51" s="9">
        <v>94.0</v>
      </c>
      <c r="N51" s="9">
        <v>0.0</v>
      </c>
      <c r="O51" s="9">
        <v>117.0</v>
      </c>
      <c r="P51" s="9">
        <v>0.0</v>
      </c>
      <c r="Q51" s="9">
        <v>18.0</v>
      </c>
      <c r="R51" s="9">
        <v>0.0</v>
      </c>
      <c r="S51" s="12">
        <v>97.6</v>
      </c>
      <c r="T51" s="9">
        <v>0.0</v>
      </c>
      <c r="U51" s="9">
        <v>99.0</v>
      </c>
      <c r="V51" s="9">
        <v>0.0</v>
      </c>
      <c r="W51" s="9">
        <v>0.0</v>
      </c>
      <c r="X51" s="9">
        <v>0.0</v>
      </c>
      <c r="Y51" s="9">
        <v>0.0</v>
      </c>
      <c r="Z51" s="9">
        <v>0.0</v>
      </c>
      <c r="AA51" s="9">
        <v>0.0</v>
      </c>
      <c r="AB51" s="9">
        <v>0.0</v>
      </c>
      <c r="AC51" s="9">
        <v>0.0</v>
      </c>
      <c r="AD51" s="9">
        <v>0.0</v>
      </c>
      <c r="AE51" s="9">
        <v>0.0</v>
      </c>
      <c r="AF51" s="9">
        <v>0.0</v>
      </c>
      <c r="AG51" s="9">
        <v>0.0</v>
      </c>
      <c r="AH51" s="9">
        <v>0.0</v>
      </c>
      <c r="AI51" s="9">
        <v>0.0</v>
      </c>
      <c r="AJ51" s="9">
        <v>0.0</v>
      </c>
      <c r="AK51" s="9">
        <v>1.0</v>
      </c>
      <c r="AL51" s="9">
        <v>0.0</v>
      </c>
      <c r="AM51" s="9">
        <v>0.0</v>
      </c>
      <c r="AN51" s="9">
        <v>0.0</v>
      </c>
      <c r="AO51" s="9" t="s">
        <v>84</v>
      </c>
      <c r="AP51" s="9" t="s">
        <v>84</v>
      </c>
      <c r="AQ51" s="9" t="s">
        <v>84</v>
      </c>
      <c r="AR51" s="9">
        <v>0.0</v>
      </c>
      <c r="AS51" s="9" t="s">
        <v>84</v>
      </c>
      <c r="AT51" s="9" t="s">
        <v>84</v>
      </c>
      <c r="AU51" s="9" t="s">
        <v>84</v>
      </c>
      <c r="AV51" s="9" t="s">
        <v>84</v>
      </c>
      <c r="AW51" s="9" t="s">
        <v>84</v>
      </c>
      <c r="AX51" s="33">
        <f>3.03/4.63</f>
        <v>0.6544276458</v>
      </c>
      <c r="AY51" s="34">
        <v>0.0</v>
      </c>
      <c r="AZ51" s="30">
        <v>0.0</v>
      </c>
      <c r="BA51" s="30">
        <v>0.0</v>
      </c>
      <c r="BB51" s="33">
        <f>3.24/2.73</f>
        <v>1.186813187</v>
      </c>
      <c r="BC51" s="30">
        <v>1.0</v>
      </c>
      <c r="BD51" s="30">
        <v>0.0</v>
      </c>
      <c r="BE51" s="30">
        <v>0.0</v>
      </c>
      <c r="BF51" s="9" t="s">
        <v>84</v>
      </c>
      <c r="BG51" s="9" t="s">
        <v>84</v>
      </c>
      <c r="BH51" s="9" t="s">
        <v>84</v>
      </c>
      <c r="BI51" s="9">
        <v>0.0</v>
      </c>
      <c r="BJ51" s="9" t="s">
        <v>84</v>
      </c>
      <c r="BK51" s="9" t="s">
        <v>84</v>
      </c>
      <c r="BL51" s="9" t="s">
        <v>84</v>
      </c>
      <c r="BM51" s="9" t="s">
        <v>84</v>
      </c>
      <c r="BN51" s="9" t="s">
        <v>84</v>
      </c>
      <c r="BO51" s="9" t="s">
        <v>84</v>
      </c>
      <c r="BP51" s="9" t="s">
        <v>84</v>
      </c>
      <c r="BQ51" s="9" t="s">
        <v>84</v>
      </c>
      <c r="BR51" s="9" t="s">
        <v>84</v>
      </c>
      <c r="BS51" s="9" t="s">
        <v>84</v>
      </c>
      <c r="BT51" s="9" t="s">
        <v>84</v>
      </c>
      <c r="BU51" s="9" t="s">
        <v>84</v>
      </c>
      <c r="BV51" s="9">
        <v>0.0</v>
      </c>
      <c r="BW51" s="9" t="s">
        <v>94</v>
      </c>
      <c r="BX51" s="9">
        <v>0.0</v>
      </c>
      <c r="BY51" s="9" t="s">
        <v>84</v>
      </c>
      <c r="BZ51" s="9" t="s">
        <v>84</v>
      </c>
      <c r="CA51" s="9" t="s">
        <v>84</v>
      </c>
      <c r="CB51" s="9">
        <v>0.0</v>
      </c>
      <c r="CC51" s="15" t="s">
        <v>84</v>
      </c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57"/>
      <c r="CV51" s="57"/>
      <c r="CW51" s="57"/>
    </row>
    <row r="52" ht="18.75" customHeight="1">
      <c r="A52" s="9">
        <v>51.0</v>
      </c>
      <c r="B52" s="30">
        <v>68.0</v>
      </c>
      <c r="C52" s="31" t="s">
        <v>86</v>
      </c>
      <c r="D52" s="31" t="s">
        <v>88</v>
      </c>
      <c r="E52" s="31" t="s">
        <v>173</v>
      </c>
      <c r="F52" s="55">
        <v>162.6</v>
      </c>
      <c r="G52" s="56">
        <v>87.5</v>
      </c>
      <c r="H52" s="12">
        <f t="shared" si="1"/>
        <v>33.0953494</v>
      </c>
      <c r="I52" s="9">
        <v>1.0</v>
      </c>
      <c r="J52" s="9">
        <v>3.0</v>
      </c>
      <c r="K52" s="9">
        <v>2.0</v>
      </c>
      <c r="L52" s="9">
        <v>0.0</v>
      </c>
      <c r="M52" s="9">
        <v>86.0</v>
      </c>
      <c r="N52" s="9">
        <v>0.0</v>
      </c>
      <c r="O52" s="9">
        <v>130.0</v>
      </c>
      <c r="P52" s="9">
        <v>0.0</v>
      </c>
      <c r="Q52" s="9">
        <v>18.0</v>
      </c>
      <c r="R52" s="9">
        <v>0.0</v>
      </c>
      <c r="S52" s="12">
        <v>97.6</v>
      </c>
      <c r="T52" s="9">
        <v>1.0</v>
      </c>
      <c r="U52" s="9" t="s">
        <v>84</v>
      </c>
      <c r="V52" s="9">
        <v>1.0</v>
      </c>
      <c r="W52" s="9">
        <v>0.0</v>
      </c>
      <c r="X52" s="9">
        <v>1.0</v>
      </c>
      <c r="Y52" s="9">
        <v>0.0</v>
      </c>
      <c r="Z52" s="9">
        <v>0.0</v>
      </c>
      <c r="AA52" s="9">
        <v>0.0</v>
      </c>
      <c r="AB52" s="9">
        <v>0.0</v>
      </c>
      <c r="AC52" s="9">
        <v>0.0</v>
      </c>
      <c r="AD52" s="9">
        <v>0.0</v>
      </c>
      <c r="AE52" s="9">
        <v>0.0</v>
      </c>
      <c r="AF52" s="9">
        <v>0.0</v>
      </c>
      <c r="AG52" s="9">
        <v>1.0</v>
      </c>
      <c r="AH52" s="9">
        <v>0.0</v>
      </c>
      <c r="AI52" s="9">
        <v>0.0</v>
      </c>
      <c r="AJ52" s="9">
        <v>0.0</v>
      </c>
      <c r="AK52" s="9">
        <v>1.0</v>
      </c>
      <c r="AL52" s="9">
        <v>0.0</v>
      </c>
      <c r="AM52" s="9">
        <v>0.0</v>
      </c>
      <c r="AN52" s="9">
        <v>0.0</v>
      </c>
      <c r="AO52" s="9">
        <v>1.0</v>
      </c>
      <c r="AP52" s="9">
        <v>1.0</v>
      </c>
      <c r="AQ52" s="9" t="s">
        <v>84</v>
      </c>
      <c r="AR52" s="9">
        <v>1.0</v>
      </c>
      <c r="AS52" s="9">
        <v>1.0</v>
      </c>
      <c r="AT52" s="9">
        <v>1.0</v>
      </c>
      <c r="AU52" s="9">
        <v>1.0</v>
      </c>
      <c r="AV52" s="9">
        <v>0.0</v>
      </c>
      <c r="AW52" s="9">
        <v>35.0</v>
      </c>
      <c r="AX52" s="33">
        <f>4.25/4.61</f>
        <v>0.9219088937</v>
      </c>
      <c r="AY52" s="34">
        <v>0.0</v>
      </c>
      <c r="AZ52" s="30">
        <v>1.0</v>
      </c>
      <c r="BA52" s="30">
        <v>0.0</v>
      </c>
      <c r="BB52" s="33">
        <f>2.81/3.67</f>
        <v>0.7656675749</v>
      </c>
      <c r="BC52" s="30">
        <v>3.0</v>
      </c>
      <c r="BD52" s="30">
        <v>1.0</v>
      </c>
      <c r="BE52" s="30">
        <v>1.0</v>
      </c>
      <c r="BF52" s="9">
        <v>0.0</v>
      </c>
      <c r="BG52" s="9" t="s">
        <v>84</v>
      </c>
      <c r="BH52" s="9">
        <v>1.0</v>
      </c>
      <c r="BI52" s="9">
        <v>0.0</v>
      </c>
      <c r="BJ52" s="9">
        <v>0.0</v>
      </c>
      <c r="BK52" s="9">
        <v>0.0</v>
      </c>
      <c r="BL52" s="9">
        <v>0.0</v>
      </c>
      <c r="BM52" s="9">
        <v>0.0</v>
      </c>
      <c r="BN52" s="9">
        <v>0.0</v>
      </c>
      <c r="BO52" s="9">
        <v>1.0</v>
      </c>
      <c r="BP52" s="9">
        <v>0.0</v>
      </c>
      <c r="BQ52" s="9">
        <v>1.0</v>
      </c>
      <c r="BR52" s="9">
        <v>1.0</v>
      </c>
      <c r="BS52" s="15" t="s">
        <v>174</v>
      </c>
      <c r="BT52" s="9">
        <v>1.0</v>
      </c>
      <c r="BU52" s="9">
        <v>1.0</v>
      </c>
      <c r="BV52" s="9">
        <v>0.0</v>
      </c>
      <c r="BW52" s="9">
        <v>0.0</v>
      </c>
      <c r="BX52" s="9">
        <v>0.0</v>
      </c>
      <c r="BY52" s="9">
        <v>0.0</v>
      </c>
      <c r="BZ52" s="9">
        <v>0.0</v>
      </c>
      <c r="CA52" s="9">
        <v>0.0</v>
      </c>
      <c r="CB52" s="9">
        <v>0.0</v>
      </c>
      <c r="CC52" s="15" t="s">
        <v>101</v>
      </c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57"/>
      <c r="CV52" s="57"/>
      <c r="CW52" s="57"/>
    </row>
    <row r="53" ht="18.75" customHeight="1">
      <c r="A53" s="9">
        <v>52.0</v>
      </c>
      <c r="B53" s="30">
        <v>68.0</v>
      </c>
      <c r="C53" s="31" t="s">
        <v>86</v>
      </c>
      <c r="D53" s="31" t="s">
        <v>82</v>
      </c>
      <c r="E53" s="31" t="s">
        <v>103</v>
      </c>
      <c r="F53" s="55">
        <v>157.5</v>
      </c>
      <c r="G53" s="56">
        <v>62.6</v>
      </c>
      <c r="H53" s="12">
        <f t="shared" si="1"/>
        <v>25.23557571</v>
      </c>
      <c r="I53" s="9">
        <v>1.0</v>
      </c>
      <c r="J53" s="9">
        <v>3.0</v>
      </c>
      <c r="K53" s="9">
        <v>4.0</v>
      </c>
      <c r="L53" s="9">
        <v>0.0</v>
      </c>
      <c r="M53" s="9">
        <v>81.0</v>
      </c>
      <c r="N53" s="9">
        <v>0.0</v>
      </c>
      <c r="O53" s="9">
        <v>142.0</v>
      </c>
      <c r="P53" s="9">
        <v>0.0</v>
      </c>
      <c r="Q53" s="9">
        <v>18.0</v>
      </c>
      <c r="R53" s="9">
        <v>0.0</v>
      </c>
      <c r="S53" s="12">
        <v>98.0</v>
      </c>
      <c r="T53" s="9">
        <v>0.0</v>
      </c>
      <c r="U53" s="9">
        <v>100.0</v>
      </c>
      <c r="V53" s="9">
        <v>0.0</v>
      </c>
      <c r="W53" s="9">
        <v>0.0</v>
      </c>
      <c r="X53" s="9">
        <v>0.0</v>
      </c>
      <c r="Y53" s="9">
        <v>0.0</v>
      </c>
      <c r="Z53" s="9">
        <v>1.0</v>
      </c>
      <c r="AA53" s="9">
        <v>1.0</v>
      </c>
      <c r="AB53" s="9">
        <v>0.0</v>
      </c>
      <c r="AC53" s="9">
        <v>0.0</v>
      </c>
      <c r="AD53" s="9">
        <v>0.0</v>
      </c>
      <c r="AE53" s="9">
        <v>0.0</v>
      </c>
      <c r="AF53" s="9">
        <v>0.0</v>
      </c>
      <c r="AG53" s="9">
        <v>0.0</v>
      </c>
      <c r="AH53" s="9">
        <v>0.0</v>
      </c>
      <c r="AI53" s="9">
        <v>0.0</v>
      </c>
      <c r="AJ53" s="9">
        <v>0.0</v>
      </c>
      <c r="AK53" s="9">
        <v>0.0</v>
      </c>
      <c r="AL53" s="9">
        <v>0.0</v>
      </c>
      <c r="AM53" s="9">
        <v>0.0</v>
      </c>
      <c r="AN53" s="9">
        <v>0.0</v>
      </c>
      <c r="AO53" s="9">
        <v>0.0</v>
      </c>
      <c r="AP53" s="9" t="s">
        <v>84</v>
      </c>
      <c r="AQ53" s="9" t="s">
        <v>84</v>
      </c>
      <c r="AR53" s="9" t="s">
        <v>84</v>
      </c>
      <c r="AS53" s="9" t="s">
        <v>84</v>
      </c>
      <c r="AT53" s="9" t="s">
        <v>84</v>
      </c>
      <c r="AU53" s="9" t="s">
        <v>84</v>
      </c>
      <c r="AV53" s="9" t="s">
        <v>84</v>
      </c>
      <c r="AW53" s="9" t="s">
        <v>84</v>
      </c>
      <c r="AX53" s="33">
        <f>3.56/3.85</f>
        <v>0.9246753247</v>
      </c>
      <c r="AY53" s="34">
        <v>0.0</v>
      </c>
      <c r="AZ53" s="30">
        <v>1.0</v>
      </c>
      <c r="BA53" s="30">
        <v>0.0</v>
      </c>
      <c r="BB53" s="33">
        <f>2.93/3.05</f>
        <v>0.9606557377</v>
      </c>
      <c r="BC53" s="30">
        <v>1.0</v>
      </c>
      <c r="BD53" s="30">
        <v>0.0</v>
      </c>
      <c r="BE53" s="30">
        <v>0.0</v>
      </c>
      <c r="BF53" s="9">
        <v>0.0</v>
      </c>
      <c r="BG53" s="9" t="s">
        <v>84</v>
      </c>
      <c r="BH53" s="9">
        <v>0.0</v>
      </c>
      <c r="BI53" s="9">
        <v>0.0</v>
      </c>
      <c r="BJ53" s="9">
        <v>0.0</v>
      </c>
      <c r="BK53" s="9">
        <v>0.0</v>
      </c>
      <c r="BL53" s="9">
        <v>0.0</v>
      </c>
      <c r="BM53" s="9">
        <v>0.0</v>
      </c>
      <c r="BN53" s="9">
        <v>0.0</v>
      </c>
      <c r="BO53" s="9">
        <v>0.0</v>
      </c>
      <c r="BP53" s="9" t="s">
        <v>84</v>
      </c>
      <c r="BQ53" s="9" t="s">
        <v>84</v>
      </c>
      <c r="BR53" s="9">
        <v>0.0</v>
      </c>
      <c r="BS53" s="9">
        <v>0.0</v>
      </c>
      <c r="BT53" s="9">
        <v>0.0</v>
      </c>
      <c r="BU53" s="9">
        <v>0.0</v>
      </c>
      <c r="BV53" s="9">
        <v>0.0</v>
      </c>
      <c r="BW53" s="9">
        <v>0.0</v>
      </c>
      <c r="BX53" s="9">
        <v>0.0</v>
      </c>
      <c r="BY53" s="9">
        <v>0.0</v>
      </c>
      <c r="BZ53" s="9">
        <v>0.0</v>
      </c>
      <c r="CA53" s="9">
        <v>0.0</v>
      </c>
      <c r="CB53" s="9">
        <v>0.0</v>
      </c>
      <c r="CC53" s="15" t="s">
        <v>104</v>
      </c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</row>
    <row r="54" ht="18.75" customHeight="1">
      <c r="A54" s="9">
        <v>53.0</v>
      </c>
      <c r="B54" s="30">
        <v>66.0</v>
      </c>
      <c r="C54" s="31" t="s">
        <v>86</v>
      </c>
      <c r="D54" s="31" t="s">
        <v>82</v>
      </c>
      <c r="E54" s="31" t="s">
        <v>93</v>
      </c>
      <c r="F54" s="55">
        <v>172.7</v>
      </c>
      <c r="G54" s="56">
        <v>61.0</v>
      </c>
      <c r="H54" s="12">
        <f t="shared" si="1"/>
        <v>20.45244154</v>
      </c>
      <c r="I54" s="9">
        <v>0.0</v>
      </c>
      <c r="J54" s="9">
        <v>2.0</v>
      </c>
      <c r="K54" s="9">
        <v>1.0</v>
      </c>
      <c r="L54" s="9">
        <v>0.0</v>
      </c>
      <c r="M54" s="9">
        <v>80.0</v>
      </c>
      <c r="N54" s="9">
        <v>0.0</v>
      </c>
      <c r="O54" s="9">
        <v>123.0</v>
      </c>
      <c r="P54" s="9">
        <v>0.0</v>
      </c>
      <c r="Q54" s="9">
        <v>18.0</v>
      </c>
      <c r="R54" s="9">
        <v>0.0</v>
      </c>
      <c r="S54" s="12">
        <v>97.6</v>
      </c>
      <c r="T54" s="9">
        <v>0.0</v>
      </c>
      <c r="U54" s="9">
        <v>94.0</v>
      </c>
      <c r="V54" s="9">
        <v>0.0</v>
      </c>
      <c r="W54" s="9">
        <v>0.0</v>
      </c>
      <c r="X54" s="9">
        <v>0.0</v>
      </c>
      <c r="Y54" s="9">
        <v>0.0</v>
      </c>
      <c r="Z54" s="9">
        <v>0.0</v>
      </c>
      <c r="AA54" s="9">
        <v>0.0</v>
      </c>
      <c r="AB54" s="9">
        <v>0.0</v>
      </c>
      <c r="AC54" s="9">
        <v>0.0</v>
      </c>
      <c r="AD54" s="9">
        <v>0.0</v>
      </c>
      <c r="AE54" s="9">
        <v>0.0</v>
      </c>
      <c r="AF54" s="9">
        <v>0.0</v>
      </c>
      <c r="AG54" s="9">
        <v>1.0</v>
      </c>
      <c r="AH54" s="9">
        <v>0.0</v>
      </c>
      <c r="AI54" s="9">
        <v>0.0</v>
      </c>
      <c r="AJ54" s="9">
        <v>0.0</v>
      </c>
      <c r="AK54" s="9">
        <v>0.0</v>
      </c>
      <c r="AL54" s="9">
        <v>0.0</v>
      </c>
      <c r="AM54" s="9">
        <v>0.0</v>
      </c>
      <c r="AN54" s="9">
        <v>0.0</v>
      </c>
      <c r="AO54" s="9">
        <v>1.0</v>
      </c>
      <c r="AP54" s="9">
        <v>1.0</v>
      </c>
      <c r="AQ54" s="9">
        <v>0.0</v>
      </c>
      <c r="AR54" s="9">
        <v>0.0</v>
      </c>
      <c r="AS54" s="9">
        <v>0.0</v>
      </c>
      <c r="AT54" s="9">
        <v>0.0</v>
      </c>
      <c r="AU54" s="9">
        <v>0.0</v>
      </c>
      <c r="AV54" s="9">
        <v>0.0</v>
      </c>
      <c r="AW54" s="9" t="s">
        <v>97</v>
      </c>
      <c r="AX54" s="33">
        <f>3.9/4.47</f>
        <v>0.8724832215</v>
      </c>
      <c r="AY54" s="34">
        <v>1.0</v>
      </c>
      <c r="AZ54" s="30">
        <v>0.0</v>
      </c>
      <c r="BA54" s="30">
        <v>0.0</v>
      </c>
      <c r="BB54" s="33">
        <f>2.57/3</f>
        <v>0.8566666667</v>
      </c>
      <c r="BC54" s="30">
        <v>2.0</v>
      </c>
      <c r="BD54" s="30">
        <v>0.0</v>
      </c>
      <c r="BE54" s="30">
        <v>1.0</v>
      </c>
      <c r="BF54" s="9">
        <v>0.0</v>
      </c>
      <c r="BG54" s="9" t="s">
        <v>84</v>
      </c>
      <c r="BH54" s="9">
        <v>0.0</v>
      </c>
      <c r="BI54" s="9">
        <v>0.0</v>
      </c>
      <c r="BJ54" s="9">
        <v>0.0</v>
      </c>
      <c r="BK54" s="9">
        <v>0.0</v>
      </c>
      <c r="BL54" s="9">
        <v>0.0</v>
      </c>
      <c r="BM54" s="9">
        <v>0.0</v>
      </c>
      <c r="BN54" s="9">
        <v>0.0</v>
      </c>
      <c r="BO54" s="9">
        <v>0.0</v>
      </c>
      <c r="BP54" s="9" t="s">
        <v>84</v>
      </c>
      <c r="BQ54" s="9" t="s">
        <v>84</v>
      </c>
      <c r="BR54" s="9">
        <v>0.0</v>
      </c>
      <c r="BS54" s="9">
        <v>0.0</v>
      </c>
      <c r="BT54" s="9">
        <v>0.0</v>
      </c>
      <c r="BU54" s="9">
        <v>0.0</v>
      </c>
      <c r="BV54" s="9">
        <v>0.0</v>
      </c>
      <c r="BW54" s="9">
        <v>0.0</v>
      </c>
      <c r="BX54" s="9">
        <v>0.0</v>
      </c>
      <c r="BY54" s="9">
        <v>0.0</v>
      </c>
      <c r="BZ54" s="9">
        <v>0.0</v>
      </c>
      <c r="CA54" s="9">
        <v>0.0</v>
      </c>
      <c r="CB54" s="9">
        <v>0.0</v>
      </c>
      <c r="CC54" s="15" t="s">
        <v>113</v>
      </c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</row>
    <row r="55" ht="18.75" customHeight="1">
      <c r="A55" s="9">
        <v>54.0</v>
      </c>
      <c r="B55" s="30">
        <v>33.0</v>
      </c>
      <c r="C55" s="31" t="s">
        <v>81</v>
      </c>
      <c r="D55" s="31" t="s">
        <v>82</v>
      </c>
      <c r="E55" s="31" t="s">
        <v>83</v>
      </c>
      <c r="F55" s="55">
        <v>172.7</v>
      </c>
      <c r="G55" s="56">
        <v>79.38</v>
      </c>
      <c r="H55" s="12">
        <f t="shared" si="1"/>
        <v>26.61499687</v>
      </c>
      <c r="I55" s="9">
        <v>0.0</v>
      </c>
      <c r="J55" s="9">
        <v>1.0</v>
      </c>
      <c r="K55" s="9">
        <v>1.0</v>
      </c>
      <c r="L55" s="9">
        <v>0.0</v>
      </c>
      <c r="M55" s="9">
        <v>83.0</v>
      </c>
      <c r="N55" s="9">
        <v>0.0</v>
      </c>
      <c r="O55" s="9">
        <v>130.0</v>
      </c>
      <c r="P55" s="9">
        <v>0.0</v>
      </c>
      <c r="Q55" s="9">
        <v>16.0</v>
      </c>
      <c r="R55" s="9">
        <v>0.0</v>
      </c>
      <c r="S55" s="12">
        <v>99.0</v>
      </c>
      <c r="T55" s="9">
        <v>0.0</v>
      </c>
      <c r="U55" s="9">
        <v>99.0</v>
      </c>
      <c r="V55" s="9">
        <v>0.0</v>
      </c>
      <c r="W55" s="9">
        <v>0.0</v>
      </c>
      <c r="X55" s="9">
        <v>0.0</v>
      </c>
      <c r="Y55" s="9">
        <v>1.0</v>
      </c>
      <c r="Z55" s="9">
        <v>0.0</v>
      </c>
      <c r="AA55" s="9">
        <v>0.0</v>
      </c>
      <c r="AB55" s="9">
        <v>0.0</v>
      </c>
      <c r="AC55" s="9">
        <v>0.0</v>
      </c>
      <c r="AD55" s="9">
        <v>0.0</v>
      </c>
      <c r="AE55" s="9">
        <v>0.0</v>
      </c>
      <c r="AF55" s="9">
        <v>0.0</v>
      </c>
      <c r="AG55" s="9">
        <v>0.0</v>
      </c>
      <c r="AH55" s="9">
        <v>0.0</v>
      </c>
      <c r="AI55" s="9">
        <v>0.0</v>
      </c>
      <c r="AJ55" s="9">
        <v>0.0</v>
      </c>
      <c r="AK55" s="9">
        <v>0.0</v>
      </c>
      <c r="AL55" s="9">
        <v>1.0</v>
      </c>
      <c r="AM55" s="9">
        <v>0.0</v>
      </c>
      <c r="AN55" s="9">
        <v>0.0</v>
      </c>
      <c r="AO55" s="9" t="s">
        <v>84</v>
      </c>
      <c r="AP55" s="9" t="s">
        <v>84</v>
      </c>
      <c r="AQ55" s="9" t="s">
        <v>84</v>
      </c>
      <c r="AR55" s="9">
        <v>0.0</v>
      </c>
      <c r="AS55" s="9" t="s">
        <v>84</v>
      </c>
      <c r="AT55" s="9" t="s">
        <v>84</v>
      </c>
      <c r="AU55" s="9" t="s">
        <v>84</v>
      </c>
      <c r="AV55" s="9" t="s">
        <v>84</v>
      </c>
      <c r="AW55" s="9" t="s">
        <v>84</v>
      </c>
      <c r="AX55" s="33">
        <f>3.65/4.53</f>
        <v>0.8057395143</v>
      </c>
      <c r="AY55" s="34">
        <v>0.0</v>
      </c>
      <c r="AZ55" s="30">
        <v>0.0</v>
      </c>
      <c r="BA55" s="30">
        <v>0.0</v>
      </c>
      <c r="BB55" s="33">
        <f>3.01/3.58</f>
        <v>0.8407821229</v>
      </c>
      <c r="BC55" s="30">
        <v>1.0</v>
      </c>
      <c r="BD55" s="30">
        <v>0.0</v>
      </c>
      <c r="BE55" s="30">
        <v>0.0</v>
      </c>
      <c r="BF55" s="9">
        <v>0.0</v>
      </c>
      <c r="BG55" s="9" t="s">
        <v>84</v>
      </c>
      <c r="BH55" s="9">
        <v>0.0</v>
      </c>
      <c r="BI55" s="9">
        <v>0.0</v>
      </c>
      <c r="BJ55" s="9">
        <v>0.0</v>
      </c>
      <c r="BK55" s="9">
        <v>0.0</v>
      </c>
      <c r="BL55" s="9">
        <v>0.0</v>
      </c>
      <c r="BM55" s="9">
        <v>0.0</v>
      </c>
      <c r="BN55" s="9">
        <v>0.0</v>
      </c>
      <c r="BO55" s="9">
        <v>0.0</v>
      </c>
      <c r="BP55" s="9" t="s">
        <v>84</v>
      </c>
      <c r="BQ55" s="9" t="s">
        <v>84</v>
      </c>
      <c r="BR55" s="9">
        <v>0.0</v>
      </c>
      <c r="BS55" s="9">
        <v>0.0</v>
      </c>
      <c r="BT55" s="9">
        <v>0.0</v>
      </c>
      <c r="BU55" s="9">
        <v>0.0</v>
      </c>
      <c r="BV55" s="9">
        <v>0.0</v>
      </c>
      <c r="BW55" s="9">
        <v>0.0</v>
      </c>
      <c r="BX55" s="9">
        <v>0.0</v>
      </c>
      <c r="BY55" s="9">
        <v>0.0</v>
      </c>
      <c r="BZ55" s="9">
        <v>1.0</v>
      </c>
      <c r="CA55" s="9">
        <v>0.0</v>
      </c>
      <c r="CB55" s="9">
        <v>0.0</v>
      </c>
      <c r="CC55" s="15" t="s">
        <v>101</v>
      </c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</row>
    <row r="56" ht="18.75" customHeight="1">
      <c r="A56" s="9">
        <v>55.0</v>
      </c>
      <c r="B56" s="30">
        <v>44.0</v>
      </c>
      <c r="C56" s="31" t="s">
        <v>86</v>
      </c>
      <c r="D56" s="31" t="s">
        <v>175</v>
      </c>
      <c r="E56" s="31" t="s">
        <v>176</v>
      </c>
      <c r="F56" s="55">
        <v>172.7</v>
      </c>
      <c r="G56" s="56">
        <v>94.35</v>
      </c>
      <c r="H56" s="12">
        <f t="shared" si="1"/>
        <v>31.63422719</v>
      </c>
      <c r="I56" s="9">
        <v>1.0</v>
      </c>
      <c r="J56" s="9">
        <v>2.0</v>
      </c>
      <c r="K56" s="9">
        <v>2.0</v>
      </c>
      <c r="L56" s="9">
        <v>1.0</v>
      </c>
      <c r="M56" s="9">
        <v>135.0</v>
      </c>
      <c r="N56" s="9">
        <v>0.0</v>
      </c>
      <c r="O56" s="9">
        <v>126.0</v>
      </c>
      <c r="P56" s="9">
        <v>0.0</v>
      </c>
      <c r="Q56" s="9">
        <v>22.0</v>
      </c>
      <c r="R56" s="9">
        <v>0.0</v>
      </c>
      <c r="S56" s="12">
        <v>98.0</v>
      </c>
      <c r="T56" s="9" t="s">
        <v>84</v>
      </c>
      <c r="U56" s="9" t="s">
        <v>84</v>
      </c>
      <c r="V56" s="9">
        <v>1.0</v>
      </c>
      <c r="W56" s="9">
        <v>0.0</v>
      </c>
      <c r="X56" s="9">
        <v>0.0</v>
      </c>
      <c r="Y56" s="9">
        <v>0.0</v>
      </c>
      <c r="Z56" s="9">
        <v>0.0</v>
      </c>
      <c r="AA56" s="9">
        <v>0.0</v>
      </c>
      <c r="AB56" s="9">
        <v>0.0</v>
      </c>
      <c r="AC56" s="9">
        <v>0.0</v>
      </c>
      <c r="AD56" s="9">
        <v>1.0</v>
      </c>
      <c r="AE56" s="9">
        <v>0.0</v>
      </c>
      <c r="AF56" s="9">
        <v>0.0</v>
      </c>
      <c r="AG56" s="9">
        <v>1.0</v>
      </c>
      <c r="AH56" s="9">
        <v>0.0</v>
      </c>
      <c r="AI56" s="9">
        <v>0.0</v>
      </c>
      <c r="AJ56" s="9">
        <v>0.0</v>
      </c>
      <c r="AK56" s="9">
        <v>0.0</v>
      </c>
      <c r="AL56" s="9">
        <v>0.0</v>
      </c>
      <c r="AM56" s="9">
        <v>0.0</v>
      </c>
      <c r="AN56" s="9">
        <v>0.0</v>
      </c>
      <c r="AO56" s="9">
        <v>0.0</v>
      </c>
      <c r="AP56" s="9" t="s">
        <v>84</v>
      </c>
      <c r="AQ56" s="9" t="s">
        <v>84</v>
      </c>
      <c r="AR56" s="9">
        <v>1.0</v>
      </c>
      <c r="AS56" s="9">
        <v>1.0</v>
      </c>
      <c r="AT56" s="9">
        <v>1.0</v>
      </c>
      <c r="AU56" s="9">
        <v>1.0</v>
      </c>
      <c r="AV56" s="9">
        <v>0.0</v>
      </c>
      <c r="AW56" s="9">
        <v>48.0</v>
      </c>
      <c r="AX56" s="33">
        <f>4.16/3.41</f>
        <v>1.219941349</v>
      </c>
      <c r="AY56" s="34">
        <v>0.0</v>
      </c>
      <c r="AZ56" s="30">
        <v>0.0</v>
      </c>
      <c r="BA56" s="30">
        <v>1.0</v>
      </c>
      <c r="BB56" s="33">
        <f>2.78/3.12</f>
        <v>0.891025641</v>
      </c>
      <c r="BC56" s="30">
        <v>2.0</v>
      </c>
      <c r="BD56" s="30">
        <v>1.0</v>
      </c>
      <c r="BE56" s="30">
        <v>1.0</v>
      </c>
      <c r="BF56" s="9">
        <v>0.0</v>
      </c>
      <c r="BG56" s="9" t="s">
        <v>84</v>
      </c>
      <c r="BH56" s="9">
        <v>0.0</v>
      </c>
      <c r="BI56" s="9">
        <v>0.0</v>
      </c>
      <c r="BJ56" s="9">
        <v>0.0</v>
      </c>
      <c r="BK56" s="9">
        <v>0.0</v>
      </c>
      <c r="BL56" s="9">
        <v>0.0</v>
      </c>
      <c r="BM56" s="9">
        <v>0.0</v>
      </c>
      <c r="BN56" s="9">
        <v>0.0</v>
      </c>
      <c r="BO56" s="9">
        <v>0.0</v>
      </c>
      <c r="BP56" s="9" t="s">
        <v>84</v>
      </c>
      <c r="BQ56" s="9" t="s">
        <v>84</v>
      </c>
      <c r="BR56" s="9">
        <v>0.0</v>
      </c>
      <c r="BS56" s="9">
        <v>0.0</v>
      </c>
      <c r="BT56" s="9">
        <v>0.0</v>
      </c>
      <c r="BU56" s="9">
        <v>0.0</v>
      </c>
      <c r="BV56" s="9">
        <v>0.0</v>
      </c>
      <c r="BW56" s="9">
        <v>0.0</v>
      </c>
      <c r="BX56" s="9">
        <v>0.0</v>
      </c>
      <c r="BY56" s="9">
        <v>0.0</v>
      </c>
      <c r="BZ56" s="9">
        <v>1.0</v>
      </c>
      <c r="CA56" s="9">
        <v>0.0</v>
      </c>
      <c r="CB56" s="9">
        <v>0.0</v>
      </c>
      <c r="CC56" s="15" t="s">
        <v>177</v>
      </c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</row>
    <row r="57" ht="18.75" customHeight="1">
      <c r="A57" s="9">
        <v>56.0</v>
      </c>
      <c r="B57" s="30">
        <v>70.0</v>
      </c>
      <c r="C57" s="31" t="s">
        <v>86</v>
      </c>
      <c r="D57" s="31" t="s">
        <v>82</v>
      </c>
      <c r="E57" s="30">
        <v>3.0</v>
      </c>
      <c r="F57" s="55">
        <v>157.5</v>
      </c>
      <c r="G57" s="56">
        <v>74.8</v>
      </c>
      <c r="H57" s="12">
        <f t="shared" si="1"/>
        <v>30.15369111</v>
      </c>
      <c r="I57" s="9">
        <v>0.0</v>
      </c>
      <c r="J57" s="9">
        <v>2.0</v>
      </c>
      <c r="K57" s="9">
        <v>1.0</v>
      </c>
      <c r="L57" s="9">
        <v>0.0</v>
      </c>
      <c r="M57" s="9">
        <v>108.0</v>
      </c>
      <c r="N57" s="9">
        <v>0.0</v>
      </c>
      <c r="O57" s="9">
        <v>192.0</v>
      </c>
      <c r="P57" s="9">
        <v>0.0</v>
      </c>
      <c r="Q57" s="9">
        <v>24.0</v>
      </c>
      <c r="R57" s="9">
        <v>0.0</v>
      </c>
      <c r="S57" s="12">
        <v>98.6</v>
      </c>
      <c r="T57" s="9">
        <v>0.0</v>
      </c>
      <c r="U57" s="9">
        <v>99.0</v>
      </c>
      <c r="V57" s="9">
        <v>0.0</v>
      </c>
      <c r="W57" s="9">
        <v>0.0</v>
      </c>
      <c r="X57" s="9">
        <v>0.0</v>
      </c>
      <c r="Y57" s="9">
        <v>0.0</v>
      </c>
      <c r="Z57" s="9">
        <v>0.0</v>
      </c>
      <c r="AA57" s="9">
        <v>0.0</v>
      </c>
      <c r="AB57" s="9">
        <v>0.0</v>
      </c>
      <c r="AC57" s="9">
        <v>0.0</v>
      </c>
      <c r="AD57" s="9">
        <v>0.0</v>
      </c>
      <c r="AE57" s="9">
        <v>1.0</v>
      </c>
      <c r="AF57" s="9">
        <v>1.0</v>
      </c>
      <c r="AG57" s="9">
        <v>0.0</v>
      </c>
      <c r="AH57" s="9">
        <v>0.0</v>
      </c>
      <c r="AI57" s="9">
        <v>0.0</v>
      </c>
      <c r="AJ57" s="9">
        <v>0.0</v>
      </c>
      <c r="AK57" s="9">
        <v>1.0</v>
      </c>
      <c r="AL57" s="9">
        <v>0.0</v>
      </c>
      <c r="AM57" s="9">
        <v>0.0</v>
      </c>
      <c r="AN57" s="9">
        <v>0.0</v>
      </c>
      <c r="AO57" s="9">
        <v>0.0</v>
      </c>
      <c r="AP57" s="9" t="s">
        <v>84</v>
      </c>
      <c r="AQ57" s="9">
        <v>0.0</v>
      </c>
      <c r="AR57" s="9">
        <v>0.0</v>
      </c>
      <c r="AS57" s="9" t="s">
        <v>84</v>
      </c>
      <c r="AT57" s="9" t="s">
        <v>84</v>
      </c>
      <c r="AU57" s="9" t="s">
        <v>84</v>
      </c>
      <c r="AV57" s="9" t="s">
        <v>84</v>
      </c>
      <c r="AW57" s="9" t="s">
        <v>84</v>
      </c>
      <c r="AX57" s="33">
        <f>2.58/3.9</f>
        <v>0.6615384615</v>
      </c>
      <c r="AY57" s="34">
        <v>0.0</v>
      </c>
      <c r="AZ57" s="30">
        <v>0.0</v>
      </c>
      <c r="BA57" s="30">
        <v>0.0</v>
      </c>
      <c r="BB57" s="33">
        <f>3/3.71</f>
        <v>0.8086253369</v>
      </c>
      <c r="BC57" s="30">
        <v>3.0</v>
      </c>
      <c r="BD57" s="30">
        <v>0.0</v>
      </c>
      <c r="BE57" s="30">
        <v>0.0</v>
      </c>
      <c r="BF57" s="9">
        <v>0.0</v>
      </c>
      <c r="BG57" s="9" t="s">
        <v>84</v>
      </c>
      <c r="BH57" s="9">
        <v>0.0</v>
      </c>
      <c r="BI57" s="9">
        <v>0.0</v>
      </c>
      <c r="BJ57" s="9">
        <v>0.0</v>
      </c>
      <c r="BK57" s="9">
        <v>0.0</v>
      </c>
      <c r="BL57" s="9">
        <v>0.0</v>
      </c>
      <c r="BM57" s="9">
        <v>0.0</v>
      </c>
      <c r="BN57" s="9">
        <v>0.0</v>
      </c>
      <c r="BO57" s="9">
        <v>0.0</v>
      </c>
      <c r="BP57" s="9" t="s">
        <v>84</v>
      </c>
      <c r="BQ57" s="9" t="s">
        <v>84</v>
      </c>
      <c r="BR57" s="9">
        <v>1.0</v>
      </c>
      <c r="BS57" s="9" t="s">
        <v>178</v>
      </c>
      <c r="BT57" s="9">
        <v>1.0</v>
      </c>
      <c r="BU57" s="9">
        <v>0.0</v>
      </c>
      <c r="BV57" s="9">
        <v>0.0</v>
      </c>
      <c r="BW57" s="9">
        <v>0.0</v>
      </c>
      <c r="BX57" s="9">
        <v>0.0</v>
      </c>
      <c r="BY57" s="9">
        <v>0.0</v>
      </c>
      <c r="BZ57" s="9">
        <v>0.0</v>
      </c>
      <c r="CA57" s="9">
        <v>0.0</v>
      </c>
      <c r="CB57" s="9">
        <v>0.0</v>
      </c>
      <c r="CC57" s="15" t="s">
        <v>92</v>
      </c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</row>
    <row r="58" ht="18.75" customHeight="1">
      <c r="A58" s="9">
        <v>57.0</v>
      </c>
      <c r="B58" s="30">
        <v>50.0</v>
      </c>
      <c r="C58" s="31" t="s">
        <v>81</v>
      </c>
      <c r="D58" s="31" t="s">
        <v>88</v>
      </c>
      <c r="E58" s="31" t="s">
        <v>83</v>
      </c>
      <c r="F58" s="55">
        <v>177.8</v>
      </c>
      <c r="G58" s="56">
        <v>117.5</v>
      </c>
      <c r="H58" s="12">
        <f t="shared" si="1"/>
        <v>37.16844168</v>
      </c>
      <c r="I58" s="9">
        <v>0.0</v>
      </c>
      <c r="J58" s="9">
        <v>1.0</v>
      </c>
      <c r="K58" s="9">
        <v>2.0</v>
      </c>
      <c r="L58" s="9">
        <v>0.0</v>
      </c>
      <c r="M58" s="9">
        <v>80.0</v>
      </c>
      <c r="N58" s="9">
        <v>0.0</v>
      </c>
      <c r="O58" s="9">
        <v>127.0</v>
      </c>
      <c r="P58" s="9">
        <v>0.0</v>
      </c>
      <c r="Q58" s="9">
        <v>18.0</v>
      </c>
      <c r="R58" s="9">
        <v>0.0</v>
      </c>
      <c r="S58" s="12">
        <v>99.4</v>
      </c>
      <c r="T58" s="9">
        <v>0.0</v>
      </c>
      <c r="U58" s="9">
        <v>96.0</v>
      </c>
      <c r="V58" s="9">
        <v>0.0</v>
      </c>
      <c r="W58" s="9">
        <v>0.0</v>
      </c>
      <c r="X58" s="9">
        <v>0.0</v>
      </c>
      <c r="Y58" s="9">
        <v>0.0</v>
      </c>
      <c r="Z58" s="9">
        <v>0.0</v>
      </c>
      <c r="AA58" s="9">
        <v>0.0</v>
      </c>
      <c r="AB58" s="9">
        <v>0.0</v>
      </c>
      <c r="AC58" s="9">
        <v>0.0</v>
      </c>
      <c r="AD58" s="9">
        <v>0.0</v>
      </c>
      <c r="AE58" s="9">
        <v>0.0</v>
      </c>
      <c r="AF58" s="9">
        <v>0.0</v>
      </c>
      <c r="AG58" s="9">
        <v>0.0</v>
      </c>
      <c r="AH58" s="9">
        <v>0.0</v>
      </c>
      <c r="AI58" s="9">
        <v>0.0</v>
      </c>
      <c r="AJ58" s="9">
        <v>0.0</v>
      </c>
      <c r="AK58" s="9">
        <v>0.0</v>
      </c>
      <c r="AL58" s="9">
        <v>0.0</v>
      </c>
      <c r="AM58" s="9">
        <v>0.0</v>
      </c>
      <c r="AN58" s="9">
        <v>0.0</v>
      </c>
      <c r="AO58" s="9">
        <v>0.0</v>
      </c>
      <c r="AP58" s="9" t="s">
        <v>84</v>
      </c>
      <c r="AQ58" s="9">
        <v>0.0</v>
      </c>
      <c r="AR58" s="9">
        <v>0.0</v>
      </c>
      <c r="AS58" s="9">
        <v>1.0</v>
      </c>
      <c r="AT58" s="9">
        <v>0.0</v>
      </c>
      <c r="AU58" s="9">
        <v>0.0</v>
      </c>
      <c r="AV58" s="9">
        <v>0.0</v>
      </c>
      <c r="AW58" s="9" t="s">
        <v>97</v>
      </c>
      <c r="AX58" s="33">
        <f>5.23/4.13</f>
        <v>1.266343826</v>
      </c>
      <c r="AY58" s="34">
        <v>0.0</v>
      </c>
      <c r="AZ58" s="30">
        <v>0.0</v>
      </c>
      <c r="BA58" s="30">
        <v>1.0</v>
      </c>
      <c r="BB58" s="33">
        <f>3.02/3.07</f>
        <v>0.983713355</v>
      </c>
      <c r="BC58" s="30">
        <v>2.0</v>
      </c>
      <c r="BD58" s="30">
        <v>1.0</v>
      </c>
      <c r="BE58" s="30">
        <v>0.0</v>
      </c>
      <c r="BF58" s="9">
        <v>0.0</v>
      </c>
      <c r="BG58" s="9" t="s">
        <v>84</v>
      </c>
      <c r="BH58" s="9">
        <v>1.0</v>
      </c>
      <c r="BI58" s="9">
        <v>0.0</v>
      </c>
      <c r="BJ58" s="9">
        <v>0.0</v>
      </c>
      <c r="BK58" s="9">
        <v>0.0</v>
      </c>
      <c r="BL58" s="9">
        <v>0.0</v>
      </c>
      <c r="BM58" s="9">
        <v>0.0</v>
      </c>
      <c r="BN58" s="9">
        <v>0.0</v>
      </c>
      <c r="BO58" s="9">
        <v>1.0</v>
      </c>
      <c r="BP58" s="9">
        <v>0.0</v>
      </c>
      <c r="BQ58" s="9">
        <v>1.0</v>
      </c>
      <c r="BR58" s="9">
        <v>0.0</v>
      </c>
      <c r="BS58" s="9">
        <v>0.0</v>
      </c>
      <c r="BT58" s="9">
        <v>0.0</v>
      </c>
      <c r="BU58" s="9">
        <v>0.0</v>
      </c>
      <c r="BV58" s="9">
        <v>0.0</v>
      </c>
      <c r="BW58" s="9">
        <v>0.0</v>
      </c>
      <c r="BX58" s="9">
        <v>0.0</v>
      </c>
      <c r="BY58" s="9">
        <v>0.0</v>
      </c>
      <c r="BZ58" s="9">
        <v>0.0</v>
      </c>
      <c r="CA58" s="9">
        <v>0.0</v>
      </c>
      <c r="CB58" s="9">
        <v>0.0</v>
      </c>
      <c r="CC58" s="15" t="s">
        <v>101</v>
      </c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57"/>
      <c r="CV58" s="57"/>
      <c r="CW58" s="57"/>
    </row>
    <row r="59" ht="18.75" customHeight="1">
      <c r="A59" s="9">
        <v>58.0</v>
      </c>
      <c r="B59" s="30">
        <v>51.0</v>
      </c>
      <c r="C59" s="31" t="s">
        <v>81</v>
      </c>
      <c r="D59" s="31" t="s">
        <v>88</v>
      </c>
      <c r="E59" s="31" t="s">
        <v>90</v>
      </c>
      <c r="F59" s="55">
        <v>167.6</v>
      </c>
      <c r="G59" s="56">
        <v>117.9</v>
      </c>
      <c r="H59" s="12">
        <f t="shared" si="1"/>
        <v>41.97259072</v>
      </c>
      <c r="I59" s="9">
        <v>0.0</v>
      </c>
      <c r="J59" s="9">
        <v>1.0</v>
      </c>
      <c r="K59" s="9">
        <v>1.0</v>
      </c>
      <c r="L59" s="9">
        <v>0.0</v>
      </c>
      <c r="M59" s="9">
        <v>107.0</v>
      </c>
      <c r="N59" s="9">
        <v>0.0</v>
      </c>
      <c r="O59" s="9">
        <v>132.0</v>
      </c>
      <c r="P59" s="9">
        <v>0.0</v>
      </c>
      <c r="Q59" s="9">
        <v>18.0</v>
      </c>
      <c r="R59" s="9">
        <v>0.0</v>
      </c>
      <c r="S59" s="12">
        <v>98.4</v>
      </c>
      <c r="T59" s="9">
        <v>0.0</v>
      </c>
      <c r="U59" s="9">
        <v>95.0</v>
      </c>
      <c r="V59" s="9">
        <v>0.0</v>
      </c>
      <c r="W59" s="9">
        <v>0.0</v>
      </c>
      <c r="X59" s="9">
        <v>0.0</v>
      </c>
      <c r="Y59" s="9">
        <v>0.0</v>
      </c>
      <c r="Z59" s="9">
        <v>0.0</v>
      </c>
      <c r="AA59" s="9">
        <v>0.0</v>
      </c>
      <c r="AB59" s="9">
        <v>0.0</v>
      </c>
      <c r="AC59" s="9">
        <v>0.0</v>
      </c>
      <c r="AD59" s="9">
        <v>0.0</v>
      </c>
      <c r="AE59" s="9">
        <v>0.0</v>
      </c>
      <c r="AF59" s="9">
        <v>0.0</v>
      </c>
      <c r="AG59" s="9">
        <v>0.0</v>
      </c>
      <c r="AH59" s="9">
        <v>0.0</v>
      </c>
      <c r="AI59" s="9">
        <v>0.0</v>
      </c>
      <c r="AJ59" s="9">
        <v>0.0</v>
      </c>
      <c r="AK59" s="9">
        <v>1.0</v>
      </c>
      <c r="AL59" s="9">
        <v>0.0</v>
      </c>
      <c r="AM59" s="9">
        <v>0.0</v>
      </c>
      <c r="AN59" s="9">
        <v>0.0</v>
      </c>
      <c r="AO59" s="9" t="s">
        <v>84</v>
      </c>
      <c r="AP59" s="9" t="s">
        <v>84</v>
      </c>
      <c r="AQ59" s="9" t="s">
        <v>84</v>
      </c>
      <c r="AR59" s="9">
        <v>0.0</v>
      </c>
      <c r="AS59" s="9" t="s">
        <v>84</v>
      </c>
      <c r="AT59" s="9" t="s">
        <v>84</v>
      </c>
      <c r="AU59" s="9" t="s">
        <v>84</v>
      </c>
      <c r="AV59" s="9" t="s">
        <v>84</v>
      </c>
      <c r="AW59" s="9" t="s">
        <v>84</v>
      </c>
      <c r="AX59" s="33">
        <f>3.9/4.9</f>
        <v>0.7959183673</v>
      </c>
      <c r="AY59" s="34">
        <v>0.0</v>
      </c>
      <c r="AZ59" s="30">
        <v>0.0</v>
      </c>
      <c r="BA59" s="30">
        <v>0.0</v>
      </c>
      <c r="BB59" s="33">
        <f>3.19/3.53</f>
        <v>0.9036827195</v>
      </c>
      <c r="BC59" s="30">
        <v>3.0</v>
      </c>
      <c r="BD59" s="30">
        <v>0.0</v>
      </c>
      <c r="BE59" s="30">
        <v>1.0</v>
      </c>
      <c r="BF59" s="9">
        <v>0.0</v>
      </c>
      <c r="BG59" s="9" t="s">
        <v>84</v>
      </c>
      <c r="BH59" s="9">
        <v>0.0</v>
      </c>
      <c r="BI59" s="9">
        <v>0.0</v>
      </c>
      <c r="BJ59" s="9">
        <v>0.0</v>
      </c>
      <c r="BK59" s="9">
        <v>0.0</v>
      </c>
      <c r="BL59" s="9">
        <v>0.0</v>
      </c>
      <c r="BM59" s="9">
        <v>0.0</v>
      </c>
      <c r="BN59" s="9">
        <v>0.0</v>
      </c>
      <c r="BO59" s="9">
        <v>0.0</v>
      </c>
      <c r="BP59" s="9" t="s">
        <v>84</v>
      </c>
      <c r="BQ59" s="9" t="s">
        <v>84</v>
      </c>
      <c r="BR59" s="9">
        <v>0.0</v>
      </c>
      <c r="BS59" s="9">
        <v>0.0</v>
      </c>
      <c r="BT59" s="9">
        <v>0.0</v>
      </c>
      <c r="BU59" s="9">
        <v>0.0</v>
      </c>
      <c r="BV59" s="9">
        <v>0.0</v>
      </c>
      <c r="BW59" s="9">
        <v>0.0</v>
      </c>
      <c r="BX59" s="9">
        <v>0.0</v>
      </c>
      <c r="BY59" s="9">
        <v>0.0</v>
      </c>
      <c r="BZ59" s="9">
        <v>0.0</v>
      </c>
      <c r="CA59" s="9">
        <v>0.0</v>
      </c>
      <c r="CB59" s="9">
        <v>0.0</v>
      </c>
      <c r="CC59" s="15" t="s">
        <v>92</v>
      </c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57"/>
      <c r="CV59" s="57"/>
      <c r="CW59" s="57"/>
    </row>
    <row r="60" ht="18.75" customHeight="1">
      <c r="A60" s="9">
        <v>59.0</v>
      </c>
      <c r="B60" s="30">
        <v>86.0</v>
      </c>
      <c r="C60" s="31" t="s">
        <v>81</v>
      </c>
      <c r="D60" s="31" t="s">
        <v>82</v>
      </c>
      <c r="E60" s="31" t="s">
        <v>96</v>
      </c>
      <c r="F60" s="55">
        <v>180.3</v>
      </c>
      <c r="G60" s="56">
        <v>113.4</v>
      </c>
      <c r="H60" s="12">
        <f t="shared" si="1"/>
        <v>34.88362435</v>
      </c>
      <c r="I60" s="9">
        <v>1.0</v>
      </c>
      <c r="J60" s="9">
        <v>4.0</v>
      </c>
      <c r="K60" s="9">
        <v>2.0</v>
      </c>
      <c r="L60" s="9">
        <v>0.0</v>
      </c>
      <c r="M60" s="9">
        <v>63.0</v>
      </c>
      <c r="N60" s="9">
        <v>0.0</v>
      </c>
      <c r="O60" s="9">
        <v>179.0</v>
      </c>
      <c r="P60" s="9">
        <v>0.0</v>
      </c>
      <c r="Q60" s="9">
        <v>29.0</v>
      </c>
      <c r="R60" s="9">
        <v>0.0</v>
      </c>
      <c r="S60" s="12">
        <v>98.0</v>
      </c>
      <c r="T60" s="9">
        <v>1.0</v>
      </c>
      <c r="U60" s="9" t="s">
        <v>84</v>
      </c>
      <c r="V60" s="9">
        <v>1.0</v>
      </c>
      <c r="W60" s="9">
        <v>0.0</v>
      </c>
      <c r="X60" s="9">
        <v>1.0</v>
      </c>
      <c r="Y60" s="9">
        <v>0.0</v>
      </c>
      <c r="Z60" s="9">
        <v>0.0</v>
      </c>
      <c r="AA60" s="9">
        <v>0.0</v>
      </c>
      <c r="AB60" s="9">
        <v>0.0</v>
      </c>
      <c r="AC60" s="9">
        <v>0.0</v>
      </c>
      <c r="AD60" s="9">
        <v>0.0</v>
      </c>
      <c r="AE60" s="9">
        <v>1.0</v>
      </c>
      <c r="AF60" s="9">
        <v>0.0</v>
      </c>
      <c r="AG60" s="9">
        <v>0.0</v>
      </c>
      <c r="AH60" s="9">
        <v>0.0</v>
      </c>
      <c r="AI60" s="9">
        <v>0.0</v>
      </c>
      <c r="AJ60" s="9">
        <v>0.0</v>
      </c>
      <c r="AK60" s="9">
        <v>0.0</v>
      </c>
      <c r="AL60" s="9">
        <v>0.0</v>
      </c>
      <c r="AM60" s="9">
        <v>0.0</v>
      </c>
      <c r="AN60" s="9">
        <v>0.0</v>
      </c>
      <c r="AO60" s="9">
        <v>1.0</v>
      </c>
      <c r="AP60" s="9">
        <v>1.0</v>
      </c>
      <c r="AQ60" s="9">
        <v>1.0</v>
      </c>
      <c r="AR60" s="9">
        <v>1.0</v>
      </c>
      <c r="AS60" s="9">
        <v>1.0</v>
      </c>
      <c r="AT60" s="9">
        <v>1.0</v>
      </c>
      <c r="AU60" s="9">
        <v>1.0</v>
      </c>
      <c r="AV60" s="9">
        <v>0.0</v>
      </c>
      <c r="AW60" s="9">
        <v>79.3</v>
      </c>
      <c r="AX60" s="33">
        <f>3.26/4.76</f>
        <v>0.6848739496</v>
      </c>
      <c r="AY60" s="34">
        <v>0.0</v>
      </c>
      <c r="AZ60" s="30">
        <v>0.0</v>
      </c>
      <c r="BA60" s="30">
        <v>0.0</v>
      </c>
      <c r="BB60" s="33">
        <f>3.71/3.98</f>
        <v>0.932160804</v>
      </c>
      <c r="BC60" s="30">
        <v>3.0</v>
      </c>
      <c r="BD60" s="30">
        <v>0.0</v>
      </c>
      <c r="BE60" s="30">
        <v>1.0</v>
      </c>
      <c r="BF60" s="9">
        <v>0.0</v>
      </c>
      <c r="BG60" s="9" t="s">
        <v>84</v>
      </c>
      <c r="BH60" s="9">
        <v>1.0</v>
      </c>
      <c r="BI60" s="9">
        <v>0.0</v>
      </c>
      <c r="BJ60" s="9">
        <v>0.0</v>
      </c>
      <c r="BK60" s="9">
        <v>0.0</v>
      </c>
      <c r="BL60" s="9">
        <v>0.0</v>
      </c>
      <c r="BM60" s="9">
        <v>0.0</v>
      </c>
      <c r="BN60" s="9">
        <v>0.0</v>
      </c>
      <c r="BO60" s="9">
        <v>0.0</v>
      </c>
      <c r="BP60" s="9" t="s">
        <v>84</v>
      </c>
      <c r="BQ60" s="9" t="s">
        <v>84</v>
      </c>
      <c r="BR60" s="9">
        <v>0.0</v>
      </c>
      <c r="BS60" s="9">
        <v>0.0</v>
      </c>
      <c r="BT60" s="9">
        <v>0.0</v>
      </c>
      <c r="BU60" s="9">
        <v>0.0</v>
      </c>
      <c r="BV60" s="9">
        <v>0.0</v>
      </c>
      <c r="BW60" s="9">
        <v>0.0</v>
      </c>
      <c r="BX60" s="9">
        <v>0.0</v>
      </c>
      <c r="BY60" s="9">
        <v>0.0</v>
      </c>
      <c r="BZ60" s="9">
        <v>0.0</v>
      </c>
      <c r="CA60" s="9">
        <v>0.0</v>
      </c>
      <c r="CB60" s="9">
        <v>0.0</v>
      </c>
      <c r="CC60" s="15" t="s">
        <v>101</v>
      </c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57"/>
      <c r="CV60" s="57"/>
      <c r="CW60" s="57"/>
    </row>
    <row r="61" ht="18.75" customHeight="1">
      <c r="A61" s="9">
        <v>60.0</v>
      </c>
      <c r="B61" s="30">
        <v>77.0</v>
      </c>
      <c r="C61" s="31" t="s">
        <v>86</v>
      </c>
      <c r="D61" s="31" t="s">
        <v>82</v>
      </c>
      <c r="E61" s="31" t="s">
        <v>179</v>
      </c>
      <c r="F61" s="55">
        <v>170.2</v>
      </c>
      <c r="G61" s="56">
        <v>79.4</v>
      </c>
      <c r="H61" s="12">
        <f t="shared" si="1"/>
        <v>27.40951752</v>
      </c>
      <c r="I61" s="9">
        <v>1.0</v>
      </c>
      <c r="J61" s="9">
        <v>5.0</v>
      </c>
      <c r="K61" s="9">
        <v>2.0</v>
      </c>
      <c r="L61" s="9">
        <v>1.0</v>
      </c>
      <c r="M61" s="9">
        <v>190.0</v>
      </c>
      <c r="N61" s="9">
        <v>0.0</v>
      </c>
      <c r="O61" s="9">
        <v>140.0</v>
      </c>
      <c r="P61" s="9">
        <v>0.0</v>
      </c>
      <c r="Q61" s="9">
        <v>17.0</v>
      </c>
      <c r="R61" s="9">
        <v>0.0</v>
      </c>
      <c r="S61" s="12">
        <v>98.2</v>
      </c>
      <c r="T61" s="9">
        <v>1.0</v>
      </c>
      <c r="U61" s="9" t="s">
        <v>84</v>
      </c>
      <c r="V61" s="9">
        <v>1.0</v>
      </c>
      <c r="W61" s="9">
        <v>0.0</v>
      </c>
      <c r="X61" s="9">
        <v>0.0</v>
      </c>
      <c r="Y61" s="9">
        <v>0.0</v>
      </c>
      <c r="Z61" s="9">
        <v>0.0</v>
      </c>
      <c r="AA61" s="9">
        <v>0.0</v>
      </c>
      <c r="AB61" s="9">
        <v>0.0</v>
      </c>
      <c r="AC61" s="9">
        <v>0.0</v>
      </c>
      <c r="AD61" s="9">
        <v>0.0</v>
      </c>
      <c r="AE61" s="9">
        <v>0.0</v>
      </c>
      <c r="AF61" s="9">
        <v>0.0</v>
      </c>
      <c r="AG61" s="9">
        <v>0.0</v>
      </c>
      <c r="AH61" s="9">
        <v>0.0</v>
      </c>
      <c r="AI61" s="9">
        <v>0.0</v>
      </c>
      <c r="AJ61" s="9">
        <v>0.0</v>
      </c>
      <c r="AK61" s="9">
        <v>0.0</v>
      </c>
      <c r="AL61" s="9">
        <v>0.0</v>
      </c>
      <c r="AM61" s="9">
        <v>0.0</v>
      </c>
      <c r="AN61" s="9">
        <v>0.0</v>
      </c>
      <c r="AO61" s="9">
        <v>1.0</v>
      </c>
      <c r="AP61" s="9">
        <v>0.0</v>
      </c>
      <c r="AQ61" s="9" t="s">
        <v>84</v>
      </c>
      <c r="AR61" s="9">
        <v>1.0</v>
      </c>
      <c r="AS61" s="9">
        <v>0.0</v>
      </c>
      <c r="AT61" s="9">
        <v>0.0</v>
      </c>
      <c r="AU61" s="9">
        <v>0.0</v>
      </c>
      <c r="AV61" s="9">
        <v>0.0</v>
      </c>
      <c r="AW61" s="9">
        <v>54.8</v>
      </c>
      <c r="AX61" s="33">
        <f>4.56/4.61</f>
        <v>0.989154013</v>
      </c>
      <c r="AY61" s="34">
        <v>0.0</v>
      </c>
      <c r="AZ61" s="30">
        <v>0.0</v>
      </c>
      <c r="BA61" s="30">
        <v>1.0</v>
      </c>
      <c r="BB61" s="33">
        <f>3.31/3.19</f>
        <v>1.037617555</v>
      </c>
      <c r="BC61" s="30">
        <v>3.0</v>
      </c>
      <c r="BD61" s="30">
        <v>1.0</v>
      </c>
      <c r="BE61" s="30">
        <v>0.0</v>
      </c>
      <c r="BF61" s="9">
        <v>1.0</v>
      </c>
      <c r="BG61" s="15" t="s">
        <v>180</v>
      </c>
      <c r="BH61" s="9">
        <v>1.0</v>
      </c>
      <c r="BI61" s="9">
        <v>0.0</v>
      </c>
      <c r="BJ61" s="9">
        <v>0.0</v>
      </c>
      <c r="BK61" s="9">
        <v>0.0</v>
      </c>
      <c r="BL61" s="9">
        <v>0.0</v>
      </c>
      <c r="BM61" s="9">
        <v>0.0</v>
      </c>
      <c r="BN61" s="9">
        <v>0.0</v>
      </c>
      <c r="BO61" s="9">
        <v>0.0</v>
      </c>
      <c r="BP61" s="9" t="s">
        <v>84</v>
      </c>
      <c r="BQ61" s="9" t="s">
        <v>84</v>
      </c>
      <c r="BR61" s="9">
        <v>0.0</v>
      </c>
      <c r="BS61" s="9">
        <v>0.0</v>
      </c>
      <c r="BT61" s="9">
        <v>0.0</v>
      </c>
      <c r="BU61" s="9">
        <v>0.0</v>
      </c>
      <c r="BV61" s="9">
        <v>0.0</v>
      </c>
      <c r="BW61" s="9">
        <v>0.0</v>
      </c>
      <c r="BX61" s="9">
        <v>0.0</v>
      </c>
      <c r="BY61" s="9">
        <v>1.0</v>
      </c>
      <c r="BZ61" s="9">
        <v>0.0</v>
      </c>
      <c r="CA61" s="9">
        <v>0.0</v>
      </c>
      <c r="CB61" s="9">
        <v>0.0</v>
      </c>
      <c r="CC61" s="15" t="s">
        <v>101</v>
      </c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57"/>
      <c r="CV61" s="57"/>
      <c r="CW61" s="57"/>
    </row>
    <row r="62" ht="18.75" customHeight="1">
      <c r="A62" s="9">
        <v>61.0</v>
      </c>
      <c r="B62" s="30">
        <v>51.0</v>
      </c>
      <c r="C62" s="31" t="s">
        <v>81</v>
      </c>
      <c r="D62" s="31" t="s">
        <v>82</v>
      </c>
      <c r="E62" s="31" t="s">
        <v>93</v>
      </c>
      <c r="F62" s="55">
        <v>175.3</v>
      </c>
      <c r="G62" s="56">
        <v>93.5</v>
      </c>
      <c r="H62" s="12">
        <f t="shared" si="1"/>
        <v>30.42620441</v>
      </c>
      <c r="I62" s="9">
        <v>0.0</v>
      </c>
      <c r="J62" s="9">
        <v>1.0</v>
      </c>
      <c r="K62" s="9">
        <v>4.0</v>
      </c>
      <c r="L62" s="9">
        <v>0.0</v>
      </c>
      <c r="M62" s="9">
        <v>88.0</v>
      </c>
      <c r="N62" s="9">
        <v>0.0</v>
      </c>
      <c r="O62" s="9">
        <v>109.0</v>
      </c>
      <c r="P62" s="9">
        <v>0.0</v>
      </c>
      <c r="Q62" s="9">
        <v>18.0</v>
      </c>
      <c r="R62" s="9">
        <v>0.0</v>
      </c>
      <c r="S62" s="12">
        <v>98.4</v>
      </c>
      <c r="T62" s="9">
        <v>0.0</v>
      </c>
      <c r="U62" s="9">
        <v>96.0</v>
      </c>
      <c r="V62" s="9">
        <v>0.0</v>
      </c>
      <c r="W62" s="9">
        <v>0.0</v>
      </c>
      <c r="X62" s="9">
        <v>0.0</v>
      </c>
      <c r="Y62" s="9">
        <v>1.0</v>
      </c>
      <c r="Z62" s="9">
        <v>0.0</v>
      </c>
      <c r="AA62" s="9">
        <v>0.0</v>
      </c>
      <c r="AB62" s="9">
        <v>0.0</v>
      </c>
      <c r="AC62" s="9">
        <v>0.0</v>
      </c>
      <c r="AD62" s="9">
        <v>0.0</v>
      </c>
      <c r="AE62" s="9">
        <v>0.0</v>
      </c>
      <c r="AF62" s="9">
        <v>0.0</v>
      </c>
      <c r="AG62" s="9">
        <v>1.0</v>
      </c>
      <c r="AH62" s="9">
        <v>0.0</v>
      </c>
      <c r="AI62" s="9">
        <v>1.0</v>
      </c>
      <c r="AJ62" s="9">
        <v>1.0</v>
      </c>
      <c r="AK62" s="9">
        <v>0.0</v>
      </c>
      <c r="AL62" s="9">
        <v>0.0</v>
      </c>
      <c r="AM62" s="9">
        <v>0.0</v>
      </c>
      <c r="AN62" s="9">
        <v>0.0</v>
      </c>
      <c r="AO62" s="9" t="s">
        <v>84</v>
      </c>
      <c r="AP62" s="9" t="s">
        <v>84</v>
      </c>
      <c r="AQ62" s="9" t="s">
        <v>84</v>
      </c>
      <c r="AR62" s="9" t="s">
        <v>84</v>
      </c>
      <c r="AS62" s="9" t="s">
        <v>84</v>
      </c>
      <c r="AT62" s="9" t="s">
        <v>84</v>
      </c>
      <c r="AU62" s="9" t="s">
        <v>84</v>
      </c>
      <c r="AV62" s="9" t="s">
        <v>84</v>
      </c>
      <c r="AW62" s="9" t="s">
        <v>84</v>
      </c>
      <c r="AX62" s="33">
        <f>4.17/5.12</f>
        <v>0.814453125</v>
      </c>
      <c r="AY62" s="34">
        <v>0.0</v>
      </c>
      <c r="AZ62" s="30">
        <v>0.0</v>
      </c>
      <c r="BA62" s="30">
        <v>0.0</v>
      </c>
      <c r="BB62" s="33">
        <f>2.39/3.34</f>
        <v>0.7155688623</v>
      </c>
      <c r="BC62" s="30">
        <v>3.0</v>
      </c>
      <c r="BD62" s="30">
        <v>0.0</v>
      </c>
      <c r="BE62" s="30">
        <v>0.0</v>
      </c>
      <c r="BF62" s="9">
        <v>0.0</v>
      </c>
      <c r="BG62" s="9" t="s">
        <v>84</v>
      </c>
      <c r="BH62" s="9">
        <v>0.0</v>
      </c>
      <c r="BI62" s="9">
        <v>0.0</v>
      </c>
      <c r="BJ62" s="9">
        <v>0.0</v>
      </c>
      <c r="BK62" s="9">
        <v>0.0</v>
      </c>
      <c r="BL62" s="9">
        <v>0.0</v>
      </c>
      <c r="BM62" s="9">
        <v>0.0</v>
      </c>
      <c r="BN62" s="9">
        <v>0.0</v>
      </c>
      <c r="BO62" s="9">
        <v>0.0</v>
      </c>
      <c r="BP62" s="9" t="s">
        <v>84</v>
      </c>
      <c r="BQ62" s="9" t="s">
        <v>84</v>
      </c>
      <c r="BR62" s="9">
        <v>0.0</v>
      </c>
      <c r="BS62" s="9">
        <v>0.0</v>
      </c>
      <c r="BT62" s="9">
        <v>0.0</v>
      </c>
      <c r="BU62" s="9">
        <v>0.0</v>
      </c>
      <c r="BV62" s="9">
        <v>0.0</v>
      </c>
      <c r="BW62" s="9">
        <v>0.0</v>
      </c>
      <c r="BX62" s="9">
        <v>0.0</v>
      </c>
      <c r="BY62" s="9">
        <v>0.0</v>
      </c>
      <c r="BZ62" s="9">
        <v>1.0</v>
      </c>
      <c r="CA62" s="9">
        <v>0.0</v>
      </c>
      <c r="CB62" s="9">
        <v>0.0</v>
      </c>
      <c r="CC62" s="15" t="s">
        <v>87</v>
      </c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57"/>
      <c r="CV62" s="57"/>
      <c r="CW62" s="57"/>
    </row>
    <row r="63" ht="18.75" customHeight="1">
      <c r="A63" s="9">
        <v>62.0</v>
      </c>
      <c r="B63" s="30">
        <v>66.0</v>
      </c>
      <c r="C63" s="31" t="s">
        <v>81</v>
      </c>
      <c r="D63" s="31" t="s">
        <v>82</v>
      </c>
      <c r="E63" s="31" t="s">
        <v>103</v>
      </c>
      <c r="F63" s="55">
        <v>177.8</v>
      </c>
      <c r="G63" s="56">
        <v>86.2</v>
      </c>
      <c r="H63" s="12">
        <f t="shared" si="1"/>
        <v>27.26740147</v>
      </c>
      <c r="I63" s="9">
        <v>1.0</v>
      </c>
      <c r="J63" s="9">
        <v>3.0</v>
      </c>
      <c r="K63" s="9">
        <v>1.0</v>
      </c>
      <c r="L63" s="9">
        <v>1.0</v>
      </c>
      <c r="M63" s="9">
        <v>117.0</v>
      </c>
      <c r="N63" s="9">
        <v>0.0</v>
      </c>
      <c r="O63" s="9">
        <v>125.0</v>
      </c>
      <c r="P63" s="9">
        <v>0.0</v>
      </c>
      <c r="Q63" s="9">
        <v>18.0</v>
      </c>
      <c r="R63" s="9">
        <v>0.0</v>
      </c>
      <c r="S63" s="12">
        <v>98.3</v>
      </c>
      <c r="T63" s="9">
        <v>0.0</v>
      </c>
      <c r="U63" s="9">
        <v>94.0</v>
      </c>
      <c r="V63" s="9">
        <v>0.0</v>
      </c>
      <c r="W63" s="9">
        <v>0.0</v>
      </c>
      <c r="X63" s="9">
        <v>0.0</v>
      </c>
      <c r="Y63" s="9">
        <v>0.0</v>
      </c>
      <c r="Z63" s="9">
        <v>0.0</v>
      </c>
      <c r="AA63" s="9">
        <v>0.0</v>
      </c>
      <c r="AB63" s="9">
        <v>0.0</v>
      </c>
      <c r="AC63" s="9">
        <v>0.0</v>
      </c>
      <c r="AD63" s="9">
        <v>0.0</v>
      </c>
      <c r="AE63" s="9">
        <v>0.0</v>
      </c>
      <c r="AF63" s="9">
        <v>0.0</v>
      </c>
      <c r="AG63" s="9">
        <v>0.0</v>
      </c>
      <c r="AH63" s="9">
        <v>0.0</v>
      </c>
      <c r="AI63" s="9">
        <v>0.0</v>
      </c>
      <c r="AJ63" s="9">
        <v>1.0</v>
      </c>
      <c r="AK63" s="9">
        <v>1.0</v>
      </c>
      <c r="AL63" s="9">
        <v>0.0</v>
      </c>
      <c r="AM63" s="9">
        <v>0.0</v>
      </c>
      <c r="AN63" s="9">
        <v>0.0</v>
      </c>
      <c r="AO63" s="9" t="s">
        <v>84</v>
      </c>
      <c r="AP63" s="9" t="s">
        <v>84</v>
      </c>
      <c r="AQ63" s="9">
        <v>0.0</v>
      </c>
      <c r="AR63" s="9">
        <v>0.0</v>
      </c>
      <c r="AS63" s="9" t="s">
        <v>84</v>
      </c>
      <c r="AT63" s="9" t="s">
        <v>84</v>
      </c>
      <c r="AU63" s="9" t="s">
        <v>84</v>
      </c>
      <c r="AV63" s="9" t="s">
        <v>84</v>
      </c>
      <c r="AW63" s="9" t="s">
        <v>84</v>
      </c>
      <c r="AX63" s="33">
        <f>4.51/5.42</f>
        <v>0.832103321</v>
      </c>
      <c r="AY63" s="34">
        <v>0.0</v>
      </c>
      <c r="AZ63" s="30">
        <v>0.0</v>
      </c>
      <c r="BA63" s="30">
        <v>0.0</v>
      </c>
      <c r="BB63" s="33">
        <f>2.88/3.29</f>
        <v>0.8753799392</v>
      </c>
      <c r="BC63" s="30">
        <v>2.0</v>
      </c>
      <c r="BD63" s="30">
        <v>0.0</v>
      </c>
      <c r="BE63" s="30">
        <v>0.0</v>
      </c>
      <c r="BF63" s="9">
        <v>0.0</v>
      </c>
      <c r="BG63" s="9" t="s">
        <v>84</v>
      </c>
      <c r="BH63" s="9">
        <v>0.0</v>
      </c>
      <c r="BI63" s="9">
        <v>0.0</v>
      </c>
      <c r="BJ63" s="9">
        <v>0.0</v>
      </c>
      <c r="BK63" s="9">
        <v>0.0</v>
      </c>
      <c r="BL63" s="9">
        <v>0.0</v>
      </c>
      <c r="BM63" s="9">
        <v>0.0</v>
      </c>
      <c r="BN63" s="9">
        <v>0.0</v>
      </c>
      <c r="BO63" s="9">
        <v>0.0</v>
      </c>
      <c r="BP63" s="9" t="s">
        <v>84</v>
      </c>
      <c r="BQ63" s="9" t="s">
        <v>84</v>
      </c>
      <c r="BR63" s="9">
        <v>0.0</v>
      </c>
      <c r="BS63" s="9">
        <v>0.0</v>
      </c>
      <c r="BT63" s="9">
        <v>0.0</v>
      </c>
      <c r="BU63" s="9">
        <v>0.0</v>
      </c>
      <c r="BV63" s="9">
        <v>0.0</v>
      </c>
      <c r="BW63" s="9">
        <v>0.0</v>
      </c>
      <c r="BX63" s="9">
        <v>0.0</v>
      </c>
      <c r="BY63" s="9">
        <v>0.0</v>
      </c>
      <c r="BZ63" s="9">
        <v>0.0</v>
      </c>
      <c r="CA63" s="9">
        <v>0.0</v>
      </c>
      <c r="CB63" s="9">
        <v>0.0</v>
      </c>
      <c r="CC63" s="15" t="s">
        <v>92</v>
      </c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</row>
    <row r="64" ht="18.75" customHeight="1">
      <c r="A64" s="9">
        <v>63.0</v>
      </c>
      <c r="B64" s="30">
        <v>89.0</v>
      </c>
      <c r="C64" s="31" t="s">
        <v>81</v>
      </c>
      <c r="D64" s="31" t="s">
        <v>82</v>
      </c>
      <c r="E64" s="31" t="s">
        <v>123</v>
      </c>
      <c r="F64" s="55">
        <v>170.2</v>
      </c>
      <c r="G64" s="56">
        <v>74.8</v>
      </c>
      <c r="H64" s="12">
        <f t="shared" si="1"/>
        <v>25.82156059</v>
      </c>
      <c r="I64" s="9">
        <v>1.0</v>
      </c>
      <c r="J64" s="9">
        <v>5.0</v>
      </c>
      <c r="K64" s="9">
        <v>2.0</v>
      </c>
      <c r="L64" s="9">
        <v>0.0</v>
      </c>
      <c r="M64" s="9">
        <v>100.0</v>
      </c>
      <c r="N64" s="9">
        <v>0.0</v>
      </c>
      <c r="O64" s="9">
        <v>117.0</v>
      </c>
      <c r="P64" s="9">
        <v>0.0</v>
      </c>
      <c r="Q64" s="9">
        <v>20.0</v>
      </c>
      <c r="R64" s="9">
        <v>0.0</v>
      </c>
      <c r="S64" s="12">
        <v>98.8</v>
      </c>
      <c r="T64" s="9">
        <v>0.0</v>
      </c>
      <c r="U64" s="9">
        <v>96.0</v>
      </c>
      <c r="V64" s="9">
        <v>0.0</v>
      </c>
      <c r="W64" s="9">
        <v>0.0</v>
      </c>
      <c r="X64" s="9">
        <v>0.0</v>
      </c>
      <c r="Y64" s="9">
        <v>0.0</v>
      </c>
      <c r="Z64" s="9">
        <v>1.0</v>
      </c>
      <c r="AA64" s="9">
        <v>1.0</v>
      </c>
      <c r="AB64" s="9">
        <v>0.0</v>
      </c>
      <c r="AC64" s="9">
        <v>0.0</v>
      </c>
      <c r="AD64" s="9">
        <v>0.0</v>
      </c>
      <c r="AE64" s="9">
        <v>1.0</v>
      </c>
      <c r="AF64" s="9">
        <v>0.0</v>
      </c>
      <c r="AG64" s="9">
        <v>1.0</v>
      </c>
      <c r="AH64" s="9">
        <v>0.0</v>
      </c>
      <c r="AI64" s="9">
        <v>0.0</v>
      </c>
      <c r="AJ64" s="9">
        <v>0.0</v>
      </c>
      <c r="AK64" s="9">
        <v>0.0</v>
      </c>
      <c r="AL64" s="9">
        <v>0.0</v>
      </c>
      <c r="AM64" s="9">
        <v>1.0</v>
      </c>
      <c r="AN64" s="9">
        <v>0.0</v>
      </c>
      <c r="AO64" s="9" t="s">
        <v>84</v>
      </c>
      <c r="AP64" s="9" t="s">
        <v>84</v>
      </c>
      <c r="AQ64" s="9">
        <v>1.0</v>
      </c>
      <c r="AR64" s="9">
        <v>1.0</v>
      </c>
      <c r="AS64" s="9" t="s">
        <v>84</v>
      </c>
      <c r="AT64" s="9" t="s">
        <v>84</v>
      </c>
      <c r="AU64" s="9" t="s">
        <v>84</v>
      </c>
      <c r="AV64" s="9" t="s">
        <v>84</v>
      </c>
      <c r="AW64" s="9" t="s">
        <v>84</v>
      </c>
      <c r="AX64" s="33">
        <f>5.93/3.47</f>
        <v>1.708933718</v>
      </c>
      <c r="AY64" s="34">
        <v>0.0</v>
      </c>
      <c r="AZ64" s="30">
        <v>0.0</v>
      </c>
      <c r="BA64" s="30">
        <v>1.0</v>
      </c>
      <c r="BB64" s="33">
        <f>3.39/3.34</f>
        <v>1.01497006</v>
      </c>
      <c r="BC64" s="30">
        <v>2.0</v>
      </c>
      <c r="BD64" s="30">
        <v>1.0</v>
      </c>
      <c r="BE64" s="30">
        <v>1.0</v>
      </c>
      <c r="BF64" s="9">
        <v>0.0</v>
      </c>
      <c r="BG64" s="9" t="s">
        <v>84</v>
      </c>
      <c r="BH64" s="9">
        <v>0.0</v>
      </c>
      <c r="BI64" s="9">
        <v>0.0</v>
      </c>
      <c r="BJ64" s="9">
        <v>0.0</v>
      </c>
      <c r="BK64" s="9">
        <v>0.0</v>
      </c>
      <c r="BL64" s="9">
        <v>0.0</v>
      </c>
      <c r="BM64" s="9">
        <v>0.0</v>
      </c>
      <c r="BN64" s="9">
        <v>0.0</v>
      </c>
      <c r="BO64" s="9">
        <v>0.0</v>
      </c>
      <c r="BP64" s="9" t="s">
        <v>84</v>
      </c>
      <c r="BQ64" s="9" t="s">
        <v>84</v>
      </c>
      <c r="BR64" s="9">
        <v>0.0</v>
      </c>
      <c r="BS64" s="9">
        <v>0.0</v>
      </c>
      <c r="BT64" s="9">
        <v>0.0</v>
      </c>
      <c r="BU64" s="9">
        <v>0.0</v>
      </c>
      <c r="BV64" s="9">
        <v>0.0</v>
      </c>
      <c r="BW64" s="9" t="s">
        <v>94</v>
      </c>
      <c r="BX64" s="9" t="s">
        <v>94</v>
      </c>
      <c r="BY64" s="9">
        <v>1.0</v>
      </c>
      <c r="BZ64" s="9">
        <v>0.0</v>
      </c>
      <c r="CA64" s="9">
        <v>0.0</v>
      </c>
      <c r="CB64" s="9">
        <v>0.0</v>
      </c>
      <c r="CC64" s="15" t="s">
        <v>104</v>
      </c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</row>
    <row r="65" ht="18.75" customHeight="1">
      <c r="A65" s="9">
        <v>64.0</v>
      </c>
      <c r="B65" s="30">
        <v>60.0</v>
      </c>
      <c r="C65" s="31" t="s">
        <v>81</v>
      </c>
      <c r="D65" s="31" t="s">
        <v>82</v>
      </c>
      <c r="E65" s="31" t="s">
        <v>83</v>
      </c>
      <c r="F65" s="55">
        <v>180.3</v>
      </c>
      <c r="G65" s="56">
        <v>76.8</v>
      </c>
      <c r="H65" s="12">
        <f t="shared" si="1"/>
        <v>23.62488845</v>
      </c>
      <c r="I65" s="9">
        <v>1.0</v>
      </c>
      <c r="J65" s="9">
        <v>2.0</v>
      </c>
      <c r="K65" s="9">
        <v>1.0</v>
      </c>
      <c r="L65" s="9">
        <v>0.0</v>
      </c>
      <c r="M65" s="9">
        <v>68.0</v>
      </c>
      <c r="N65" s="9">
        <v>0.0</v>
      </c>
      <c r="O65" s="9">
        <v>129.0</v>
      </c>
      <c r="P65" s="9">
        <v>0.0</v>
      </c>
      <c r="Q65" s="9">
        <v>20.0</v>
      </c>
      <c r="R65" s="9">
        <v>0.0</v>
      </c>
      <c r="S65" s="12">
        <v>97.5</v>
      </c>
      <c r="T65" s="9">
        <v>0.0</v>
      </c>
      <c r="U65" s="9">
        <v>99.0</v>
      </c>
      <c r="V65" s="9">
        <v>0.0</v>
      </c>
      <c r="W65" s="9">
        <v>0.0</v>
      </c>
      <c r="X65" s="9">
        <v>0.0</v>
      </c>
      <c r="Y65" s="9">
        <v>0.0</v>
      </c>
      <c r="Z65" s="9">
        <v>0.0</v>
      </c>
      <c r="AA65" s="9">
        <v>0.0</v>
      </c>
      <c r="AB65" s="9">
        <v>0.0</v>
      </c>
      <c r="AC65" s="9">
        <v>1.0</v>
      </c>
      <c r="AD65" s="9">
        <v>0.0</v>
      </c>
      <c r="AE65" s="9">
        <v>0.0</v>
      </c>
      <c r="AF65" s="9">
        <v>0.0</v>
      </c>
      <c r="AG65" s="9">
        <v>0.0</v>
      </c>
      <c r="AH65" s="9">
        <v>0.0</v>
      </c>
      <c r="AI65" s="9">
        <v>0.0</v>
      </c>
      <c r="AJ65" s="9">
        <v>0.0</v>
      </c>
      <c r="AK65" s="9">
        <v>0.0</v>
      </c>
      <c r="AL65" s="9">
        <v>0.0</v>
      </c>
      <c r="AM65" s="9">
        <v>0.0</v>
      </c>
      <c r="AN65" s="9">
        <v>0.0</v>
      </c>
      <c r="AO65" s="9">
        <v>1.0</v>
      </c>
      <c r="AP65" s="9">
        <v>0.0</v>
      </c>
      <c r="AQ65" s="9">
        <v>0.0</v>
      </c>
      <c r="AR65" s="9">
        <v>0.0</v>
      </c>
      <c r="AS65" s="9">
        <v>0.0</v>
      </c>
      <c r="AT65" s="9">
        <v>0.0</v>
      </c>
      <c r="AU65" s="9">
        <v>0.0</v>
      </c>
      <c r="AV65" s="9">
        <v>0.0</v>
      </c>
      <c r="AW65" s="9">
        <v>32.0</v>
      </c>
      <c r="AX65" s="33">
        <f>4.02/4.84</f>
        <v>0.8305785124</v>
      </c>
      <c r="AY65" s="34">
        <v>0.0</v>
      </c>
      <c r="AZ65" s="30">
        <v>0.0</v>
      </c>
      <c r="BA65" s="30">
        <v>0.0</v>
      </c>
      <c r="BB65" s="33">
        <f>3.03/2.95</f>
        <v>1.027118644</v>
      </c>
      <c r="BC65" s="30">
        <v>4.0</v>
      </c>
      <c r="BD65" s="30">
        <v>0.0</v>
      </c>
      <c r="BE65" s="30">
        <v>0.0</v>
      </c>
      <c r="BF65" s="9">
        <v>0.0</v>
      </c>
      <c r="BG65" s="9" t="s">
        <v>84</v>
      </c>
      <c r="BH65" s="9">
        <v>0.0</v>
      </c>
      <c r="BI65" s="9">
        <v>0.0</v>
      </c>
      <c r="BJ65" s="9">
        <v>0.0</v>
      </c>
      <c r="BK65" s="9">
        <v>0.0</v>
      </c>
      <c r="BL65" s="9">
        <v>0.0</v>
      </c>
      <c r="BM65" s="9">
        <v>0.0</v>
      </c>
      <c r="BN65" s="9">
        <v>0.0</v>
      </c>
      <c r="BO65" s="9">
        <v>0.0</v>
      </c>
      <c r="BP65" s="9" t="s">
        <v>84</v>
      </c>
      <c r="BQ65" s="9" t="s">
        <v>84</v>
      </c>
      <c r="BR65" s="9">
        <v>0.0</v>
      </c>
      <c r="BS65" s="9">
        <v>0.0</v>
      </c>
      <c r="BT65" s="9">
        <v>0.0</v>
      </c>
      <c r="BU65" s="9">
        <v>0.0</v>
      </c>
      <c r="BV65" s="9">
        <v>0.0</v>
      </c>
      <c r="BW65" s="9">
        <v>0.0</v>
      </c>
      <c r="BX65" s="9">
        <v>0.0</v>
      </c>
      <c r="BY65" s="9">
        <v>0.0</v>
      </c>
      <c r="BZ65" s="9">
        <v>0.0</v>
      </c>
      <c r="CA65" s="9">
        <v>0.0</v>
      </c>
      <c r="CB65" s="9">
        <v>0.0</v>
      </c>
      <c r="CC65" s="15" t="s">
        <v>101</v>
      </c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</row>
    <row r="66" ht="18.75" customHeight="1">
      <c r="A66" s="9">
        <v>65.0</v>
      </c>
      <c r="B66" s="30">
        <v>34.0</v>
      </c>
      <c r="C66" s="31" t="s">
        <v>81</v>
      </c>
      <c r="D66" s="31" t="s">
        <v>82</v>
      </c>
      <c r="E66" s="31" t="s">
        <v>83</v>
      </c>
      <c r="F66" s="55">
        <v>188.0</v>
      </c>
      <c r="G66" s="56">
        <v>75.2</v>
      </c>
      <c r="H66" s="12">
        <f t="shared" si="1"/>
        <v>21.27659574</v>
      </c>
      <c r="I66" s="9">
        <v>0.0</v>
      </c>
      <c r="J66" s="9">
        <v>1.0</v>
      </c>
      <c r="K66" s="9">
        <v>1.0</v>
      </c>
      <c r="L66" s="9">
        <v>0.0</v>
      </c>
      <c r="M66" s="9">
        <v>109.0</v>
      </c>
      <c r="N66" s="9">
        <v>0.0</v>
      </c>
      <c r="O66" s="9">
        <v>124.0</v>
      </c>
      <c r="P66" s="9">
        <v>0.0</v>
      </c>
      <c r="Q66" s="9">
        <v>24.0</v>
      </c>
      <c r="R66" s="9">
        <v>0.0</v>
      </c>
      <c r="S66" s="12">
        <v>97.7</v>
      </c>
      <c r="T66" s="9">
        <v>0.0</v>
      </c>
      <c r="U66" s="9">
        <v>100.0</v>
      </c>
      <c r="V66" s="9">
        <v>0.0</v>
      </c>
      <c r="W66" s="9">
        <v>0.0</v>
      </c>
      <c r="X66" s="9">
        <v>0.0</v>
      </c>
      <c r="Y66" s="9">
        <v>0.0</v>
      </c>
      <c r="Z66" s="9">
        <v>0.0</v>
      </c>
      <c r="AA66" s="9">
        <v>0.0</v>
      </c>
      <c r="AB66" s="9">
        <v>0.0</v>
      </c>
      <c r="AC66" s="9">
        <v>0.0</v>
      </c>
      <c r="AD66" s="9">
        <v>0.0</v>
      </c>
      <c r="AE66" s="9">
        <v>0.0</v>
      </c>
      <c r="AF66" s="9">
        <v>0.0</v>
      </c>
      <c r="AG66" s="9">
        <v>1.0</v>
      </c>
      <c r="AH66" s="9">
        <v>0.0</v>
      </c>
      <c r="AI66" s="9">
        <v>1.0</v>
      </c>
      <c r="AJ66" s="9">
        <v>1.0</v>
      </c>
      <c r="AK66" s="9">
        <v>0.0</v>
      </c>
      <c r="AL66" s="9">
        <v>1.0</v>
      </c>
      <c r="AM66" s="9">
        <v>0.0</v>
      </c>
      <c r="AN66" s="9">
        <v>0.0</v>
      </c>
      <c r="AO66" s="9">
        <v>0.0</v>
      </c>
      <c r="AP66" s="9" t="s">
        <v>84</v>
      </c>
      <c r="AQ66" s="9">
        <v>0.0</v>
      </c>
      <c r="AR66" s="9">
        <v>0.0</v>
      </c>
      <c r="AS66" s="9">
        <v>0.0</v>
      </c>
      <c r="AT66" s="9">
        <v>0.0</v>
      </c>
      <c r="AU66" s="9">
        <v>0.0</v>
      </c>
      <c r="AV66" s="9">
        <v>0.0</v>
      </c>
      <c r="AW66" s="9" t="s">
        <v>97</v>
      </c>
      <c r="AX66" s="33">
        <f>3.5/4.72</f>
        <v>0.7415254237</v>
      </c>
      <c r="AY66" s="34">
        <v>0.0</v>
      </c>
      <c r="AZ66" s="30">
        <v>0.0</v>
      </c>
      <c r="BA66" s="30">
        <v>0.0</v>
      </c>
      <c r="BB66" s="33">
        <f>2.49/2.99</f>
        <v>0.8327759197</v>
      </c>
      <c r="BC66" s="30">
        <v>3.0</v>
      </c>
      <c r="BD66" s="30">
        <v>0.0</v>
      </c>
      <c r="BE66" s="30">
        <v>0.0</v>
      </c>
      <c r="BF66" s="9">
        <v>0.0</v>
      </c>
      <c r="BG66" s="9" t="s">
        <v>84</v>
      </c>
      <c r="BH66" s="9">
        <v>0.0</v>
      </c>
      <c r="BI66" s="9">
        <v>0.0</v>
      </c>
      <c r="BJ66" s="9">
        <v>0.0</v>
      </c>
      <c r="BK66" s="9">
        <v>0.0</v>
      </c>
      <c r="BL66" s="9">
        <v>0.0</v>
      </c>
      <c r="BM66" s="9">
        <v>0.0</v>
      </c>
      <c r="BN66" s="9">
        <v>0.0</v>
      </c>
      <c r="BO66" s="9">
        <v>0.0</v>
      </c>
      <c r="BP66" s="9" t="s">
        <v>84</v>
      </c>
      <c r="BQ66" s="9" t="s">
        <v>84</v>
      </c>
      <c r="BR66" s="9">
        <v>0.0</v>
      </c>
      <c r="BS66" s="9">
        <v>0.0</v>
      </c>
      <c r="BT66" s="9">
        <v>0.0</v>
      </c>
      <c r="BU66" s="9">
        <v>0.0</v>
      </c>
      <c r="BV66" s="9">
        <v>0.0</v>
      </c>
      <c r="BW66" s="9">
        <v>0.0</v>
      </c>
      <c r="BX66" s="9">
        <v>0.0</v>
      </c>
      <c r="BY66" s="9">
        <v>0.0</v>
      </c>
      <c r="BZ66" s="9">
        <v>0.0</v>
      </c>
      <c r="CA66" s="9">
        <v>0.0</v>
      </c>
      <c r="CB66" s="9">
        <v>0.0</v>
      </c>
      <c r="CC66" s="15" t="s">
        <v>87</v>
      </c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</row>
    <row r="67" ht="18.75" customHeight="1">
      <c r="A67" s="9">
        <v>66.0</v>
      </c>
      <c r="B67" s="30">
        <v>52.0</v>
      </c>
      <c r="C67" s="31" t="s">
        <v>86</v>
      </c>
      <c r="D67" s="31" t="s">
        <v>88</v>
      </c>
      <c r="E67" s="31" t="s">
        <v>116</v>
      </c>
      <c r="F67" s="55">
        <v>157.5</v>
      </c>
      <c r="G67" s="56">
        <v>88.0</v>
      </c>
      <c r="H67" s="12">
        <f t="shared" si="1"/>
        <v>35.47493071</v>
      </c>
      <c r="I67" s="9">
        <v>1.0</v>
      </c>
      <c r="J67" s="9">
        <v>2.0</v>
      </c>
      <c r="K67" s="9">
        <v>2.0</v>
      </c>
      <c r="L67" s="9">
        <v>0.0</v>
      </c>
      <c r="M67" s="9">
        <v>109.0</v>
      </c>
      <c r="N67" s="9">
        <v>0.0</v>
      </c>
      <c r="O67" s="9">
        <v>165.0</v>
      </c>
      <c r="P67" s="9">
        <v>0.0</v>
      </c>
      <c r="Q67" s="9">
        <v>20.0</v>
      </c>
      <c r="R67" s="9">
        <v>0.0</v>
      </c>
      <c r="S67" s="12">
        <v>97.8</v>
      </c>
      <c r="T67" s="9">
        <v>1.0</v>
      </c>
      <c r="U67" s="9">
        <v>89.0</v>
      </c>
      <c r="V67" s="9">
        <v>1.0</v>
      </c>
      <c r="W67" s="9">
        <v>0.0</v>
      </c>
      <c r="X67" s="9">
        <v>0.0</v>
      </c>
      <c r="Y67" s="9">
        <v>0.0</v>
      </c>
      <c r="Z67" s="9">
        <v>0.0</v>
      </c>
      <c r="AA67" s="9">
        <v>0.0</v>
      </c>
      <c r="AB67" s="9">
        <v>0.0</v>
      </c>
      <c r="AC67" s="9">
        <v>0.0</v>
      </c>
      <c r="AD67" s="9">
        <v>0.0</v>
      </c>
      <c r="AE67" s="9">
        <v>0.0</v>
      </c>
      <c r="AF67" s="9">
        <v>0.0</v>
      </c>
      <c r="AG67" s="9">
        <v>1.0</v>
      </c>
      <c r="AH67" s="9">
        <v>0.0</v>
      </c>
      <c r="AI67" s="9">
        <v>0.0</v>
      </c>
      <c r="AJ67" s="9">
        <v>0.0</v>
      </c>
      <c r="AK67" s="9">
        <v>0.0</v>
      </c>
      <c r="AL67" s="9">
        <v>0.0</v>
      </c>
      <c r="AM67" s="9">
        <v>0.0</v>
      </c>
      <c r="AN67" s="9">
        <v>0.0</v>
      </c>
      <c r="AO67" s="9">
        <v>1.0</v>
      </c>
      <c r="AP67" s="9">
        <v>1.0</v>
      </c>
      <c r="AQ67" s="9" t="s">
        <v>84</v>
      </c>
      <c r="AR67" s="9">
        <v>1.0</v>
      </c>
      <c r="AS67" s="9">
        <v>1.0</v>
      </c>
      <c r="AT67" s="9">
        <v>1.0</v>
      </c>
      <c r="AU67" s="9">
        <v>1.0</v>
      </c>
      <c r="AV67" s="9">
        <v>0.0</v>
      </c>
      <c r="AW67" s="9" t="s">
        <v>97</v>
      </c>
      <c r="AX67" s="33">
        <f>4.44/4.04</f>
        <v>1.099009901</v>
      </c>
      <c r="AY67" s="34">
        <v>0.0</v>
      </c>
      <c r="AZ67" s="30">
        <v>0.0</v>
      </c>
      <c r="BA67" s="30">
        <v>1.0</v>
      </c>
      <c r="BB67" s="33">
        <f>2.78/2.79</f>
        <v>0.9964157706</v>
      </c>
      <c r="BC67" s="30">
        <v>3.0</v>
      </c>
      <c r="BD67" s="30">
        <v>0.0</v>
      </c>
      <c r="BE67" s="30">
        <v>1.0</v>
      </c>
      <c r="BF67" s="9" t="s">
        <v>84</v>
      </c>
      <c r="BG67" s="9" t="s">
        <v>84</v>
      </c>
      <c r="BH67" s="9">
        <v>0.0</v>
      </c>
      <c r="BI67" s="9">
        <v>0.0</v>
      </c>
      <c r="BJ67" s="9">
        <v>0.0</v>
      </c>
      <c r="BK67" s="9">
        <v>0.0</v>
      </c>
      <c r="BL67" s="9">
        <v>0.0</v>
      </c>
      <c r="BM67" s="9">
        <v>0.0</v>
      </c>
      <c r="BN67" s="9">
        <v>0.0</v>
      </c>
      <c r="BO67" s="9">
        <v>0.0</v>
      </c>
      <c r="BP67" s="9" t="s">
        <v>84</v>
      </c>
      <c r="BQ67" s="9" t="s">
        <v>84</v>
      </c>
      <c r="BR67" s="9">
        <v>0.0</v>
      </c>
      <c r="BS67" s="9">
        <v>0.0</v>
      </c>
      <c r="BT67" s="9">
        <v>0.0</v>
      </c>
      <c r="BU67" s="9">
        <v>0.0</v>
      </c>
      <c r="BV67" s="9">
        <v>0.0</v>
      </c>
      <c r="BW67" s="9">
        <v>0.0</v>
      </c>
      <c r="BX67" s="9">
        <v>0.0</v>
      </c>
      <c r="BY67" s="9">
        <v>0.0</v>
      </c>
      <c r="BZ67" s="9">
        <v>0.0</v>
      </c>
      <c r="CA67" s="9">
        <v>0.0</v>
      </c>
      <c r="CB67" s="9">
        <v>0.0</v>
      </c>
      <c r="CC67" s="15" t="s">
        <v>113</v>
      </c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</row>
    <row r="68" ht="18.75" customHeight="1">
      <c r="A68" s="9">
        <v>67.0</v>
      </c>
      <c r="B68" s="30">
        <v>69.0</v>
      </c>
      <c r="C68" s="31" t="s">
        <v>86</v>
      </c>
      <c r="D68" s="31" t="s">
        <v>88</v>
      </c>
      <c r="E68" s="31" t="s">
        <v>83</v>
      </c>
      <c r="F68" s="55">
        <v>149.9</v>
      </c>
      <c r="G68" s="56">
        <v>97.98</v>
      </c>
      <c r="H68" s="12">
        <f t="shared" si="1"/>
        <v>43.604787</v>
      </c>
      <c r="I68" s="9">
        <v>0.0</v>
      </c>
      <c r="J68" s="9">
        <v>2.0</v>
      </c>
      <c r="K68" s="9">
        <v>1.0</v>
      </c>
      <c r="L68" s="9">
        <v>0.0</v>
      </c>
      <c r="M68" s="9">
        <v>88.0</v>
      </c>
      <c r="N68" s="9">
        <v>0.0</v>
      </c>
      <c r="O68" s="9">
        <v>132.0</v>
      </c>
      <c r="P68" s="9">
        <v>0.0</v>
      </c>
      <c r="Q68" s="9">
        <v>20.0</v>
      </c>
      <c r="R68" s="9">
        <v>0.0</v>
      </c>
      <c r="S68" s="12">
        <v>100.2</v>
      </c>
      <c r="T68" s="9">
        <v>0.0</v>
      </c>
      <c r="U68" s="9">
        <v>97.0</v>
      </c>
      <c r="V68" s="9">
        <v>0.0</v>
      </c>
      <c r="W68" s="9">
        <v>0.0</v>
      </c>
      <c r="X68" s="9">
        <v>0.0</v>
      </c>
      <c r="Y68" s="9">
        <v>0.0</v>
      </c>
      <c r="Z68" s="9">
        <v>0.0</v>
      </c>
      <c r="AA68" s="9">
        <v>0.0</v>
      </c>
      <c r="AB68" s="9">
        <v>0.0</v>
      </c>
      <c r="AC68" s="9">
        <v>0.0</v>
      </c>
      <c r="AD68" s="9">
        <v>0.0</v>
      </c>
      <c r="AE68" s="9">
        <v>1.0</v>
      </c>
      <c r="AF68" s="9">
        <v>0.0</v>
      </c>
      <c r="AG68" s="9">
        <v>1.0</v>
      </c>
      <c r="AH68" s="9">
        <v>0.0</v>
      </c>
      <c r="AI68" s="9">
        <v>1.0</v>
      </c>
      <c r="AJ68" s="9">
        <v>0.0</v>
      </c>
      <c r="AK68" s="9">
        <v>0.0</v>
      </c>
      <c r="AL68" s="9">
        <v>0.0</v>
      </c>
      <c r="AM68" s="9">
        <v>0.0</v>
      </c>
      <c r="AN68" s="9">
        <v>0.0</v>
      </c>
      <c r="AO68" s="9">
        <v>0.0</v>
      </c>
      <c r="AP68" s="9" t="s">
        <v>84</v>
      </c>
      <c r="AQ68" s="9">
        <v>0.0</v>
      </c>
      <c r="AR68" s="9" t="s">
        <v>84</v>
      </c>
      <c r="AS68" s="9" t="s">
        <v>84</v>
      </c>
      <c r="AT68" s="9" t="s">
        <v>84</v>
      </c>
      <c r="AU68" s="9" t="s">
        <v>84</v>
      </c>
      <c r="AV68" s="9" t="s">
        <v>84</v>
      </c>
      <c r="AW68" s="9" t="s">
        <v>84</v>
      </c>
      <c r="AX68" s="33">
        <f>3.88/4.82</f>
        <v>0.8049792531</v>
      </c>
      <c r="AY68" s="34">
        <v>0.0</v>
      </c>
      <c r="AZ68" s="30">
        <v>0.0</v>
      </c>
      <c r="BA68" s="30">
        <v>0.0</v>
      </c>
      <c r="BB68" s="33">
        <f>3.33/3.15</f>
        <v>1.057142857</v>
      </c>
      <c r="BC68" s="30">
        <v>1.0</v>
      </c>
      <c r="BD68" s="30">
        <v>0.0</v>
      </c>
      <c r="BE68" s="30">
        <v>0.0</v>
      </c>
      <c r="BF68" s="9">
        <v>0.0</v>
      </c>
      <c r="BG68" s="9" t="s">
        <v>84</v>
      </c>
      <c r="BH68" s="9">
        <v>0.0</v>
      </c>
      <c r="BI68" s="9">
        <v>0.0</v>
      </c>
      <c r="BJ68" s="9">
        <v>0.0</v>
      </c>
      <c r="BK68" s="9">
        <v>0.0</v>
      </c>
      <c r="BL68" s="9">
        <v>0.0</v>
      </c>
      <c r="BM68" s="9">
        <v>0.0</v>
      </c>
      <c r="BN68" s="9">
        <v>0.0</v>
      </c>
      <c r="BO68" s="9">
        <v>0.0</v>
      </c>
      <c r="BP68" s="9" t="s">
        <v>84</v>
      </c>
      <c r="BQ68" s="9" t="s">
        <v>84</v>
      </c>
      <c r="BR68" s="9">
        <v>0.0</v>
      </c>
      <c r="BS68" s="9">
        <v>0.0</v>
      </c>
      <c r="BT68" s="9">
        <v>0.0</v>
      </c>
      <c r="BU68" s="9">
        <v>0.0</v>
      </c>
      <c r="BV68" s="9">
        <v>0.0</v>
      </c>
      <c r="BW68" s="9">
        <v>0.0</v>
      </c>
      <c r="BX68" s="9">
        <v>0.0</v>
      </c>
      <c r="BY68" s="9">
        <v>0.0</v>
      </c>
      <c r="BZ68" s="9">
        <v>0.0</v>
      </c>
      <c r="CA68" s="9">
        <v>0.0</v>
      </c>
      <c r="CB68" s="9">
        <v>0.0</v>
      </c>
      <c r="CC68" s="15" t="s">
        <v>87</v>
      </c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57"/>
      <c r="CV68" s="57"/>
      <c r="CW68" s="57"/>
    </row>
    <row r="69" ht="18.75" customHeight="1">
      <c r="A69" s="9">
        <v>68.0</v>
      </c>
      <c r="B69" s="30">
        <v>56.0</v>
      </c>
      <c r="C69" s="31" t="s">
        <v>81</v>
      </c>
      <c r="D69" s="31" t="s">
        <v>82</v>
      </c>
      <c r="E69" s="31" t="s">
        <v>83</v>
      </c>
      <c r="F69" s="55">
        <v>190.5</v>
      </c>
      <c r="G69" s="56">
        <v>112.5</v>
      </c>
      <c r="H69" s="12">
        <f t="shared" si="1"/>
        <v>31.000062</v>
      </c>
      <c r="I69" s="9">
        <v>1.0</v>
      </c>
      <c r="J69" s="9">
        <v>3.0</v>
      </c>
      <c r="K69" s="9">
        <v>1.0</v>
      </c>
      <c r="L69" s="9">
        <v>1.0</v>
      </c>
      <c r="M69" s="9">
        <v>110.0</v>
      </c>
      <c r="N69" s="9">
        <v>0.0</v>
      </c>
      <c r="O69" s="9">
        <v>172.0</v>
      </c>
      <c r="P69" s="9">
        <v>0.0</v>
      </c>
      <c r="Q69" s="9">
        <v>20.0</v>
      </c>
      <c r="R69" s="9">
        <v>0.0</v>
      </c>
      <c r="S69" s="12">
        <v>97.9</v>
      </c>
      <c r="T69" s="9">
        <v>0.0</v>
      </c>
      <c r="U69" s="9">
        <v>95.0</v>
      </c>
      <c r="V69" s="9">
        <v>0.0</v>
      </c>
      <c r="W69" s="9">
        <v>0.0</v>
      </c>
      <c r="X69" s="9">
        <v>0.0</v>
      </c>
      <c r="Y69" s="9">
        <v>0.0</v>
      </c>
      <c r="Z69" s="9">
        <v>0.0</v>
      </c>
      <c r="AA69" s="9">
        <v>0.0</v>
      </c>
      <c r="AB69" s="9">
        <v>0.0</v>
      </c>
      <c r="AC69" s="9">
        <v>0.0</v>
      </c>
      <c r="AD69" s="9">
        <v>0.0</v>
      </c>
      <c r="AE69" s="9">
        <v>1.0</v>
      </c>
      <c r="AF69" s="9">
        <v>0.0</v>
      </c>
      <c r="AG69" s="9">
        <v>1.0</v>
      </c>
      <c r="AH69" s="9">
        <v>0.0</v>
      </c>
      <c r="AI69" s="9">
        <v>1.0</v>
      </c>
      <c r="AJ69" s="9">
        <v>1.0</v>
      </c>
      <c r="AK69" s="9">
        <v>1.0</v>
      </c>
      <c r="AL69" s="9">
        <v>0.0</v>
      </c>
      <c r="AM69" s="9">
        <v>0.0</v>
      </c>
      <c r="AN69" s="9">
        <v>0.0</v>
      </c>
      <c r="AO69" s="9">
        <v>0.0</v>
      </c>
      <c r="AP69" s="9" t="s">
        <v>84</v>
      </c>
      <c r="AQ69" s="9" t="s">
        <v>84</v>
      </c>
      <c r="AR69" s="9">
        <v>0.0</v>
      </c>
      <c r="AS69" s="9">
        <v>0.0</v>
      </c>
      <c r="AT69" s="9">
        <v>0.0</v>
      </c>
      <c r="AU69" s="9">
        <v>0.0</v>
      </c>
      <c r="AV69" s="9">
        <v>0.0</v>
      </c>
      <c r="AW69" s="9" t="s">
        <v>97</v>
      </c>
      <c r="AX69" s="33">
        <f>4.08/4.86</f>
        <v>0.8395061728</v>
      </c>
      <c r="AY69" s="34">
        <v>0.0</v>
      </c>
      <c r="AZ69" s="30">
        <v>0.0</v>
      </c>
      <c r="BA69" s="30">
        <v>0.0</v>
      </c>
      <c r="BB69" s="33">
        <f>3.28/3.79</f>
        <v>0.8654353562</v>
      </c>
      <c r="BC69" s="30">
        <v>1.0</v>
      </c>
      <c r="BD69" s="30">
        <v>0.0</v>
      </c>
      <c r="BE69" s="30">
        <v>0.0</v>
      </c>
      <c r="BF69" s="9">
        <v>0.0</v>
      </c>
      <c r="BG69" s="9" t="s">
        <v>84</v>
      </c>
      <c r="BH69" s="9">
        <v>0.0</v>
      </c>
      <c r="BI69" s="9">
        <v>0.0</v>
      </c>
      <c r="BJ69" s="9">
        <v>0.0</v>
      </c>
      <c r="BK69" s="9">
        <v>0.0</v>
      </c>
      <c r="BL69" s="9">
        <v>0.0</v>
      </c>
      <c r="BM69" s="9">
        <v>0.0</v>
      </c>
      <c r="BN69" s="9">
        <v>0.0</v>
      </c>
      <c r="BO69" s="9">
        <v>0.0</v>
      </c>
      <c r="BP69" s="9" t="s">
        <v>84</v>
      </c>
      <c r="BQ69" s="9" t="s">
        <v>84</v>
      </c>
      <c r="BR69" s="9">
        <v>0.0</v>
      </c>
      <c r="BS69" s="9">
        <v>0.0</v>
      </c>
      <c r="BT69" s="9">
        <v>0.0</v>
      </c>
      <c r="BU69" s="9">
        <v>0.0</v>
      </c>
      <c r="BV69" s="9">
        <v>0.0</v>
      </c>
      <c r="BW69" s="9">
        <v>0.0</v>
      </c>
      <c r="BX69" s="9">
        <v>0.0</v>
      </c>
      <c r="BY69" s="9">
        <v>0.0</v>
      </c>
      <c r="BZ69" s="9">
        <v>0.0</v>
      </c>
      <c r="CA69" s="9">
        <v>0.0</v>
      </c>
      <c r="CB69" s="9">
        <v>0.0</v>
      </c>
      <c r="CC69" s="15" t="s">
        <v>181</v>
      </c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57"/>
      <c r="CV69" s="57"/>
      <c r="CW69" s="57"/>
    </row>
    <row r="70" ht="18.75" customHeight="1">
      <c r="A70" s="9">
        <v>69.0</v>
      </c>
      <c r="B70" s="30">
        <v>86.0</v>
      </c>
      <c r="C70" s="31" t="s">
        <v>86</v>
      </c>
      <c r="D70" s="31" t="s">
        <v>82</v>
      </c>
      <c r="E70" s="31" t="s">
        <v>93</v>
      </c>
      <c r="F70" s="55">
        <v>157.5</v>
      </c>
      <c r="G70" s="56">
        <v>58.97</v>
      </c>
      <c r="H70" s="12">
        <f t="shared" si="1"/>
        <v>23.77223482</v>
      </c>
      <c r="I70" s="9">
        <v>1.0</v>
      </c>
      <c r="J70" s="9">
        <v>3.0</v>
      </c>
      <c r="K70" s="9">
        <v>1.0</v>
      </c>
      <c r="L70" s="9">
        <v>0.0</v>
      </c>
      <c r="M70" s="9">
        <v>72.0</v>
      </c>
      <c r="N70" s="9">
        <v>0.0</v>
      </c>
      <c r="O70" s="9">
        <v>180.0</v>
      </c>
      <c r="P70" s="9">
        <v>0.0</v>
      </c>
      <c r="Q70" s="9">
        <v>20.0</v>
      </c>
      <c r="R70" s="9">
        <v>0.0</v>
      </c>
      <c r="S70" s="12">
        <v>97.6</v>
      </c>
      <c r="T70" s="9">
        <v>0.0</v>
      </c>
      <c r="U70" s="9">
        <v>92.0</v>
      </c>
      <c r="V70" s="9">
        <v>0.0</v>
      </c>
      <c r="W70" s="9">
        <v>0.0</v>
      </c>
      <c r="X70" s="9">
        <v>0.0</v>
      </c>
      <c r="Y70" s="9">
        <v>0.0</v>
      </c>
      <c r="Z70" s="9">
        <v>0.0</v>
      </c>
      <c r="AA70" s="9">
        <v>0.0</v>
      </c>
      <c r="AB70" s="9">
        <v>0.0</v>
      </c>
      <c r="AC70" s="9">
        <v>0.0</v>
      </c>
      <c r="AD70" s="9">
        <v>0.0</v>
      </c>
      <c r="AE70" s="9">
        <v>0.0</v>
      </c>
      <c r="AF70" s="9">
        <v>0.0</v>
      </c>
      <c r="AG70" s="9">
        <v>1.0</v>
      </c>
      <c r="AH70" s="9">
        <v>0.0</v>
      </c>
      <c r="AI70" s="9">
        <v>0.0</v>
      </c>
      <c r="AJ70" s="9">
        <v>0.0</v>
      </c>
      <c r="AK70" s="9">
        <v>0.0</v>
      </c>
      <c r="AL70" s="9">
        <v>0.0</v>
      </c>
      <c r="AM70" s="9">
        <v>0.0</v>
      </c>
      <c r="AN70" s="9">
        <v>0.0</v>
      </c>
      <c r="AO70" s="9">
        <v>0.0</v>
      </c>
      <c r="AP70" s="9" t="s">
        <v>84</v>
      </c>
      <c r="AQ70" s="9">
        <v>0.0</v>
      </c>
      <c r="AR70" s="9">
        <v>0.0</v>
      </c>
      <c r="AS70" s="9" t="s">
        <v>84</v>
      </c>
      <c r="AT70" s="9" t="s">
        <v>84</v>
      </c>
      <c r="AU70" s="9" t="s">
        <v>84</v>
      </c>
      <c r="AV70" s="9" t="s">
        <v>84</v>
      </c>
      <c r="AW70" s="9" t="s">
        <v>84</v>
      </c>
      <c r="AX70" s="33">
        <f>4.02/4.27</f>
        <v>0.9414519906</v>
      </c>
      <c r="AY70" s="34">
        <v>0.0</v>
      </c>
      <c r="AZ70" s="30">
        <v>1.0</v>
      </c>
      <c r="BA70" s="30">
        <v>0.0</v>
      </c>
      <c r="BB70" s="33">
        <f>2.31/3.11</f>
        <v>0.7427652733</v>
      </c>
      <c r="BC70" s="30">
        <v>2.0</v>
      </c>
      <c r="BD70" s="30">
        <v>0.0</v>
      </c>
      <c r="BE70" s="30">
        <v>0.0</v>
      </c>
      <c r="BF70" s="9">
        <v>0.0</v>
      </c>
      <c r="BG70" s="9" t="s">
        <v>84</v>
      </c>
      <c r="BH70" s="9">
        <v>0.0</v>
      </c>
      <c r="BI70" s="9">
        <v>0.0</v>
      </c>
      <c r="BJ70" s="9">
        <v>0.0</v>
      </c>
      <c r="BK70" s="9">
        <v>0.0</v>
      </c>
      <c r="BL70" s="9">
        <v>0.0</v>
      </c>
      <c r="BM70" s="9">
        <v>0.0</v>
      </c>
      <c r="BN70" s="9">
        <v>0.0</v>
      </c>
      <c r="BO70" s="9">
        <v>0.0</v>
      </c>
      <c r="BP70" s="9" t="s">
        <v>84</v>
      </c>
      <c r="BQ70" s="9" t="s">
        <v>84</v>
      </c>
      <c r="BR70" s="9">
        <v>0.0</v>
      </c>
      <c r="BS70" s="9">
        <v>0.0</v>
      </c>
      <c r="BT70" s="9">
        <v>0.0</v>
      </c>
      <c r="BU70" s="9">
        <v>1.0</v>
      </c>
      <c r="BV70" s="9">
        <v>0.0</v>
      </c>
      <c r="BW70" s="9" t="s">
        <v>94</v>
      </c>
      <c r="BX70" s="9" t="s">
        <v>94</v>
      </c>
      <c r="BY70" s="9">
        <v>0.0</v>
      </c>
      <c r="BZ70" s="9">
        <v>0.0</v>
      </c>
      <c r="CA70" s="9">
        <v>0.0</v>
      </c>
      <c r="CB70" s="9">
        <v>0.0</v>
      </c>
      <c r="CC70" s="15" t="s">
        <v>113</v>
      </c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57"/>
      <c r="CV70" s="57"/>
      <c r="CW70" s="57"/>
    </row>
    <row r="71" ht="18.75" customHeight="1">
      <c r="A71" s="9">
        <v>70.0</v>
      </c>
      <c r="B71" s="30">
        <v>58.0</v>
      </c>
      <c r="C71" s="31" t="s">
        <v>86</v>
      </c>
      <c r="D71" s="31" t="s">
        <v>82</v>
      </c>
      <c r="E71" s="31" t="s">
        <v>116</v>
      </c>
      <c r="F71" s="55">
        <v>167.6</v>
      </c>
      <c r="G71" s="56">
        <v>71.2</v>
      </c>
      <c r="H71" s="12">
        <f t="shared" si="1"/>
        <v>25.34731518</v>
      </c>
      <c r="I71" s="9">
        <v>1.0</v>
      </c>
      <c r="J71" s="9">
        <v>3.0</v>
      </c>
      <c r="K71" s="9">
        <v>1.0</v>
      </c>
      <c r="L71" s="9">
        <v>0.0</v>
      </c>
      <c r="M71" s="9">
        <v>88.0</v>
      </c>
      <c r="N71" s="9">
        <v>1.0</v>
      </c>
      <c r="O71" s="9">
        <v>92.0</v>
      </c>
      <c r="P71" s="9">
        <v>0.0</v>
      </c>
      <c r="Q71" s="9">
        <v>20.0</v>
      </c>
      <c r="R71" s="9">
        <v>0.0</v>
      </c>
      <c r="S71" s="12">
        <v>98.1</v>
      </c>
      <c r="T71" s="9">
        <v>0.0</v>
      </c>
      <c r="U71" s="9">
        <v>98.0</v>
      </c>
      <c r="V71" s="9">
        <v>0.0</v>
      </c>
      <c r="W71" s="9">
        <v>0.0</v>
      </c>
      <c r="X71" s="9">
        <v>0.0</v>
      </c>
      <c r="Y71" s="9">
        <v>0.0</v>
      </c>
      <c r="Z71" s="9">
        <v>0.0</v>
      </c>
      <c r="AA71" s="9">
        <v>0.0</v>
      </c>
      <c r="AB71" s="9">
        <v>0.0</v>
      </c>
      <c r="AC71" s="9">
        <v>0.0</v>
      </c>
      <c r="AD71" s="9">
        <v>0.0</v>
      </c>
      <c r="AE71" s="9">
        <v>0.0</v>
      </c>
      <c r="AF71" s="9">
        <v>0.0</v>
      </c>
      <c r="AG71" s="9">
        <v>1.0</v>
      </c>
      <c r="AH71" s="9">
        <v>0.0</v>
      </c>
      <c r="AI71" s="9">
        <v>1.0</v>
      </c>
      <c r="AJ71" s="9">
        <v>1.0</v>
      </c>
      <c r="AK71" s="9">
        <v>0.0</v>
      </c>
      <c r="AL71" s="9">
        <v>0.0</v>
      </c>
      <c r="AM71" s="9">
        <v>0.0</v>
      </c>
      <c r="AN71" s="9">
        <v>0.0</v>
      </c>
      <c r="AO71" s="9">
        <v>1.0</v>
      </c>
      <c r="AP71" s="9">
        <v>1.0</v>
      </c>
      <c r="AQ71" s="9" t="s">
        <v>84</v>
      </c>
      <c r="AR71" s="9">
        <v>0.0</v>
      </c>
      <c r="AS71" s="9" t="s">
        <v>84</v>
      </c>
      <c r="AT71" s="9" t="s">
        <v>84</v>
      </c>
      <c r="AU71" s="9" t="s">
        <v>84</v>
      </c>
      <c r="AV71" s="9" t="s">
        <v>84</v>
      </c>
      <c r="AW71" s="9" t="s">
        <v>84</v>
      </c>
      <c r="AX71" s="33">
        <f>3.7/4.78</f>
        <v>0.7740585774</v>
      </c>
      <c r="AY71" s="34">
        <v>0.0</v>
      </c>
      <c r="AZ71" s="30">
        <v>0.0</v>
      </c>
      <c r="BA71" s="30">
        <v>0.0</v>
      </c>
      <c r="BB71" s="33">
        <f>1.93/2.89</f>
        <v>0.6678200692</v>
      </c>
      <c r="BC71" s="30">
        <v>1.0</v>
      </c>
      <c r="BD71" s="30">
        <v>0.0</v>
      </c>
      <c r="BE71" s="30">
        <v>0.0</v>
      </c>
      <c r="BF71" s="9">
        <v>0.0</v>
      </c>
      <c r="BG71" s="9" t="s">
        <v>84</v>
      </c>
      <c r="BH71" s="9">
        <v>0.0</v>
      </c>
      <c r="BI71" s="9">
        <v>0.0</v>
      </c>
      <c r="BJ71" s="9">
        <v>0.0</v>
      </c>
      <c r="BK71" s="9">
        <v>0.0</v>
      </c>
      <c r="BL71" s="9">
        <v>0.0</v>
      </c>
      <c r="BM71" s="9">
        <v>0.0</v>
      </c>
      <c r="BN71" s="9">
        <v>0.0</v>
      </c>
      <c r="BO71" s="9">
        <v>0.0</v>
      </c>
      <c r="BP71" s="9" t="s">
        <v>84</v>
      </c>
      <c r="BQ71" s="9" t="s">
        <v>84</v>
      </c>
      <c r="BR71" s="9">
        <v>0.0</v>
      </c>
      <c r="BS71" s="9">
        <v>0.0</v>
      </c>
      <c r="BT71" s="9">
        <v>0.0</v>
      </c>
      <c r="BU71" s="9">
        <v>0.0</v>
      </c>
      <c r="BV71" s="9">
        <v>0.0</v>
      </c>
      <c r="BW71" s="9">
        <v>0.0</v>
      </c>
      <c r="BX71" s="9">
        <v>0.0</v>
      </c>
      <c r="BY71" s="9">
        <v>0.0</v>
      </c>
      <c r="BZ71" s="9">
        <v>0.0</v>
      </c>
      <c r="CA71" s="9">
        <v>0.0</v>
      </c>
      <c r="CB71" s="9">
        <v>0.0</v>
      </c>
      <c r="CC71" s="15" t="s">
        <v>87</v>
      </c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</row>
    <row r="72" ht="18.75" customHeight="1">
      <c r="A72" s="9">
        <v>71.0</v>
      </c>
      <c r="B72" s="30">
        <v>43.0</v>
      </c>
      <c r="C72" s="31" t="s">
        <v>86</v>
      </c>
      <c r="D72" s="31" t="s">
        <v>82</v>
      </c>
      <c r="E72" s="31" t="s">
        <v>103</v>
      </c>
      <c r="F72" s="55">
        <v>162.6</v>
      </c>
      <c r="G72" s="56">
        <v>117.2</v>
      </c>
      <c r="H72" s="12">
        <f t="shared" si="1"/>
        <v>44.32885657</v>
      </c>
      <c r="I72" s="9">
        <v>1.0</v>
      </c>
      <c r="J72" s="9">
        <v>1.0</v>
      </c>
      <c r="K72" s="9">
        <v>1.0</v>
      </c>
      <c r="L72" s="9">
        <v>0.0</v>
      </c>
      <c r="M72" s="9">
        <v>104.0</v>
      </c>
      <c r="N72" s="9">
        <v>0.0</v>
      </c>
      <c r="O72" s="9">
        <v>194.0</v>
      </c>
      <c r="P72" s="9">
        <v>0.0</v>
      </c>
      <c r="Q72" s="9">
        <v>18.0</v>
      </c>
      <c r="R72" s="9">
        <v>0.0</v>
      </c>
      <c r="S72" s="12">
        <v>98.6</v>
      </c>
      <c r="T72" s="9">
        <v>0.0</v>
      </c>
      <c r="U72" s="9">
        <v>99.0</v>
      </c>
      <c r="V72" s="9">
        <v>0.0</v>
      </c>
      <c r="W72" s="9">
        <v>0.0</v>
      </c>
      <c r="X72" s="9">
        <v>0.0</v>
      </c>
      <c r="Y72" s="9">
        <v>0.0</v>
      </c>
      <c r="Z72" s="9">
        <v>0.0</v>
      </c>
      <c r="AA72" s="9">
        <v>0.0</v>
      </c>
      <c r="AB72" s="9">
        <v>1.0</v>
      </c>
      <c r="AC72" s="9">
        <v>0.0</v>
      </c>
      <c r="AD72" s="9">
        <v>1.0</v>
      </c>
      <c r="AE72" s="9">
        <v>0.0</v>
      </c>
      <c r="AF72" s="9">
        <v>0.0</v>
      </c>
      <c r="AG72" s="9">
        <v>0.0</v>
      </c>
      <c r="AH72" s="9">
        <v>0.0</v>
      </c>
      <c r="AI72" s="9">
        <v>0.0</v>
      </c>
      <c r="AJ72" s="9">
        <v>0.0</v>
      </c>
      <c r="AK72" s="9">
        <v>1.0</v>
      </c>
      <c r="AL72" s="9">
        <v>0.0</v>
      </c>
      <c r="AM72" s="9">
        <v>0.0</v>
      </c>
      <c r="AN72" s="9">
        <v>0.0</v>
      </c>
      <c r="AO72" s="9">
        <v>0.0</v>
      </c>
      <c r="AP72" s="9" t="s">
        <v>84</v>
      </c>
      <c r="AQ72" s="9">
        <v>0.0</v>
      </c>
      <c r="AR72" s="9">
        <v>0.0</v>
      </c>
      <c r="AS72" s="9" t="s">
        <v>84</v>
      </c>
      <c r="AT72" s="9" t="s">
        <v>84</v>
      </c>
      <c r="AU72" s="9" t="s">
        <v>84</v>
      </c>
      <c r="AV72" s="9" t="s">
        <v>84</v>
      </c>
      <c r="AW72" s="9" t="s">
        <v>84</v>
      </c>
      <c r="AX72" s="33">
        <f>3.93/4.94</f>
        <v>0.7955465587</v>
      </c>
      <c r="AY72" s="34">
        <v>0.0</v>
      </c>
      <c r="AZ72" s="30">
        <v>0.0</v>
      </c>
      <c r="BA72" s="30">
        <v>0.0</v>
      </c>
      <c r="BB72" s="33">
        <f>2.27/3.62</f>
        <v>0.6270718232</v>
      </c>
      <c r="BC72" s="30">
        <v>3.0</v>
      </c>
      <c r="BD72" s="30">
        <v>0.0</v>
      </c>
      <c r="BE72" s="30">
        <v>0.0</v>
      </c>
      <c r="BF72" s="9">
        <v>0.0</v>
      </c>
      <c r="BG72" s="9" t="s">
        <v>84</v>
      </c>
      <c r="BH72" s="9">
        <v>0.0</v>
      </c>
      <c r="BI72" s="9">
        <v>0.0</v>
      </c>
      <c r="BJ72" s="9">
        <v>0.0</v>
      </c>
      <c r="BK72" s="9">
        <v>0.0</v>
      </c>
      <c r="BL72" s="9">
        <v>0.0</v>
      </c>
      <c r="BM72" s="9">
        <v>0.0</v>
      </c>
      <c r="BN72" s="9">
        <v>0.0</v>
      </c>
      <c r="BO72" s="9">
        <v>0.0</v>
      </c>
      <c r="BP72" s="9" t="s">
        <v>84</v>
      </c>
      <c r="BQ72" s="9" t="s">
        <v>84</v>
      </c>
      <c r="BR72" s="9">
        <v>0.0</v>
      </c>
      <c r="BS72" s="9">
        <v>0.0</v>
      </c>
      <c r="BT72" s="9">
        <v>0.0</v>
      </c>
      <c r="BU72" s="9">
        <v>0.0</v>
      </c>
      <c r="BV72" s="9">
        <v>0.0</v>
      </c>
      <c r="BW72" s="9">
        <v>0.0</v>
      </c>
      <c r="BX72" s="9">
        <v>0.0</v>
      </c>
      <c r="BY72" s="9">
        <v>0.0</v>
      </c>
      <c r="BZ72" s="9">
        <v>0.0</v>
      </c>
      <c r="CA72" s="9">
        <v>0.0</v>
      </c>
      <c r="CB72" s="9">
        <v>0.0</v>
      </c>
      <c r="CC72" s="15" t="s">
        <v>92</v>
      </c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</row>
    <row r="73" ht="18.75" customHeight="1">
      <c r="A73" s="9">
        <v>72.0</v>
      </c>
      <c r="B73" s="30">
        <v>67.0</v>
      </c>
      <c r="C73" s="31" t="s">
        <v>81</v>
      </c>
      <c r="D73" s="31" t="s">
        <v>82</v>
      </c>
      <c r="E73" s="31" t="s">
        <v>109</v>
      </c>
      <c r="F73" s="55">
        <v>182.9</v>
      </c>
      <c r="G73" s="56">
        <v>87.5</v>
      </c>
      <c r="H73" s="12">
        <f t="shared" si="1"/>
        <v>26.15656092</v>
      </c>
      <c r="I73" s="9">
        <v>1.0</v>
      </c>
      <c r="J73" s="9">
        <v>5.0</v>
      </c>
      <c r="K73" s="9">
        <v>2.0</v>
      </c>
      <c r="L73" s="9">
        <v>1.0</v>
      </c>
      <c r="M73" s="9">
        <v>130.0</v>
      </c>
      <c r="N73" s="9">
        <v>1.0</v>
      </c>
      <c r="O73" s="9">
        <v>94.0</v>
      </c>
      <c r="P73" s="9">
        <v>0.0</v>
      </c>
      <c r="Q73" s="9">
        <v>25.0</v>
      </c>
      <c r="R73" s="9">
        <v>0.0</v>
      </c>
      <c r="S73" s="12">
        <v>98.5</v>
      </c>
      <c r="T73" s="9">
        <v>1.0</v>
      </c>
      <c r="U73" s="9" t="s">
        <v>84</v>
      </c>
      <c r="V73" s="9">
        <v>1.0</v>
      </c>
      <c r="W73" s="9">
        <v>0.0</v>
      </c>
      <c r="X73" s="9">
        <v>0.0</v>
      </c>
      <c r="Y73" s="9">
        <v>1.0</v>
      </c>
      <c r="Z73" s="9">
        <v>0.0</v>
      </c>
      <c r="AA73" s="9">
        <v>0.0</v>
      </c>
      <c r="AB73" s="9">
        <v>0.0</v>
      </c>
      <c r="AC73" s="9">
        <v>0.0</v>
      </c>
      <c r="AD73" s="9">
        <v>0.0</v>
      </c>
      <c r="AE73" s="9">
        <v>1.0</v>
      </c>
      <c r="AF73" s="9">
        <v>0.0</v>
      </c>
      <c r="AG73" s="9">
        <v>1.0</v>
      </c>
      <c r="AH73" s="9">
        <v>0.0</v>
      </c>
      <c r="AI73" s="9">
        <v>1.0</v>
      </c>
      <c r="AJ73" s="9">
        <v>1.0</v>
      </c>
      <c r="AK73" s="9">
        <v>0.0</v>
      </c>
      <c r="AL73" s="9">
        <v>0.0</v>
      </c>
      <c r="AM73" s="9">
        <v>0.0</v>
      </c>
      <c r="AN73" s="9">
        <v>0.0</v>
      </c>
      <c r="AO73" s="9">
        <v>1.0</v>
      </c>
      <c r="AP73" s="9">
        <v>0.0</v>
      </c>
      <c r="AQ73" s="9" t="s">
        <v>84</v>
      </c>
      <c r="AR73" s="9">
        <v>1.0</v>
      </c>
      <c r="AS73" s="9">
        <v>0.0</v>
      </c>
      <c r="AT73" s="9">
        <v>0.0</v>
      </c>
      <c r="AU73" s="9">
        <v>0.0</v>
      </c>
      <c r="AV73" s="9">
        <v>0.0</v>
      </c>
      <c r="AW73" s="9">
        <v>42.9</v>
      </c>
      <c r="AX73" s="33">
        <f>5.1/4.47</f>
        <v>1.140939597</v>
      </c>
      <c r="AY73" s="34">
        <v>0.0</v>
      </c>
      <c r="AZ73" s="30">
        <v>0.0</v>
      </c>
      <c r="BA73" s="30">
        <v>1.0</v>
      </c>
      <c r="BB73" s="33">
        <f>2.6/2.86</f>
        <v>0.9090909091</v>
      </c>
      <c r="BC73" s="30">
        <v>3.0</v>
      </c>
      <c r="BD73" s="30">
        <v>1.0</v>
      </c>
      <c r="BE73" s="30">
        <v>0.0</v>
      </c>
      <c r="BF73" s="9">
        <v>0.0</v>
      </c>
      <c r="BG73" s="9" t="s">
        <v>84</v>
      </c>
      <c r="BH73" s="9">
        <v>1.0</v>
      </c>
      <c r="BI73" s="9">
        <v>0.0</v>
      </c>
      <c r="BJ73" s="9">
        <v>0.0</v>
      </c>
      <c r="BK73" s="9">
        <v>0.0</v>
      </c>
      <c r="BL73" s="9">
        <v>0.0</v>
      </c>
      <c r="BM73" s="9">
        <v>0.0</v>
      </c>
      <c r="BN73" s="9">
        <v>0.0</v>
      </c>
      <c r="BO73" s="9">
        <v>0.0</v>
      </c>
      <c r="BP73" s="9" t="s">
        <v>84</v>
      </c>
      <c r="BQ73" s="9" t="s">
        <v>84</v>
      </c>
      <c r="BR73" s="9">
        <v>0.0</v>
      </c>
      <c r="BS73" s="9">
        <v>0.0</v>
      </c>
      <c r="BT73" s="9">
        <v>0.0</v>
      </c>
      <c r="BU73" s="9">
        <v>0.0</v>
      </c>
      <c r="BV73" s="9">
        <v>0.0</v>
      </c>
      <c r="BW73" s="9">
        <v>0.0</v>
      </c>
      <c r="BX73" s="9">
        <v>0.0</v>
      </c>
      <c r="BY73" s="9">
        <v>1.0</v>
      </c>
      <c r="BZ73" s="9">
        <v>0.0</v>
      </c>
      <c r="CA73" s="9">
        <v>0.0</v>
      </c>
      <c r="CB73" s="9">
        <v>0.0</v>
      </c>
      <c r="CC73" s="15" t="s">
        <v>113</v>
      </c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</row>
    <row r="74" ht="18.75" customHeight="1">
      <c r="A74" s="9">
        <v>73.0</v>
      </c>
      <c r="B74" s="30">
        <v>63.0</v>
      </c>
      <c r="C74" s="31" t="s">
        <v>81</v>
      </c>
      <c r="D74" s="31" t="s">
        <v>82</v>
      </c>
      <c r="E74" s="31" t="s">
        <v>93</v>
      </c>
      <c r="F74" s="55">
        <v>193.0</v>
      </c>
      <c r="G74" s="56">
        <v>127.0</v>
      </c>
      <c r="H74" s="12">
        <f t="shared" si="1"/>
        <v>34.09487503</v>
      </c>
      <c r="I74" s="9">
        <v>1.0</v>
      </c>
      <c r="J74" s="9">
        <v>3.0</v>
      </c>
      <c r="K74" s="9">
        <v>2.0</v>
      </c>
      <c r="L74" s="9">
        <v>0.0</v>
      </c>
      <c r="M74" s="9">
        <v>93.0</v>
      </c>
      <c r="N74" s="9">
        <v>0.0</v>
      </c>
      <c r="O74" s="9">
        <v>128.0</v>
      </c>
      <c r="P74" s="9">
        <v>0.0</v>
      </c>
      <c r="Q74" s="9">
        <v>18.0</v>
      </c>
      <c r="R74" s="9">
        <v>0.0</v>
      </c>
      <c r="S74" s="12">
        <v>97.8</v>
      </c>
      <c r="T74" s="9">
        <v>0.0</v>
      </c>
      <c r="U74" s="9">
        <v>95.0</v>
      </c>
      <c r="V74" s="9">
        <v>0.0</v>
      </c>
      <c r="W74" s="9">
        <v>0.0</v>
      </c>
      <c r="X74" s="9">
        <v>0.0</v>
      </c>
      <c r="Y74" s="9">
        <v>0.0</v>
      </c>
      <c r="Z74" s="9">
        <v>1.0</v>
      </c>
      <c r="AA74" s="9">
        <v>1.0</v>
      </c>
      <c r="AB74" s="9">
        <v>0.0</v>
      </c>
      <c r="AC74" s="9">
        <v>0.0</v>
      </c>
      <c r="AD74" s="9">
        <v>0.0</v>
      </c>
      <c r="AE74" s="9">
        <v>1.0</v>
      </c>
      <c r="AF74" s="9">
        <v>0.0</v>
      </c>
      <c r="AG74" s="9">
        <v>1.0</v>
      </c>
      <c r="AH74" s="9">
        <v>0.0</v>
      </c>
      <c r="AI74" s="9">
        <v>0.0</v>
      </c>
      <c r="AJ74" s="9">
        <v>0.0</v>
      </c>
      <c r="AK74" s="9">
        <v>0.0</v>
      </c>
      <c r="AL74" s="9">
        <v>0.0</v>
      </c>
      <c r="AM74" s="9">
        <v>0.0</v>
      </c>
      <c r="AN74" s="9">
        <v>0.0</v>
      </c>
      <c r="AO74" s="9">
        <v>1.0</v>
      </c>
      <c r="AP74" s="9">
        <v>1.0</v>
      </c>
      <c r="AQ74" s="9">
        <v>0.0</v>
      </c>
      <c r="AR74" s="9">
        <v>0.0</v>
      </c>
      <c r="AS74" s="9">
        <v>1.0</v>
      </c>
      <c r="AT74" s="9">
        <v>0.0</v>
      </c>
      <c r="AU74" s="9">
        <v>0.0</v>
      </c>
      <c r="AV74" s="9">
        <v>0.0</v>
      </c>
      <c r="AW74" s="9" t="s">
        <v>97</v>
      </c>
      <c r="AX74" s="33">
        <f>4.57/4.66</f>
        <v>0.9806866953</v>
      </c>
      <c r="AY74" s="34">
        <v>0.0</v>
      </c>
      <c r="AZ74" s="30">
        <v>0.0</v>
      </c>
      <c r="BA74" s="30">
        <v>1.0</v>
      </c>
      <c r="BB74" s="33">
        <f>3.39/3.52</f>
        <v>0.9630681818</v>
      </c>
      <c r="BC74" s="30">
        <v>1.0</v>
      </c>
      <c r="BD74" s="30">
        <v>1.0</v>
      </c>
      <c r="BE74" s="30">
        <v>1.0</v>
      </c>
      <c r="BF74" s="9">
        <v>0.0</v>
      </c>
      <c r="BG74" s="9" t="s">
        <v>84</v>
      </c>
      <c r="BH74" s="9">
        <v>0.0</v>
      </c>
      <c r="BI74" s="9">
        <v>0.0</v>
      </c>
      <c r="BJ74" s="9">
        <v>0.0</v>
      </c>
      <c r="BK74" s="9">
        <v>0.0</v>
      </c>
      <c r="BL74" s="9">
        <v>0.0</v>
      </c>
      <c r="BM74" s="9">
        <v>0.0</v>
      </c>
      <c r="BN74" s="9">
        <v>0.0</v>
      </c>
      <c r="BO74" s="9">
        <v>0.0</v>
      </c>
      <c r="BP74" s="9" t="s">
        <v>84</v>
      </c>
      <c r="BQ74" s="9" t="s">
        <v>84</v>
      </c>
      <c r="BR74" s="9">
        <v>0.0</v>
      </c>
      <c r="BS74" s="9">
        <v>0.0</v>
      </c>
      <c r="BT74" s="9">
        <v>0.0</v>
      </c>
      <c r="BU74" s="9">
        <v>0.0</v>
      </c>
      <c r="BV74" s="9">
        <v>0.0</v>
      </c>
      <c r="BW74" s="9">
        <v>0.0</v>
      </c>
      <c r="BX74" s="9">
        <v>0.0</v>
      </c>
      <c r="BY74" s="9">
        <v>0.0</v>
      </c>
      <c r="BZ74" s="9">
        <v>0.0</v>
      </c>
      <c r="CA74" s="9">
        <v>0.0</v>
      </c>
      <c r="CB74" s="9">
        <v>0.0</v>
      </c>
      <c r="CC74" s="15" t="s">
        <v>104</v>
      </c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</row>
    <row r="75" ht="18.75" customHeight="1">
      <c r="A75" s="9">
        <v>74.0</v>
      </c>
      <c r="B75" s="30">
        <v>73.0</v>
      </c>
      <c r="C75" s="31" t="s">
        <v>81</v>
      </c>
      <c r="D75" s="31" t="s">
        <v>88</v>
      </c>
      <c r="E75" s="31" t="s">
        <v>103</v>
      </c>
      <c r="F75" s="55">
        <v>182.9</v>
      </c>
      <c r="G75" s="56">
        <v>72.6</v>
      </c>
      <c r="H75" s="12">
        <f t="shared" si="1"/>
        <v>21.70247226</v>
      </c>
      <c r="I75" s="9">
        <v>1.0</v>
      </c>
      <c r="J75" s="9">
        <v>4.0</v>
      </c>
      <c r="K75" s="9">
        <v>1.0</v>
      </c>
      <c r="L75" s="9">
        <v>0.0</v>
      </c>
      <c r="M75" s="9">
        <v>66.0</v>
      </c>
      <c r="N75" s="9">
        <v>0.0</v>
      </c>
      <c r="O75" s="9">
        <v>152.0</v>
      </c>
      <c r="P75" s="9">
        <v>0.0</v>
      </c>
      <c r="Q75" s="9">
        <v>18.0</v>
      </c>
      <c r="R75" s="9">
        <v>0.0</v>
      </c>
      <c r="S75" s="12">
        <v>98.8</v>
      </c>
      <c r="T75" s="9">
        <v>0.0</v>
      </c>
      <c r="U75" s="9">
        <v>99.0</v>
      </c>
      <c r="V75" s="9">
        <v>0.0</v>
      </c>
      <c r="W75" s="9">
        <v>0.0</v>
      </c>
      <c r="X75" s="9">
        <v>0.0</v>
      </c>
      <c r="Y75" s="9">
        <v>0.0</v>
      </c>
      <c r="Z75" s="9">
        <v>0.0</v>
      </c>
      <c r="AA75" s="9">
        <v>1.0</v>
      </c>
      <c r="AB75" s="9">
        <v>0.0</v>
      </c>
      <c r="AC75" s="9">
        <v>0.0</v>
      </c>
      <c r="AD75" s="9">
        <v>0.0</v>
      </c>
      <c r="AE75" s="9">
        <v>1.0</v>
      </c>
      <c r="AF75" s="9">
        <v>0.0</v>
      </c>
      <c r="AG75" s="9">
        <v>0.0</v>
      </c>
      <c r="AH75" s="9">
        <v>0.0</v>
      </c>
      <c r="AI75" s="9">
        <v>0.0</v>
      </c>
      <c r="AJ75" s="9">
        <v>0.0</v>
      </c>
      <c r="AK75" s="9">
        <v>0.0</v>
      </c>
      <c r="AL75" s="9">
        <v>0.0</v>
      </c>
      <c r="AM75" s="9">
        <v>0.0</v>
      </c>
      <c r="AN75" s="9">
        <v>0.0</v>
      </c>
      <c r="AO75" s="9">
        <v>0.0</v>
      </c>
      <c r="AP75" s="9" t="s">
        <v>84</v>
      </c>
      <c r="AQ75" s="9">
        <v>0.0</v>
      </c>
      <c r="AR75" s="9">
        <v>0.0</v>
      </c>
      <c r="AS75" s="9" t="s">
        <v>84</v>
      </c>
      <c r="AT75" s="9" t="s">
        <v>84</v>
      </c>
      <c r="AU75" s="9" t="s">
        <v>84</v>
      </c>
      <c r="AV75" s="9" t="s">
        <v>84</v>
      </c>
      <c r="AW75" s="9" t="s">
        <v>84</v>
      </c>
      <c r="AX75" s="33">
        <f>3.52/5.1</f>
        <v>0.6901960784</v>
      </c>
      <c r="AY75" s="34">
        <v>0.0</v>
      </c>
      <c r="AZ75" s="30">
        <v>0.0</v>
      </c>
      <c r="BA75" s="30">
        <v>0.0</v>
      </c>
      <c r="BB75" s="33">
        <f>3.33/3.51</f>
        <v>0.9487179487</v>
      </c>
      <c r="BC75" s="30">
        <v>2.0</v>
      </c>
      <c r="BD75" s="30">
        <v>0.0</v>
      </c>
      <c r="BE75" s="30">
        <v>0.0</v>
      </c>
      <c r="BF75" s="9">
        <v>0.0</v>
      </c>
      <c r="BG75" s="9" t="s">
        <v>84</v>
      </c>
      <c r="BH75" s="9">
        <v>0.0</v>
      </c>
      <c r="BI75" s="9">
        <v>0.0</v>
      </c>
      <c r="BJ75" s="9">
        <v>0.0</v>
      </c>
      <c r="BK75" s="9">
        <v>0.0</v>
      </c>
      <c r="BL75" s="9">
        <v>0.0</v>
      </c>
      <c r="BM75" s="9">
        <v>0.0</v>
      </c>
      <c r="BN75" s="9">
        <v>0.0</v>
      </c>
      <c r="BO75" s="9">
        <v>0.0</v>
      </c>
      <c r="BP75" s="9" t="s">
        <v>84</v>
      </c>
      <c r="BQ75" s="9" t="s">
        <v>84</v>
      </c>
      <c r="BR75" s="9">
        <v>0.0</v>
      </c>
      <c r="BS75" s="9">
        <v>0.0</v>
      </c>
      <c r="BT75" s="9">
        <v>0.0</v>
      </c>
      <c r="BU75" s="9">
        <v>0.0</v>
      </c>
      <c r="BV75" s="9">
        <v>0.0</v>
      </c>
      <c r="BW75" s="9">
        <v>0.0</v>
      </c>
      <c r="BX75" s="9">
        <v>0.0</v>
      </c>
      <c r="BY75" s="9">
        <v>0.0</v>
      </c>
      <c r="BZ75" s="9">
        <v>0.0</v>
      </c>
      <c r="CA75" s="9">
        <v>0.0</v>
      </c>
      <c r="CB75" s="9">
        <v>0.0</v>
      </c>
      <c r="CC75" s="15" t="s">
        <v>101</v>
      </c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</row>
    <row r="76" ht="18.75" customHeight="1">
      <c r="A76" s="9">
        <v>75.0</v>
      </c>
      <c r="B76" s="30">
        <v>45.0</v>
      </c>
      <c r="C76" s="31" t="s">
        <v>81</v>
      </c>
      <c r="D76" s="31" t="s">
        <v>82</v>
      </c>
      <c r="E76" s="31" t="s">
        <v>132</v>
      </c>
      <c r="F76" s="55">
        <v>190.5</v>
      </c>
      <c r="G76" s="56">
        <v>127.5</v>
      </c>
      <c r="H76" s="12">
        <f t="shared" si="1"/>
        <v>35.1334036</v>
      </c>
      <c r="I76" s="9">
        <v>1.0</v>
      </c>
      <c r="J76" s="9">
        <v>1.0</v>
      </c>
      <c r="K76" s="9">
        <v>2.0</v>
      </c>
      <c r="L76" s="9">
        <v>0.0</v>
      </c>
      <c r="M76" s="9">
        <v>99.0</v>
      </c>
      <c r="N76" s="9">
        <v>0.0</v>
      </c>
      <c r="O76" s="9">
        <v>115.0</v>
      </c>
      <c r="P76" s="9">
        <v>0.0</v>
      </c>
      <c r="Q76" s="9">
        <v>18.0</v>
      </c>
      <c r="R76" s="9">
        <v>0.0</v>
      </c>
      <c r="S76" s="12">
        <v>97.8</v>
      </c>
      <c r="T76" s="9">
        <v>0.0</v>
      </c>
      <c r="U76" s="9">
        <v>97.0</v>
      </c>
      <c r="V76" s="9">
        <v>0.0</v>
      </c>
      <c r="W76" s="9">
        <v>0.0</v>
      </c>
      <c r="X76" s="9">
        <v>0.0</v>
      </c>
      <c r="Y76" s="9">
        <v>0.0</v>
      </c>
      <c r="Z76" s="9">
        <v>0.0</v>
      </c>
      <c r="AA76" s="9">
        <v>0.0</v>
      </c>
      <c r="AB76" s="9">
        <v>1.0</v>
      </c>
      <c r="AC76" s="9">
        <v>0.0</v>
      </c>
      <c r="AD76" s="9">
        <v>0.0</v>
      </c>
      <c r="AE76" s="9">
        <v>0.0</v>
      </c>
      <c r="AF76" s="9">
        <v>0.0</v>
      </c>
      <c r="AG76" s="9">
        <v>1.0</v>
      </c>
      <c r="AH76" s="9">
        <v>0.0</v>
      </c>
      <c r="AI76" s="9">
        <v>0.0</v>
      </c>
      <c r="AJ76" s="9">
        <v>1.0</v>
      </c>
      <c r="AK76" s="9">
        <v>0.0</v>
      </c>
      <c r="AL76" s="9">
        <v>0.0</v>
      </c>
      <c r="AM76" s="9">
        <v>0.0</v>
      </c>
      <c r="AN76" s="9">
        <v>0.0</v>
      </c>
      <c r="AO76" s="9" t="s">
        <v>84</v>
      </c>
      <c r="AP76" s="9" t="s">
        <v>84</v>
      </c>
      <c r="AQ76" s="9">
        <v>1.0</v>
      </c>
      <c r="AR76" s="9" t="s">
        <v>84</v>
      </c>
      <c r="AS76" s="9" t="s">
        <v>84</v>
      </c>
      <c r="AT76" s="9" t="s">
        <v>84</v>
      </c>
      <c r="AU76" s="9" t="s">
        <v>84</v>
      </c>
      <c r="AV76" s="9" t="s">
        <v>84</v>
      </c>
      <c r="AW76" s="9" t="s">
        <v>84</v>
      </c>
      <c r="AX76" s="33">
        <f>5.94/6.37</f>
        <v>0.9324960754</v>
      </c>
      <c r="AY76" s="34">
        <v>0.0</v>
      </c>
      <c r="AZ76" s="30">
        <v>1.0</v>
      </c>
      <c r="BA76" s="30">
        <v>0.0</v>
      </c>
      <c r="BB76" s="33">
        <f>3.25/3.75</f>
        <v>0.8666666667</v>
      </c>
      <c r="BC76" s="30">
        <v>4.0</v>
      </c>
      <c r="BD76" s="30">
        <v>0.0</v>
      </c>
      <c r="BE76" s="30">
        <v>0.0</v>
      </c>
      <c r="BF76" s="9">
        <v>0.0</v>
      </c>
      <c r="BG76" s="9" t="s">
        <v>84</v>
      </c>
      <c r="BH76" s="9">
        <v>0.0</v>
      </c>
      <c r="BI76" s="9">
        <v>0.0</v>
      </c>
      <c r="BJ76" s="9">
        <v>0.0</v>
      </c>
      <c r="BK76" s="9">
        <v>0.0</v>
      </c>
      <c r="BL76" s="9">
        <v>0.0</v>
      </c>
      <c r="BM76" s="9">
        <v>0.0</v>
      </c>
      <c r="BN76" s="9">
        <v>0.0</v>
      </c>
      <c r="BO76" s="9">
        <v>0.0</v>
      </c>
      <c r="BP76" s="9" t="s">
        <v>84</v>
      </c>
      <c r="BQ76" s="9" t="s">
        <v>84</v>
      </c>
      <c r="BR76" s="9">
        <v>0.0</v>
      </c>
      <c r="BS76" s="9">
        <v>0.0</v>
      </c>
      <c r="BT76" s="9">
        <v>0.0</v>
      </c>
      <c r="BU76" s="9">
        <v>0.0</v>
      </c>
      <c r="BV76" s="9">
        <v>0.0</v>
      </c>
      <c r="BW76" s="9">
        <v>0.0</v>
      </c>
      <c r="BX76" s="9">
        <v>1.0</v>
      </c>
      <c r="BY76" s="9">
        <v>0.0</v>
      </c>
      <c r="BZ76" s="9">
        <v>0.0</v>
      </c>
      <c r="CA76" s="9">
        <v>0.0</v>
      </c>
      <c r="CB76" s="9">
        <v>0.0</v>
      </c>
      <c r="CC76" s="15" t="s">
        <v>113</v>
      </c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57"/>
      <c r="CV76" s="57"/>
      <c r="CW76" s="57"/>
    </row>
    <row r="77" ht="18.75" customHeight="1">
      <c r="A77" s="9">
        <v>76.0</v>
      </c>
      <c r="B77" s="30">
        <v>75.0</v>
      </c>
      <c r="C77" s="31" t="s">
        <v>81</v>
      </c>
      <c r="D77" s="18" t="s">
        <v>88</v>
      </c>
      <c r="E77" s="30">
        <v>2.0</v>
      </c>
      <c r="F77" s="55">
        <v>172.7</v>
      </c>
      <c r="G77" s="56">
        <v>61.2</v>
      </c>
      <c r="H77" s="12">
        <f t="shared" si="1"/>
        <v>20.51949872</v>
      </c>
      <c r="I77" s="9">
        <v>1.0</v>
      </c>
      <c r="J77" s="9">
        <v>5.0</v>
      </c>
      <c r="K77" s="9">
        <v>2.0</v>
      </c>
      <c r="L77" s="9">
        <v>0.0</v>
      </c>
      <c r="M77" s="9">
        <v>104.0</v>
      </c>
      <c r="N77" s="9">
        <v>0.0</v>
      </c>
      <c r="O77" s="9">
        <v>114.0</v>
      </c>
      <c r="P77" s="9">
        <v>0.0</v>
      </c>
      <c r="Q77" s="9">
        <v>26.0</v>
      </c>
      <c r="R77" s="9">
        <v>0.0</v>
      </c>
      <c r="S77" s="12">
        <v>98.0</v>
      </c>
      <c r="T77" s="9">
        <v>1.0</v>
      </c>
      <c r="U77" s="9">
        <v>80.0</v>
      </c>
      <c r="V77" s="9">
        <v>1.0</v>
      </c>
      <c r="W77" s="9">
        <v>0.0</v>
      </c>
      <c r="X77" s="9">
        <v>0.0</v>
      </c>
      <c r="Y77" s="9">
        <v>0.0</v>
      </c>
      <c r="Z77" s="9">
        <v>0.0</v>
      </c>
      <c r="AA77" s="9">
        <v>1.0</v>
      </c>
      <c r="AB77" s="9">
        <v>1.0</v>
      </c>
      <c r="AC77" s="9">
        <v>1.0</v>
      </c>
      <c r="AD77" s="9">
        <v>0.0</v>
      </c>
      <c r="AE77" s="9">
        <v>1.0</v>
      </c>
      <c r="AF77" s="9">
        <v>0.0</v>
      </c>
      <c r="AG77" s="9">
        <v>0.0</v>
      </c>
      <c r="AH77" s="9">
        <v>0.0</v>
      </c>
      <c r="AI77" s="9">
        <v>0.0</v>
      </c>
      <c r="AJ77" s="9">
        <v>1.0</v>
      </c>
      <c r="AK77" s="9">
        <v>0.0</v>
      </c>
      <c r="AL77" s="9">
        <v>0.0</v>
      </c>
      <c r="AM77" s="9">
        <v>0.0</v>
      </c>
      <c r="AN77" s="9">
        <v>0.0</v>
      </c>
      <c r="AO77" s="9">
        <v>0.0</v>
      </c>
      <c r="AP77" s="9" t="s">
        <v>84</v>
      </c>
      <c r="AQ77" s="9">
        <v>1.0</v>
      </c>
      <c r="AR77" s="9" t="s">
        <v>84</v>
      </c>
      <c r="AS77" s="9">
        <v>0.0</v>
      </c>
      <c r="AT77" s="9">
        <v>0.0</v>
      </c>
      <c r="AU77" s="9">
        <v>0.0</v>
      </c>
      <c r="AV77" s="9">
        <v>0.0</v>
      </c>
      <c r="AW77" s="9">
        <v>44.0</v>
      </c>
      <c r="AX77" s="33">
        <f>5.29/3.93</f>
        <v>1.34605598</v>
      </c>
      <c r="AY77" s="34">
        <v>0.0</v>
      </c>
      <c r="AZ77" s="30">
        <v>0.0</v>
      </c>
      <c r="BA77" s="30">
        <v>1.0</v>
      </c>
      <c r="BB77" s="33">
        <f>2.95/2.83</f>
        <v>1.042402827</v>
      </c>
      <c r="BC77" s="30">
        <v>5.0</v>
      </c>
      <c r="BD77" s="30">
        <v>1.0</v>
      </c>
      <c r="BE77" s="30">
        <v>0.0</v>
      </c>
      <c r="BF77" s="9">
        <v>0.0</v>
      </c>
      <c r="BG77" s="9" t="s">
        <v>84</v>
      </c>
      <c r="BH77" s="9">
        <v>1.0</v>
      </c>
      <c r="BI77" s="9">
        <v>0.0</v>
      </c>
      <c r="BJ77" s="9">
        <v>0.0</v>
      </c>
      <c r="BK77" s="9">
        <v>0.0</v>
      </c>
      <c r="BL77" s="9">
        <v>0.0</v>
      </c>
      <c r="BM77" s="9">
        <v>0.0</v>
      </c>
      <c r="BN77" s="9">
        <v>0.0</v>
      </c>
      <c r="BO77" s="9">
        <v>0.0</v>
      </c>
      <c r="BP77" s="9" t="s">
        <v>84</v>
      </c>
      <c r="BQ77" s="9" t="s">
        <v>84</v>
      </c>
      <c r="BR77" s="9">
        <v>0.0</v>
      </c>
      <c r="BS77" s="9">
        <v>0.0</v>
      </c>
      <c r="BT77" s="9">
        <v>0.0</v>
      </c>
      <c r="BU77" s="9">
        <v>0.0</v>
      </c>
      <c r="BV77" s="9">
        <v>1.0</v>
      </c>
      <c r="BW77" s="31" t="s">
        <v>84</v>
      </c>
      <c r="BX77" s="9" t="s">
        <v>84</v>
      </c>
      <c r="BY77" s="9" t="s">
        <v>84</v>
      </c>
      <c r="BZ77" s="9" t="s">
        <v>84</v>
      </c>
      <c r="CA77" s="9" t="s">
        <v>84</v>
      </c>
      <c r="CB77" s="9">
        <v>0.0</v>
      </c>
      <c r="CC77" s="15" t="s">
        <v>182</v>
      </c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57"/>
      <c r="CV77" s="57"/>
      <c r="CW77" s="57"/>
    </row>
    <row r="78" ht="18.75" customHeight="1">
      <c r="A78" s="9">
        <v>77.0</v>
      </c>
      <c r="B78" s="30">
        <v>35.0</v>
      </c>
      <c r="C78" s="31" t="s">
        <v>86</v>
      </c>
      <c r="D78" s="18" t="s">
        <v>88</v>
      </c>
      <c r="E78" s="30">
        <v>2.0</v>
      </c>
      <c r="F78" s="55">
        <v>180.3</v>
      </c>
      <c r="G78" s="12">
        <v>94.9</v>
      </c>
      <c r="H78" s="12">
        <f t="shared" si="1"/>
        <v>29.19273326</v>
      </c>
      <c r="I78" s="9">
        <v>0.0</v>
      </c>
      <c r="J78" s="9">
        <v>3.0</v>
      </c>
      <c r="K78" s="9">
        <v>1.0</v>
      </c>
      <c r="L78" s="9">
        <v>0.0</v>
      </c>
      <c r="M78" s="9">
        <v>81.0</v>
      </c>
      <c r="N78" s="9">
        <v>0.0</v>
      </c>
      <c r="O78" s="9">
        <v>109.0</v>
      </c>
      <c r="P78" s="9">
        <v>0.0</v>
      </c>
      <c r="Q78" s="9">
        <v>23.0</v>
      </c>
      <c r="R78" s="9">
        <v>0.0</v>
      </c>
      <c r="S78" s="12">
        <v>98.0</v>
      </c>
      <c r="T78" s="9">
        <v>0.0</v>
      </c>
      <c r="U78" s="9">
        <v>100.0</v>
      </c>
      <c r="V78" s="9">
        <v>0.0</v>
      </c>
      <c r="W78" s="9">
        <v>0.0</v>
      </c>
      <c r="X78" s="9">
        <v>1.0</v>
      </c>
      <c r="Y78" s="9">
        <v>1.0</v>
      </c>
      <c r="Z78" s="9">
        <v>0.0</v>
      </c>
      <c r="AA78" s="9">
        <v>0.0</v>
      </c>
      <c r="AB78" s="9">
        <v>0.0</v>
      </c>
      <c r="AC78" s="9">
        <v>0.0</v>
      </c>
      <c r="AD78" s="9">
        <v>0.0</v>
      </c>
      <c r="AE78" s="9">
        <v>0.0</v>
      </c>
      <c r="AF78" s="9">
        <v>0.0</v>
      </c>
      <c r="AG78" s="9">
        <v>0.0</v>
      </c>
      <c r="AH78" s="9">
        <v>0.0</v>
      </c>
      <c r="AI78" s="9">
        <v>0.0</v>
      </c>
      <c r="AJ78" s="9">
        <v>0.0</v>
      </c>
      <c r="AK78" s="9">
        <v>1.0</v>
      </c>
      <c r="AL78" s="9">
        <v>0.0</v>
      </c>
      <c r="AM78" s="9">
        <v>0.0</v>
      </c>
      <c r="AN78" s="9">
        <v>0.0</v>
      </c>
      <c r="AO78" s="9">
        <v>0.0</v>
      </c>
      <c r="AP78" s="9" t="s">
        <v>84</v>
      </c>
      <c r="AQ78" s="9" t="s">
        <v>84</v>
      </c>
      <c r="AR78" s="9">
        <v>0.0</v>
      </c>
      <c r="AS78" s="9">
        <v>0.0</v>
      </c>
      <c r="AT78" s="9">
        <v>0.0</v>
      </c>
      <c r="AU78" s="9">
        <v>0.0</v>
      </c>
      <c r="AV78" s="9">
        <v>0.0</v>
      </c>
      <c r="AW78" s="9" t="s">
        <v>97</v>
      </c>
      <c r="AX78" s="33">
        <f>3.51/4.68</f>
        <v>0.75</v>
      </c>
      <c r="AY78" s="34">
        <v>0.0</v>
      </c>
      <c r="AZ78" s="30">
        <v>0.0</v>
      </c>
      <c r="BA78" s="30">
        <v>0.0</v>
      </c>
      <c r="BB78" s="33">
        <f>2.98/3.43</f>
        <v>0.8688046647</v>
      </c>
      <c r="BC78" s="30">
        <v>1.0</v>
      </c>
      <c r="BD78" s="30">
        <v>0.0</v>
      </c>
      <c r="BE78" s="30">
        <v>0.0</v>
      </c>
      <c r="BF78" s="9">
        <v>0.0</v>
      </c>
      <c r="BG78" s="9" t="s">
        <v>84</v>
      </c>
      <c r="BH78" s="9">
        <v>0.0</v>
      </c>
      <c r="BI78" s="9">
        <v>0.0</v>
      </c>
      <c r="BJ78" s="9">
        <v>0.0</v>
      </c>
      <c r="BK78" s="9">
        <v>0.0</v>
      </c>
      <c r="BL78" s="9">
        <v>0.0</v>
      </c>
      <c r="BM78" s="9">
        <v>0.0</v>
      </c>
      <c r="BN78" s="9">
        <v>0.0</v>
      </c>
      <c r="BO78" s="9">
        <v>0.0</v>
      </c>
      <c r="BP78" s="9" t="s">
        <v>84</v>
      </c>
      <c r="BQ78" s="9" t="s">
        <v>84</v>
      </c>
      <c r="BR78" s="9">
        <v>0.0</v>
      </c>
      <c r="BS78" s="9">
        <v>0.0</v>
      </c>
      <c r="BT78" s="9">
        <v>0.0</v>
      </c>
      <c r="BU78" s="9">
        <v>0.0</v>
      </c>
      <c r="BV78" s="9">
        <v>0.0</v>
      </c>
      <c r="BW78" s="30">
        <v>0.0</v>
      </c>
      <c r="BX78" s="9">
        <v>0.0</v>
      </c>
      <c r="BY78" s="9" t="s">
        <v>84</v>
      </c>
      <c r="BZ78" s="9">
        <v>1.0</v>
      </c>
      <c r="CA78" s="9" t="s">
        <v>84</v>
      </c>
      <c r="CB78" s="9">
        <v>0.0</v>
      </c>
      <c r="CC78" s="15" t="s">
        <v>92</v>
      </c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57"/>
      <c r="CV78" s="57"/>
      <c r="CW78" s="57"/>
    </row>
    <row r="79" ht="18.75" customHeight="1">
      <c r="A79" s="9">
        <v>78.0</v>
      </c>
      <c r="B79" s="30">
        <v>58.0</v>
      </c>
      <c r="C79" s="31" t="s">
        <v>86</v>
      </c>
      <c r="D79" s="18" t="s">
        <v>88</v>
      </c>
      <c r="E79" s="31" t="s">
        <v>83</v>
      </c>
      <c r="F79" s="55">
        <v>172.7</v>
      </c>
      <c r="G79" s="12">
        <v>85.6</v>
      </c>
      <c r="H79" s="12">
        <f t="shared" si="1"/>
        <v>28.70047533</v>
      </c>
      <c r="I79" s="9">
        <v>0.0</v>
      </c>
      <c r="J79" s="9">
        <v>1.0</v>
      </c>
      <c r="K79" s="9">
        <v>1.0</v>
      </c>
      <c r="L79" s="9">
        <v>0.0</v>
      </c>
      <c r="M79" s="9">
        <v>75.0</v>
      </c>
      <c r="N79" s="9">
        <v>0.0</v>
      </c>
      <c r="O79" s="9">
        <v>132.0</v>
      </c>
      <c r="P79" s="9">
        <v>0.0</v>
      </c>
      <c r="Q79" s="9">
        <v>18.0</v>
      </c>
      <c r="R79" s="9">
        <v>0.0</v>
      </c>
      <c r="S79" s="12">
        <v>97.7</v>
      </c>
      <c r="T79" s="9">
        <v>0.0</v>
      </c>
      <c r="U79" s="9">
        <v>100.0</v>
      </c>
      <c r="V79" s="9">
        <v>0.0</v>
      </c>
      <c r="W79" s="9">
        <v>0.0</v>
      </c>
      <c r="X79" s="9">
        <v>0.0</v>
      </c>
      <c r="Y79" s="9">
        <v>0.0</v>
      </c>
      <c r="Z79" s="9">
        <v>0.0</v>
      </c>
      <c r="AA79" s="9">
        <v>0.0</v>
      </c>
      <c r="AB79" s="9">
        <v>0.0</v>
      </c>
      <c r="AC79" s="9">
        <v>0.0</v>
      </c>
      <c r="AD79" s="9">
        <v>0.0</v>
      </c>
      <c r="AE79" s="9">
        <v>1.0</v>
      </c>
      <c r="AF79" s="9">
        <v>0.0</v>
      </c>
      <c r="AG79" s="9">
        <v>0.0</v>
      </c>
      <c r="AH79" s="9">
        <v>0.0</v>
      </c>
      <c r="AI79" s="9">
        <v>0.0</v>
      </c>
      <c r="AJ79" s="9">
        <v>0.0</v>
      </c>
      <c r="AK79" s="9">
        <v>0.0</v>
      </c>
      <c r="AL79" s="9">
        <v>0.0</v>
      </c>
      <c r="AM79" s="9">
        <v>0.0</v>
      </c>
      <c r="AN79" s="9">
        <v>0.0</v>
      </c>
      <c r="AO79" s="9">
        <v>0.0</v>
      </c>
      <c r="AP79" s="9" t="s">
        <v>84</v>
      </c>
      <c r="AQ79" s="9">
        <v>0.0</v>
      </c>
      <c r="AR79" s="9">
        <v>0.0</v>
      </c>
      <c r="AS79" s="9">
        <v>0.0</v>
      </c>
      <c r="AT79" s="9">
        <v>0.0</v>
      </c>
      <c r="AU79" s="9">
        <v>0.0</v>
      </c>
      <c r="AV79" s="9">
        <v>0.0</v>
      </c>
      <c r="AW79" s="9" t="s">
        <v>97</v>
      </c>
      <c r="AX79" s="33">
        <f>4/4.64</f>
        <v>0.8620689655</v>
      </c>
      <c r="AY79" s="34">
        <v>1.0</v>
      </c>
      <c r="AZ79" s="30">
        <v>0.0</v>
      </c>
      <c r="BA79" s="30">
        <v>0.0</v>
      </c>
      <c r="BB79" s="33">
        <f>3.28/3.42</f>
        <v>0.9590643275</v>
      </c>
      <c r="BC79" s="30">
        <v>1.0</v>
      </c>
      <c r="BD79" s="30">
        <v>0.0</v>
      </c>
      <c r="BE79" s="30">
        <v>0.0</v>
      </c>
      <c r="BF79" s="9">
        <v>0.0</v>
      </c>
      <c r="BG79" s="9" t="s">
        <v>84</v>
      </c>
      <c r="BH79" s="9">
        <v>0.0</v>
      </c>
      <c r="BI79" s="9">
        <v>0.0</v>
      </c>
      <c r="BJ79" s="9">
        <v>0.0</v>
      </c>
      <c r="BK79" s="9">
        <v>0.0</v>
      </c>
      <c r="BL79" s="9">
        <v>0.0</v>
      </c>
      <c r="BM79" s="9">
        <v>0.0</v>
      </c>
      <c r="BN79" s="9">
        <v>0.0</v>
      </c>
      <c r="BO79" s="9">
        <v>0.0</v>
      </c>
      <c r="BP79" s="9" t="s">
        <v>84</v>
      </c>
      <c r="BQ79" s="9" t="s">
        <v>84</v>
      </c>
      <c r="BR79" s="9">
        <v>0.0</v>
      </c>
      <c r="BS79" s="9">
        <v>0.0</v>
      </c>
      <c r="BT79" s="9">
        <v>0.0</v>
      </c>
      <c r="BU79" s="9">
        <v>0.0</v>
      </c>
      <c r="BV79" s="9">
        <v>0.0</v>
      </c>
      <c r="BW79" s="30">
        <v>0.0</v>
      </c>
      <c r="BX79" s="9">
        <v>0.0</v>
      </c>
      <c r="BY79" s="9">
        <v>0.0</v>
      </c>
      <c r="BZ79" s="9">
        <v>0.0</v>
      </c>
      <c r="CA79" s="9">
        <v>0.0</v>
      </c>
      <c r="CB79" s="9">
        <v>0.0</v>
      </c>
      <c r="CC79" s="15" t="s">
        <v>101</v>
      </c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</row>
    <row r="80" ht="18.75" customHeight="1">
      <c r="A80" s="9">
        <v>79.0</v>
      </c>
      <c r="B80" s="30">
        <v>59.0</v>
      </c>
      <c r="C80" s="31" t="s">
        <v>86</v>
      </c>
      <c r="D80" s="18" t="s">
        <v>82</v>
      </c>
      <c r="E80" s="31" t="s">
        <v>103</v>
      </c>
      <c r="F80" s="55">
        <v>167.6</v>
      </c>
      <c r="G80" s="12">
        <v>68.0</v>
      </c>
      <c r="H80" s="12">
        <f t="shared" si="1"/>
        <v>24.20811</v>
      </c>
      <c r="I80" s="9">
        <v>0.0</v>
      </c>
      <c r="J80" s="9">
        <v>1.0</v>
      </c>
      <c r="K80" s="9">
        <v>4.0</v>
      </c>
      <c r="L80" s="9">
        <v>0.0</v>
      </c>
      <c r="M80" s="9">
        <v>84.0</v>
      </c>
      <c r="N80" s="9">
        <v>0.0</v>
      </c>
      <c r="O80" s="9">
        <v>116.0</v>
      </c>
      <c r="P80" s="9">
        <v>0.0</v>
      </c>
      <c r="Q80" s="9">
        <v>20.0</v>
      </c>
      <c r="R80" s="9">
        <v>0.0</v>
      </c>
      <c r="S80" s="12">
        <v>97.8</v>
      </c>
      <c r="T80" s="9">
        <v>0.0</v>
      </c>
      <c r="U80" s="9">
        <v>97.0</v>
      </c>
      <c r="V80" s="9">
        <v>0.0</v>
      </c>
      <c r="W80" s="9">
        <v>0.0</v>
      </c>
      <c r="X80" s="9">
        <v>0.0</v>
      </c>
      <c r="Y80" s="9">
        <v>0.0</v>
      </c>
      <c r="Z80" s="9">
        <v>0.0</v>
      </c>
      <c r="AA80" s="9">
        <v>0.0</v>
      </c>
      <c r="AB80" s="9">
        <v>0.0</v>
      </c>
      <c r="AC80" s="9">
        <v>0.0</v>
      </c>
      <c r="AD80" s="9">
        <v>0.0</v>
      </c>
      <c r="AE80" s="9">
        <v>0.0</v>
      </c>
      <c r="AF80" s="9">
        <v>0.0</v>
      </c>
      <c r="AG80" s="9">
        <v>0.0</v>
      </c>
      <c r="AH80" s="9">
        <v>0.0</v>
      </c>
      <c r="AI80" s="9">
        <v>0.0</v>
      </c>
      <c r="AJ80" s="9">
        <v>0.0</v>
      </c>
      <c r="AK80" s="9">
        <v>0.0</v>
      </c>
      <c r="AL80" s="9">
        <v>0.0</v>
      </c>
      <c r="AM80" s="9">
        <v>0.0</v>
      </c>
      <c r="AN80" s="9">
        <v>0.0</v>
      </c>
      <c r="AO80" s="9">
        <v>0.0</v>
      </c>
      <c r="AP80" s="9" t="s">
        <v>84</v>
      </c>
      <c r="AQ80" s="9" t="s">
        <v>84</v>
      </c>
      <c r="AR80" s="9" t="s">
        <v>84</v>
      </c>
      <c r="AS80" s="9" t="s">
        <v>84</v>
      </c>
      <c r="AT80" s="9" t="s">
        <v>84</v>
      </c>
      <c r="AU80" s="9" t="s">
        <v>84</v>
      </c>
      <c r="AV80" s="9" t="s">
        <v>84</v>
      </c>
      <c r="AW80" s="9" t="s">
        <v>84</v>
      </c>
      <c r="AX80" s="33">
        <f>4.62/4.88</f>
        <v>0.9467213115</v>
      </c>
      <c r="AY80" s="34">
        <v>0.0</v>
      </c>
      <c r="AZ80" s="30">
        <v>0.0</v>
      </c>
      <c r="BA80" s="30">
        <v>1.0</v>
      </c>
      <c r="BB80" s="33">
        <f>3.2/3.71</f>
        <v>0.8625336927</v>
      </c>
      <c r="BC80" s="30">
        <v>2.0</v>
      </c>
      <c r="BD80" s="30">
        <v>0.0</v>
      </c>
      <c r="BE80" s="30">
        <v>0.0</v>
      </c>
      <c r="BF80" s="9">
        <v>0.0</v>
      </c>
      <c r="BG80" s="9" t="s">
        <v>84</v>
      </c>
      <c r="BH80" s="9">
        <v>0.0</v>
      </c>
      <c r="BI80" s="9">
        <v>0.0</v>
      </c>
      <c r="BJ80" s="9">
        <v>0.0</v>
      </c>
      <c r="BK80" s="9">
        <v>0.0</v>
      </c>
      <c r="BL80" s="9">
        <v>0.0</v>
      </c>
      <c r="BM80" s="9">
        <v>0.0</v>
      </c>
      <c r="BN80" s="9">
        <v>0.0</v>
      </c>
      <c r="BO80" s="9">
        <v>0.0</v>
      </c>
      <c r="BP80" s="9" t="s">
        <v>84</v>
      </c>
      <c r="BQ80" s="9" t="s">
        <v>84</v>
      </c>
      <c r="BR80" s="9">
        <v>0.0</v>
      </c>
      <c r="BS80" s="9">
        <v>0.0</v>
      </c>
      <c r="BT80" s="9">
        <v>0.0</v>
      </c>
      <c r="BU80" s="9">
        <v>0.0</v>
      </c>
      <c r="BV80" s="9">
        <v>0.0</v>
      </c>
      <c r="BW80" s="30">
        <v>0.0</v>
      </c>
      <c r="BX80" s="9">
        <v>1.0</v>
      </c>
      <c r="BY80" s="9">
        <v>0.0</v>
      </c>
      <c r="BZ80" s="9">
        <v>1.0</v>
      </c>
      <c r="CA80" s="9">
        <v>0.0</v>
      </c>
      <c r="CB80" s="9">
        <v>0.0</v>
      </c>
      <c r="CC80" s="15" t="s">
        <v>101</v>
      </c>
    </row>
    <row r="81" ht="18.75" customHeight="1">
      <c r="A81" s="9">
        <v>80.0</v>
      </c>
      <c r="B81" s="30">
        <v>85.0</v>
      </c>
      <c r="C81" s="31" t="s">
        <v>81</v>
      </c>
      <c r="D81" s="18" t="s">
        <v>82</v>
      </c>
      <c r="E81" s="30">
        <v>13.0</v>
      </c>
      <c r="F81" s="55">
        <v>175.3</v>
      </c>
      <c r="G81" s="12">
        <v>81.6</v>
      </c>
      <c r="H81" s="12">
        <f t="shared" si="1"/>
        <v>26.5537784</v>
      </c>
      <c r="I81" s="9">
        <v>1.0</v>
      </c>
      <c r="J81" s="9">
        <v>5.0</v>
      </c>
      <c r="K81" s="9">
        <v>2.0</v>
      </c>
      <c r="L81" s="9">
        <v>0.0</v>
      </c>
      <c r="M81" s="9">
        <v>66.0</v>
      </c>
      <c r="N81" s="9">
        <v>0.0</v>
      </c>
      <c r="O81" s="9">
        <v>220.0</v>
      </c>
      <c r="P81" s="9">
        <v>0.0</v>
      </c>
      <c r="Q81" s="9">
        <v>20.0</v>
      </c>
      <c r="R81" s="9">
        <v>0.0</v>
      </c>
      <c r="S81" s="12">
        <v>97.9</v>
      </c>
      <c r="T81" s="9">
        <v>0.0</v>
      </c>
      <c r="U81" s="9">
        <v>97.0</v>
      </c>
      <c r="V81" s="9">
        <v>0.0</v>
      </c>
      <c r="W81" s="9">
        <v>0.0</v>
      </c>
      <c r="X81" s="9">
        <v>0.0</v>
      </c>
      <c r="Y81" s="9">
        <v>0.0</v>
      </c>
      <c r="Z81" s="9">
        <v>0.0</v>
      </c>
      <c r="AA81" s="9">
        <v>0.0</v>
      </c>
      <c r="AB81" s="9">
        <v>1.0</v>
      </c>
      <c r="AC81" s="9">
        <v>1.0</v>
      </c>
      <c r="AD81" s="9">
        <v>0.0</v>
      </c>
      <c r="AE81" s="9">
        <v>0.0</v>
      </c>
      <c r="AF81" s="9">
        <v>0.0</v>
      </c>
      <c r="AG81" s="9">
        <v>0.0</v>
      </c>
      <c r="AH81" s="9">
        <v>1.0</v>
      </c>
      <c r="AI81" s="9">
        <v>0.0</v>
      </c>
      <c r="AJ81" s="9">
        <v>0.0</v>
      </c>
      <c r="AK81" s="9">
        <v>0.0</v>
      </c>
      <c r="AL81" s="9">
        <v>0.0</v>
      </c>
      <c r="AM81" s="9">
        <v>0.0</v>
      </c>
      <c r="AN81" s="9">
        <v>1.0</v>
      </c>
      <c r="AO81" s="9">
        <v>1.0</v>
      </c>
      <c r="AP81" s="9">
        <v>0.0</v>
      </c>
      <c r="AQ81" s="9" t="s">
        <v>84</v>
      </c>
      <c r="AR81" s="9">
        <v>1.0</v>
      </c>
      <c r="AS81" s="9">
        <v>1.0</v>
      </c>
      <c r="AT81" s="9">
        <v>0.0</v>
      </c>
      <c r="AU81" s="9">
        <v>0.0</v>
      </c>
      <c r="AV81" s="9">
        <v>0.0</v>
      </c>
      <c r="AW81" s="9">
        <v>31.0</v>
      </c>
      <c r="AX81" s="33">
        <f>3.74/4.9</f>
        <v>0.7632653061</v>
      </c>
      <c r="AY81" s="34">
        <v>0.0</v>
      </c>
      <c r="AZ81" s="30">
        <v>0.0</v>
      </c>
      <c r="BA81" s="30">
        <v>0.0</v>
      </c>
      <c r="BB81" s="33">
        <f>3.05/3.61</f>
        <v>0.8448753463</v>
      </c>
      <c r="BC81" s="30">
        <v>3.0</v>
      </c>
      <c r="BD81" s="30">
        <v>0.0</v>
      </c>
      <c r="BE81" s="30">
        <v>0.0</v>
      </c>
      <c r="BF81" s="9">
        <v>0.0</v>
      </c>
      <c r="BG81" s="9" t="s">
        <v>84</v>
      </c>
      <c r="BH81" s="9">
        <v>0.0</v>
      </c>
      <c r="BI81" s="9">
        <v>0.0</v>
      </c>
      <c r="BJ81" s="9">
        <v>0.0</v>
      </c>
      <c r="BK81" s="9">
        <v>0.0</v>
      </c>
      <c r="BL81" s="9">
        <v>0.0</v>
      </c>
      <c r="BM81" s="9">
        <v>0.0</v>
      </c>
      <c r="BN81" s="9">
        <v>0.0</v>
      </c>
      <c r="BO81" s="9">
        <v>0.0</v>
      </c>
      <c r="BP81" s="9" t="s">
        <v>84</v>
      </c>
      <c r="BQ81" s="9" t="s">
        <v>84</v>
      </c>
      <c r="BR81" s="9">
        <v>0.0</v>
      </c>
      <c r="BS81" s="9">
        <v>0.0</v>
      </c>
      <c r="BT81" s="9">
        <v>0.0</v>
      </c>
      <c r="BU81" s="9">
        <v>1.0</v>
      </c>
      <c r="BV81" s="9">
        <v>0.0</v>
      </c>
      <c r="BW81" s="30">
        <v>0.0</v>
      </c>
      <c r="BX81" s="9">
        <v>1.0</v>
      </c>
      <c r="BY81" s="9">
        <v>0.0</v>
      </c>
      <c r="BZ81" s="9">
        <v>0.0</v>
      </c>
      <c r="CA81" s="9">
        <v>0.0</v>
      </c>
      <c r="CB81" s="9">
        <v>0.0</v>
      </c>
      <c r="CC81" s="15" t="s">
        <v>101</v>
      </c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</row>
    <row r="82" ht="18.75" customHeight="1">
      <c r="A82" s="9">
        <v>81.0</v>
      </c>
      <c r="B82" s="30">
        <v>54.0</v>
      </c>
      <c r="C82" s="31" t="s">
        <v>86</v>
      </c>
      <c r="D82" s="18" t="s">
        <v>88</v>
      </c>
      <c r="E82" s="31" t="s">
        <v>93</v>
      </c>
      <c r="F82" s="55">
        <v>175.3</v>
      </c>
      <c r="G82" s="12">
        <v>78.9</v>
      </c>
      <c r="H82" s="12">
        <f t="shared" si="1"/>
        <v>25.67516073</v>
      </c>
      <c r="I82" s="9">
        <v>0.0</v>
      </c>
      <c r="J82" s="9">
        <v>4.0</v>
      </c>
      <c r="K82" s="9">
        <v>1.0</v>
      </c>
      <c r="L82" s="9">
        <v>0.0</v>
      </c>
      <c r="M82" s="9">
        <v>94.0</v>
      </c>
      <c r="N82" s="9">
        <v>0.0</v>
      </c>
      <c r="O82" s="9">
        <v>127.0</v>
      </c>
      <c r="P82" s="9">
        <v>0.0</v>
      </c>
      <c r="Q82" s="9">
        <v>20.0</v>
      </c>
      <c r="R82" s="9">
        <v>0.0</v>
      </c>
      <c r="S82" s="12">
        <v>98.0</v>
      </c>
      <c r="T82" s="9">
        <v>0.0</v>
      </c>
      <c r="U82" s="9">
        <v>100.0</v>
      </c>
      <c r="V82" s="9">
        <v>0.0</v>
      </c>
      <c r="W82" s="9">
        <v>0.0</v>
      </c>
      <c r="X82" s="9">
        <v>0.0</v>
      </c>
      <c r="Y82" s="9">
        <v>0.0</v>
      </c>
      <c r="Z82" s="9">
        <v>0.0</v>
      </c>
      <c r="AA82" s="9">
        <v>0.0</v>
      </c>
      <c r="AB82" s="9">
        <v>0.0</v>
      </c>
      <c r="AC82" s="9">
        <v>0.0</v>
      </c>
      <c r="AD82" s="9">
        <v>0.0</v>
      </c>
      <c r="AE82" s="9">
        <v>0.0</v>
      </c>
      <c r="AF82" s="9">
        <v>0.0</v>
      </c>
      <c r="AG82" s="9">
        <v>0.0</v>
      </c>
      <c r="AH82" s="9">
        <v>0.0</v>
      </c>
      <c r="AI82" s="9">
        <v>0.0</v>
      </c>
      <c r="AJ82" s="9">
        <v>0.0</v>
      </c>
      <c r="AK82" s="9">
        <v>0.0</v>
      </c>
      <c r="AL82" s="9">
        <v>1.0</v>
      </c>
      <c r="AM82" s="9">
        <v>0.0</v>
      </c>
      <c r="AN82" s="9">
        <v>0.0</v>
      </c>
      <c r="AO82" s="9">
        <v>1.0</v>
      </c>
      <c r="AP82" s="9">
        <v>1.0</v>
      </c>
      <c r="AQ82" s="9" t="s">
        <v>84</v>
      </c>
      <c r="AR82" s="9">
        <v>0.0</v>
      </c>
      <c r="AS82" s="9" t="s">
        <v>84</v>
      </c>
      <c r="AT82" s="9" t="s">
        <v>84</v>
      </c>
      <c r="AU82" s="9" t="s">
        <v>84</v>
      </c>
      <c r="AV82" s="9" t="s">
        <v>84</v>
      </c>
      <c r="AW82" s="9" t="s">
        <v>84</v>
      </c>
      <c r="AX82" s="33">
        <f>4.46/4.76</f>
        <v>0.9369747899</v>
      </c>
      <c r="AY82" s="34">
        <v>0.0</v>
      </c>
      <c r="AZ82" s="30">
        <v>1.0</v>
      </c>
      <c r="BA82" s="30">
        <v>0.0</v>
      </c>
      <c r="BB82" s="33">
        <f>2.79/3.12</f>
        <v>0.8942307692</v>
      </c>
      <c r="BC82" s="30">
        <v>1.0</v>
      </c>
      <c r="BD82" s="30">
        <v>1.0</v>
      </c>
      <c r="BE82" s="30">
        <v>0.0</v>
      </c>
      <c r="BF82" s="9">
        <v>0.0</v>
      </c>
      <c r="BG82" s="9" t="s">
        <v>84</v>
      </c>
      <c r="BH82" s="9">
        <v>0.0</v>
      </c>
      <c r="BI82" s="9">
        <v>0.0</v>
      </c>
      <c r="BJ82" s="9">
        <v>0.0</v>
      </c>
      <c r="BK82" s="9">
        <v>0.0</v>
      </c>
      <c r="BL82" s="9">
        <v>0.0</v>
      </c>
      <c r="BM82" s="9">
        <v>0.0</v>
      </c>
      <c r="BN82" s="9">
        <v>0.0</v>
      </c>
      <c r="BO82" s="9">
        <v>0.0</v>
      </c>
      <c r="BP82" s="9" t="s">
        <v>84</v>
      </c>
      <c r="BQ82" s="9" t="s">
        <v>84</v>
      </c>
      <c r="BR82" s="9">
        <v>0.0</v>
      </c>
      <c r="BS82" s="9">
        <v>0.0</v>
      </c>
      <c r="BT82" s="9">
        <v>0.0</v>
      </c>
      <c r="BU82" s="9">
        <v>0.0</v>
      </c>
      <c r="BV82" s="9">
        <v>0.0</v>
      </c>
      <c r="BW82" s="30">
        <v>0.0</v>
      </c>
      <c r="BX82" s="9">
        <v>0.0</v>
      </c>
      <c r="BY82" s="9">
        <v>0.0</v>
      </c>
      <c r="BZ82" s="9">
        <v>1.0</v>
      </c>
      <c r="CA82" s="9">
        <v>0.0</v>
      </c>
      <c r="CB82" s="9">
        <v>0.0</v>
      </c>
      <c r="CC82" s="15" t="s">
        <v>101</v>
      </c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</row>
    <row r="83" ht="18.75" customHeight="1">
      <c r="A83" s="9">
        <v>82.0</v>
      </c>
      <c r="B83" s="30">
        <v>68.0</v>
      </c>
      <c r="C83" s="31" t="s">
        <v>86</v>
      </c>
      <c r="D83" s="18" t="s">
        <v>82</v>
      </c>
      <c r="E83" s="31" t="s">
        <v>83</v>
      </c>
      <c r="F83" s="55">
        <v>160.0</v>
      </c>
      <c r="G83" s="12">
        <v>64.4</v>
      </c>
      <c r="H83" s="12">
        <f t="shared" si="1"/>
        <v>25.15625</v>
      </c>
      <c r="I83" s="9">
        <v>0.0</v>
      </c>
      <c r="J83" s="9">
        <v>2.0</v>
      </c>
      <c r="K83" s="9">
        <v>1.0</v>
      </c>
      <c r="L83" s="9">
        <v>0.0</v>
      </c>
      <c r="M83" s="9">
        <v>63.0</v>
      </c>
      <c r="N83" s="9">
        <v>0.0</v>
      </c>
      <c r="O83" s="9">
        <v>143.0</v>
      </c>
      <c r="P83" s="9">
        <v>0.0</v>
      </c>
      <c r="Q83" s="9">
        <v>24.0</v>
      </c>
      <c r="R83" s="9">
        <v>0.0</v>
      </c>
      <c r="S83" s="12">
        <v>98.1</v>
      </c>
      <c r="T83" s="9">
        <v>0.0</v>
      </c>
      <c r="U83" s="9">
        <v>100.0</v>
      </c>
      <c r="V83" s="9">
        <v>0.0</v>
      </c>
      <c r="W83" s="9">
        <v>0.0</v>
      </c>
      <c r="X83" s="9">
        <v>0.0</v>
      </c>
      <c r="Y83" s="9">
        <v>0.0</v>
      </c>
      <c r="Z83" s="9">
        <v>0.0</v>
      </c>
      <c r="AA83" s="9">
        <v>0.0</v>
      </c>
      <c r="AB83" s="9">
        <v>0.0</v>
      </c>
      <c r="AC83" s="9">
        <v>0.0</v>
      </c>
      <c r="AD83" s="9">
        <v>0.0</v>
      </c>
      <c r="AE83" s="9">
        <v>0.0</v>
      </c>
      <c r="AF83" s="9">
        <v>0.0</v>
      </c>
      <c r="AG83" s="9">
        <v>0.0</v>
      </c>
      <c r="AH83" s="9">
        <v>0.0</v>
      </c>
      <c r="AI83" s="9">
        <v>0.0</v>
      </c>
      <c r="AJ83" s="9">
        <v>0.0</v>
      </c>
      <c r="AK83" s="9">
        <v>1.0</v>
      </c>
      <c r="AL83" s="9">
        <v>0.0</v>
      </c>
      <c r="AM83" s="9">
        <v>0.0</v>
      </c>
      <c r="AN83" s="9">
        <v>0.0</v>
      </c>
      <c r="AO83" s="9" t="s">
        <v>84</v>
      </c>
      <c r="AP83" s="9" t="s">
        <v>84</v>
      </c>
      <c r="AQ83" s="9" t="s">
        <v>84</v>
      </c>
      <c r="AR83" s="9" t="s">
        <v>84</v>
      </c>
      <c r="AS83" s="9">
        <v>0.0</v>
      </c>
      <c r="AT83" s="9">
        <v>0.0</v>
      </c>
      <c r="AU83" s="9">
        <v>0.0</v>
      </c>
      <c r="AV83" s="9">
        <v>0.0</v>
      </c>
      <c r="AW83" s="9" t="s">
        <v>97</v>
      </c>
      <c r="AX83" s="33">
        <f>3.18/3.92</f>
        <v>0.8112244898</v>
      </c>
      <c r="AY83" s="34">
        <v>0.0</v>
      </c>
      <c r="AZ83" s="30">
        <v>0.0</v>
      </c>
      <c r="BA83" s="30">
        <v>0.0</v>
      </c>
      <c r="BB83" s="33">
        <f>2.49/3.14</f>
        <v>0.7929936306</v>
      </c>
      <c r="BC83" s="30">
        <v>2.0</v>
      </c>
      <c r="BD83" s="30">
        <v>1.0</v>
      </c>
      <c r="BE83" s="30">
        <v>0.0</v>
      </c>
      <c r="BF83" s="9">
        <v>0.0</v>
      </c>
      <c r="BG83" s="9" t="s">
        <v>84</v>
      </c>
      <c r="BH83" s="9">
        <v>0.0</v>
      </c>
      <c r="BI83" s="9">
        <v>0.0</v>
      </c>
      <c r="BJ83" s="9">
        <v>0.0</v>
      </c>
      <c r="BK83" s="9">
        <v>0.0</v>
      </c>
      <c r="BL83" s="9">
        <v>0.0</v>
      </c>
      <c r="BM83" s="9">
        <v>0.0</v>
      </c>
      <c r="BN83" s="9">
        <v>0.0</v>
      </c>
      <c r="BO83" s="9">
        <v>0.0</v>
      </c>
      <c r="BP83" s="9" t="s">
        <v>84</v>
      </c>
      <c r="BQ83" s="9" t="s">
        <v>84</v>
      </c>
      <c r="BR83" s="9">
        <v>0.0</v>
      </c>
      <c r="BS83" s="9">
        <v>0.0</v>
      </c>
      <c r="BT83" s="9">
        <v>0.0</v>
      </c>
      <c r="BU83" s="9">
        <v>0.0</v>
      </c>
      <c r="BV83" s="9">
        <v>0.0</v>
      </c>
      <c r="BW83" s="30">
        <v>0.0</v>
      </c>
      <c r="BX83" s="9">
        <v>0.0</v>
      </c>
      <c r="BY83" s="9">
        <v>0.0</v>
      </c>
      <c r="BZ83" s="9">
        <v>1.0</v>
      </c>
      <c r="CA83" s="9">
        <v>0.0</v>
      </c>
      <c r="CB83" s="9">
        <v>0.0</v>
      </c>
      <c r="CC83" s="15" t="s">
        <v>92</v>
      </c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</row>
    <row r="84" ht="18.75" customHeight="1">
      <c r="A84" s="9">
        <v>83.0</v>
      </c>
      <c r="B84" s="30">
        <v>84.0</v>
      </c>
      <c r="C84" s="31" t="s">
        <v>81</v>
      </c>
      <c r="D84" s="18" t="s">
        <v>82</v>
      </c>
      <c r="E84" s="31" t="s">
        <v>93</v>
      </c>
      <c r="F84" s="55">
        <v>180.3</v>
      </c>
      <c r="G84" s="12">
        <v>90.7</v>
      </c>
      <c r="H84" s="12">
        <f t="shared" si="1"/>
        <v>27.90074717</v>
      </c>
      <c r="I84" s="9">
        <v>1.0</v>
      </c>
      <c r="J84" s="9">
        <v>5.0</v>
      </c>
      <c r="K84" s="9">
        <v>4.0</v>
      </c>
      <c r="L84" s="9">
        <v>0.0</v>
      </c>
      <c r="M84" s="9">
        <v>63.0</v>
      </c>
      <c r="N84" s="9">
        <v>0.0</v>
      </c>
      <c r="O84" s="9">
        <v>169.0</v>
      </c>
      <c r="P84" s="9">
        <v>0.0</v>
      </c>
      <c r="Q84" s="9">
        <v>20.0</v>
      </c>
      <c r="R84" s="9">
        <v>0.0</v>
      </c>
      <c r="S84" s="12">
        <v>98.4</v>
      </c>
      <c r="T84" s="9">
        <v>0.0</v>
      </c>
      <c r="U84" s="9">
        <v>97.0</v>
      </c>
      <c r="V84" s="9">
        <v>0.0</v>
      </c>
      <c r="W84" s="9">
        <v>0.0</v>
      </c>
      <c r="X84" s="9">
        <v>0.0</v>
      </c>
      <c r="Y84" s="9">
        <v>0.0</v>
      </c>
      <c r="Z84" s="9">
        <v>1.0</v>
      </c>
      <c r="AA84" s="9">
        <v>1.0</v>
      </c>
      <c r="AB84" s="9">
        <v>1.0</v>
      </c>
      <c r="AC84" s="9">
        <v>1.0</v>
      </c>
      <c r="AD84" s="9">
        <v>0.0</v>
      </c>
      <c r="AE84" s="9">
        <v>1.0</v>
      </c>
      <c r="AF84" s="9">
        <v>0.0</v>
      </c>
      <c r="AG84" s="9">
        <v>0.0</v>
      </c>
      <c r="AH84" s="9">
        <v>0.0</v>
      </c>
      <c r="AI84" s="9">
        <v>0.0</v>
      </c>
      <c r="AJ84" s="9">
        <v>0.0</v>
      </c>
      <c r="AK84" s="9">
        <v>0.0</v>
      </c>
      <c r="AL84" s="9">
        <v>0.0</v>
      </c>
      <c r="AM84" s="9">
        <v>0.0</v>
      </c>
      <c r="AN84" s="9">
        <v>0.0</v>
      </c>
      <c r="AO84" s="9">
        <v>1.0</v>
      </c>
      <c r="AP84" s="9">
        <v>1.0</v>
      </c>
      <c r="AQ84" s="9" t="s">
        <v>84</v>
      </c>
      <c r="AR84" s="9" t="s">
        <v>84</v>
      </c>
      <c r="AS84" s="9" t="s">
        <v>84</v>
      </c>
      <c r="AT84" s="9" t="s">
        <v>84</v>
      </c>
      <c r="AU84" s="9" t="s">
        <v>84</v>
      </c>
      <c r="AV84" s="9" t="s">
        <v>84</v>
      </c>
      <c r="AW84" s="9" t="s">
        <v>84</v>
      </c>
      <c r="AX84" s="33">
        <f>3.37/4.2</f>
        <v>0.8023809524</v>
      </c>
      <c r="AY84" s="34">
        <v>0.0</v>
      </c>
      <c r="AZ84" s="30">
        <v>0.0</v>
      </c>
      <c r="BA84" s="30">
        <v>0.0</v>
      </c>
      <c r="BB84" s="33">
        <f>2.84/3.64</f>
        <v>0.7802197802</v>
      </c>
      <c r="BC84" s="30">
        <v>1.0</v>
      </c>
      <c r="BD84" s="30">
        <v>0.0</v>
      </c>
      <c r="BE84" s="30">
        <v>1.0</v>
      </c>
      <c r="BF84" s="9">
        <v>0.0</v>
      </c>
      <c r="BG84" s="9" t="s">
        <v>84</v>
      </c>
      <c r="BH84" s="9">
        <v>0.0</v>
      </c>
      <c r="BI84" s="9">
        <v>0.0</v>
      </c>
      <c r="BJ84" s="9">
        <v>0.0</v>
      </c>
      <c r="BK84" s="9">
        <v>0.0</v>
      </c>
      <c r="BL84" s="9">
        <v>0.0</v>
      </c>
      <c r="BM84" s="9">
        <v>0.0</v>
      </c>
      <c r="BN84" s="9">
        <v>0.0</v>
      </c>
      <c r="BO84" s="9">
        <v>0.0</v>
      </c>
      <c r="BP84" s="9" t="s">
        <v>84</v>
      </c>
      <c r="BQ84" s="9" t="s">
        <v>84</v>
      </c>
      <c r="BR84" s="9">
        <v>0.0</v>
      </c>
      <c r="BS84" s="9">
        <v>0.0</v>
      </c>
      <c r="BT84" s="9">
        <v>0.0</v>
      </c>
      <c r="BU84" s="9">
        <v>0.0</v>
      </c>
      <c r="BV84" s="9">
        <v>0.0</v>
      </c>
      <c r="BW84" s="30">
        <v>0.0</v>
      </c>
      <c r="BX84" s="9">
        <v>0.0</v>
      </c>
      <c r="BY84" s="9">
        <v>0.0</v>
      </c>
      <c r="BZ84" s="9">
        <v>1.0</v>
      </c>
      <c r="CA84" s="9">
        <v>0.0</v>
      </c>
      <c r="CB84" s="9">
        <v>0.0</v>
      </c>
      <c r="CC84" s="15" t="s">
        <v>104</v>
      </c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57"/>
      <c r="CV84" s="57"/>
      <c r="CW84" s="57"/>
    </row>
    <row r="85" ht="18.75" customHeight="1">
      <c r="A85" s="9">
        <v>84.0</v>
      </c>
      <c r="B85" s="30">
        <v>68.0</v>
      </c>
      <c r="C85" s="31" t="s">
        <v>86</v>
      </c>
      <c r="D85" s="18" t="s">
        <v>82</v>
      </c>
      <c r="E85" s="31" t="s">
        <v>93</v>
      </c>
      <c r="F85" s="55">
        <v>162.6</v>
      </c>
      <c r="G85" s="12">
        <v>111.6</v>
      </c>
      <c r="H85" s="12">
        <f t="shared" si="1"/>
        <v>42.21075421</v>
      </c>
      <c r="I85" s="9">
        <v>1.0</v>
      </c>
      <c r="J85" s="9">
        <v>4.0</v>
      </c>
      <c r="K85" s="9">
        <v>1.0</v>
      </c>
      <c r="L85" s="9">
        <v>0.0</v>
      </c>
      <c r="M85" s="9">
        <v>96.0</v>
      </c>
      <c r="N85" s="9">
        <v>0.0</v>
      </c>
      <c r="O85" s="9">
        <v>151.0</v>
      </c>
      <c r="P85" s="9">
        <v>0.0</v>
      </c>
      <c r="Q85" s="9">
        <v>16.0</v>
      </c>
      <c r="R85" s="9">
        <v>0.0</v>
      </c>
      <c r="S85" s="12">
        <v>98.1</v>
      </c>
      <c r="T85" s="9" t="s">
        <v>84</v>
      </c>
      <c r="U85" s="9" t="s">
        <v>84</v>
      </c>
      <c r="V85" s="15" t="s">
        <v>158</v>
      </c>
      <c r="W85" s="9">
        <v>0.0</v>
      </c>
      <c r="X85" s="9">
        <v>0.0</v>
      </c>
      <c r="Y85" s="9">
        <v>0.0</v>
      </c>
      <c r="Z85" s="9">
        <v>0.0</v>
      </c>
      <c r="AA85" s="9">
        <v>1.0</v>
      </c>
      <c r="AB85" s="9">
        <v>0.0</v>
      </c>
      <c r="AC85" s="9">
        <v>1.0</v>
      </c>
      <c r="AD85" s="9">
        <v>0.0</v>
      </c>
      <c r="AE85" s="9">
        <v>0.0</v>
      </c>
      <c r="AF85" s="9">
        <v>0.0</v>
      </c>
      <c r="AG85" s="9">
        <v>0.0</v>
      </c>
      <c r="AH85" s="9">
        <v>0.0</v>
      </c>
      <c r="AI85" s="9">
        <v>0.0</v>
      </c>
      <c r="AJ85" s="9">
        <v>0.0</v>
      </c>
      <c r="AK85" s="9">
        <v>0.0</v>
      </c>
      <c r="AL85" s="9">
        <v>0.0</v>
      </c>
      <c r="AM85" s="9">
        <v>0.0</v>
      </c>
      <c r="AN85" s="9">
        <v>0.0</v>
      </c>
      <c r="AO85" s="9">
        <v>0.0</v>
      </c>
      <c r="AP85" s="9" t="s">
        <v>84</v>
      </c>
      <c r="AQ85" s="9" t="s">
        <v>84</v>
      </c>
      <c r="AR85" s="9">
        <v>0.0</v>
      </c>
      <c r="AS85" s="9" t="s">
        <v>84</v>
      </c>
      <c r="AT85" s="9" t="s">
        <v>84</v>
      </c>
      <c r="AU85" s="9" t="s">
        <v>84</v>
      </c>
      <c r="AV85" s="9" t="s">
        <v>84</v>
      </c>
      <c r="AW85" s="9" t="s">
        <v>84</v>
      </c>
      <c r="AX85" s="33">
        <f>4.09/4.78</f>
        <v>0.8556485356</v>
      </c>
      <c r="AY85" s="34">
        <v>0.0</v>
      </c>
      <c r="AZ85" s="30">
        <v>0.0</v>
      </c>
      <c r="BA85" s="30">
        <v>0.0</v>
      </c>
      <c r="BB85" s="33">
        <f>2.79/3.29</f>
        <v>0.8480243161</v>
      </c>
      <c r="BC85" s="30">
        <v>1.0</v>
      </c>
      <c r="BD85" s="30">
        <v>1.0</v>
      </c>
      <c r="BE85" s="30">
        <v>0.0</v>
      </c>
      <c r="BF85" s="9">
        <v>0.0</v>
      </c>
      <c r="BG85" s="9" t="s">
        <v>84</v>
      </c>
      <c r="BH85" s="9">
        <v>0.0</v>
      </c>
      <c r="BI85" s="9">
        <v>0.0</v>
      </c>
      <c r="BJ85" s="9">
        <v>0.0</v>
      </c>
      <c r="BK85" s="9">
        <v>0.0</v>
      </c>
      <c r="BL85" s="9">
        <v>0.0</v>
      </c>
      <c r="BM85" s="9">
        <v>0.0</v>
      </c>
      <c r="BN85" s="9">
        <v>0.0</v>
      </c>
      <c r="BO85" s="9">
        <v>0.0</v>
      </c>
      <c r="BP85" s="9" t="s">
        <v>84</v>
      </c>
      <c r="BQ85" s="9" t="s">
        <v>84</v>
      </c>
      <c r="BR85" s="9">
        <v>0.0</v>
      </c>
      <c r="BS85" s="9">
        <v>0.0</v>
      </c>
      <c r="BT85" s="9">
        <v>0.0</v>
      </c>
      <c r="BU85" s="9">
        <v>0.0</v>
      </c>
      <c r="BV85" s="9">
        <v>0.0</v>
      </c>
      <c r="BW85" s="30">
        <v>0.0</v>
      </c>
      <c r="BX85" s="9">
        <v>0.0</v>
      </c>
      <c r="BY85" s="9">
        <v>1.0</v>
      </c>
      <c r="BZ85" s="9">
        <v>0.0</v>
      </c>
      <c r="CA85" s="9">
        <v>0.0</v>
      </c>
      <c r="CB85" s="9">
        <v>0.0</v>
      </c>
      <c r="CC85" s="15" t="s">
        <v>101</v>
      </c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57"/>
      <c r="CV85" s="57"/>
      <c r="CW85" s="57"/>
    </row>
    <row r="86" ht="18.75" customHeight="1">
      <c r="A86" s="9">
        <v>85.0</v>
      </c>
      <c r="B86" s="30">
        <v>71.0</v>
      </c>
      <c r="C86" s="31" t="s">
        <v>81</v>
      </c>
      <c r="D86" s="18" t="s">
        <v>82</v>
      </c>
      <c r="E86" s="31" t="s">
        <v>121</v>
      </c>
      <c r="F86" s="55">
        <v>177.8</v>
      </c>
      <c r="G86" s="12">
        <v>86.2</v>
      </c>
      <c r="H86" s="12">
        <f t="shared" si="1"/>
        <v>27.26740147</v>
      </c>
      <c r="I86" s="9">
        <v>1.0</v>
      </c>
      <c r="J86" s="9">
        <v>5.0</v>
      </c>
      <c r="K86" s="9">
        <v>2.0</v>
      </c>
      <c r="L86" s="9">
        <v>1.0</v>
      </c>
      <c r="M86" s="9">
        <v>131.0</v>
      </c>
      <c r="N86" s="9">
        <v>0.0</v>
      </c>
      <c r="O86" s="9">
        <v>130.0</v>
      </c>
      <c r="P86" s="9">
        <v>0.0</v>
      </c>
      <c r="Q86" s="9">
        <v>24.0</v>
      </c>
      <c r="R86" s="9">
        <v>0.0</v>
      </c>
      <c r="S86" s="12">
        <v>97.5</v>
      </c>
      <c r="T86" s="9">
        <v>0.0</v>
      </c>
      <c r="U86" s="9">
        <v>95.0</v>
      </c>
      <c r="V86" s="9">
        <v>0.0</v>
      </c>
      <c r="W86" s="9">
        <v>0.0</v>
      </c>
      <c r="X86" s="9">
        <v>0.0</v>
      </c>
      <c r="Y86" s="9">
        <v>0.0</v>
      </c>
      <c r="Z86" s="9">
        <v>0.0</v>
      </c>
      <c r="AA86" s="9">
        <v>1.0</v>
      </c>
      <c r="AB86" s="9">
        <v>0.0</v>
      </c>
      <c r="AC86" s="9">
        <v>1.0</v>
      </c>
      <c r="AD86" s="9">
        <v>0.0</v>
      </c>
      <c r="AE86" s="9">
        <v>1.0</v>
      </c>
      <c r="AF86" s="9">
        <v>0.0</v>
      </c>
      <c r="AG86" s="9">
        <v>0.0</v>
      </c>
      <c r="AH86" s="9">
        <v>0.0</v>
      </c>
      <c r="AI86" s="9">
        <v>0.0</v>
      </c>
      <c r="AJ86" s="9">
        <v>0.0</v>
      </c>
      <c r="AK86" s="9">
        <v>0.0</v>
      </c>
      <c r="AL86" s="9">
        <v>0.0</v>
      </c>
      <c r="AM86" s="9">
        <v>0.0</v>
      </c>
      <c r="AN86" s="9">
        <v>0.0</v>
      </c>
      <c r="AO86" s="9">
        <v>1.0</v>
      </c>
      <c r="AP86" s="9">
        <v>1.0</v>
      </c>
      <c r="AQ86" s="9" t="s">
        <v>84</v>
      </c>
      <c r="AR86" s="9">
        <v>1.0</v>
      </c>
      <c r="AS86" s="9" t="s">
        <v>84</v>
      </c>
      <c r="AT86" s="9" t="s">
        <v>84</v>
      </c>
      <c r="AU86" s="9" t="s">
        <v>84</v>
      </c>
      <c r="AV86" s="9" t="s">
        <v>84</v>
      </c>
      <c r="AW86" s="9" t="s">
        <v>84</v>
      </c>
      <c r="AX86" s="33">
        <f>4.43/4.79</f>
        <v>0.9248434238</v>
      </c>
      <c r="AY86" s="34">
        <v>0.0</v>
      </c>
      <c r="AZ86" s="30">
        <v>1.0</v>
      </c>
      <c r="BA86" s="30">
        <v>0.0</v>
      </c>
      <c r="BB86" s="33">
        <f>3.15/3.21</f>
        <v>0.9813084112</v>
      </c>
      <c r="BC86" s="30">
        <v>3.0</v>
      </c>
      <c r="BD86" s="30">
        <v>0.0</v>
      </c>
      <c r="BE86" s="30">
        <v>0.0</v>
      </c>
      <c r="BF86" s="9">
        <v>0.0</v>
      </c>
      <c r="BG86" s="9" t="s">
        <v>84</v>
      </c>
      <c r="BH86" s="9">
        <v>0.0</v>
      </c>
      <c r="BI86" s="9">
        <v>0.0</v>
      </c>
      <c r="BJ86" s="9">
        <v>0.0</v>
      </c>
      <c r="BK86" s="9">
        <v>0.0</v>
      </c>
      <c r="BL86" s="9">
        <v>0.0</v>
      </c>
      <c r="BM86" s="9">
        <v>0.0</v>
      </c>
      <c r="BN86" s="9">
        <v>0.0</v>
      </c>
      <c r="BO86" s="9">
        <v>0.0</v>
      </c>
      <c r="BP86" s="9" t="s">
        <v>84</v>
      </c>
      <c r="BQ86" s="9" t="s">
        <v>84</v>
      </c>
      <c r="BR86" s="9">
        <v>0.0</v>
      </c>
      <c r="BS86" s="9">
        <v>0.0</v>
      </c>
      <c r="BT86" s="9">
        <v>0.0</v>
      </c>
      <c r="BU86" s="9">
        <v>0.0</v>
      </c>
      <c r="BV86" s="9">
        <v>0.0</v>
      </c>
      <c r="BW86" s="30">
        <v>0.0</v>
      </c>
      <c r="BX86" s="9">
        <v>0.0</v>
      </c>
      <c r="BY86" s="9">
        <v>0.0</v>
      </c>
      <c r="BZ86" s="9">
        <v>1.0</v>
      </c>
      <c r="CA86" s="9">
        <v>0.0</v>
      </c>
      <c r="CB86" s="9">
        <v>0.0</v>
      </c>
      <c r="CC86" s="15" t="s">
        <v>101</v>
      </c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57"/>
      <c r="CV86" s="57"/>
      <c r="CW86" s="57"/>
    </row>
    <row r="87" ht="18.75" customHeight="1">
      <c r="A87" s="9">
        <v>86.0</v>
      </c>
      <c r="B87" s="30">
        <v>62.0</v>
      </c>
      <c r="C87" s="31" t="s">
        <v>86</v>
      </c>
      <c r="D87" s="18" t="s">
        <v>82</v>
      </c>
      <c r="E87" s="31" t="s">
        <v>132</v>
      </c>
      <c r="F87" s="55">
        <v>165.1</v>
      </c>
      <c r="G87" s="12">
        <v>61.2</v>
      </c>
      <c r="H87" s="12">
        <f t="shared" si="1"/>
        <v>22.45211591</v>
      </c>
      <c r="I87" s="9">
        <v>0.0</v>
      </c>
      <c r="J87" s="9">
        <v>1.0</v>
      </c>
      <c r="K87" s="9">
        <v>4.0</v>
      </c>
      <c r="L87" s="9">
        <v>0.0</v>
      </c>
      <c r="M87" s="9">
        <v>104.0</v>
      </c>
      <c r="N87" s="9">
        <v>0.0</v>
      </c>
      <c r="O87" s="9">
        <v>141.0</v>
      </c>
      <c r="P87" s="9">
        <v>0.0</v>
      </c>
      <c r="Q87" s="9">
        <v>18.0</v>
      </c>
      <c r="R87" s="9" t="s">
        <v>84</v>
      </c>
      <c r="S87" s="12" t="s">
        <v>84</v>
      </c>
      <c r="T87" s="9">
        <v>0.0</v>
      </c>
      <c r="U87" s="9">
        <v>99.0</v>
      </c>
      <c r="V87" s="9">
        <v>0.0</v>
      </c>
      <c r="W87" s="9">
        <v>0.0</v>
      </c>
      <c r="X87" s="9">
        <v>0.0</v>
      </c>
      <c r="Y87" s="9">
        <v>0.0</v>
      </c>
      <c r="Z87" s="9">
        <v>0.0</v>
      </c>
      <c r="AA87" s="9">
        <v>0.0</v>
      </c>
      <c r="AB87" s="9">
        <v>0.0</v>
      </c>
      <c r="AC87" s="9">
        <v>0.0</v>
      </c>
      <c r="AD87" s="9">
        <v>0.0</v>
      </c>
      <c r="AE87" s="9">
        <v>1.0</v>
      </c>
      <c r="AF87" s="9">
        <v>0.0</v>
      </c>
      <c r="AG87" s="9">
        <v>0.0</v>
      </c>
      <c r="AH87" s="9">
        <v>0.0</v>
      </c>
      <c r="AI87" s="9">
        <v>0.0</v>
      </c>
      <c r="AJ87" s="9">
        <v>0.0</v>
      </c>
      <c r="AK87" s="9">
        <v>0.0</v>
      </c>
      <c r="AL87" s="9">
        <v>0.0</v>
      </c>
      <c r="AM87" s="9">
        <v>0.0</v>
      </c>
      <c r="AN87" s="9">
        <v>0.0</v>
      </c>
      <c r="AO87" s="9">
        <v>1.0</v>
      </c>
      <c r="AP87" s="9">
        <v>1.0</v>
      </c>
      <c r="AQ87" s="9" t="s">
        <v>84</v>
      </c>
      <c r="AR87" s="9" t="s">
        <v>84</v>
      </c>
      <c r="AS87" s="9" t="s">
        <v>84</v>
      </c>
      <c r="AT87" s="9" t="s">
        <v>84</v>
      </c>
      <c r="AU87" s="9" t="s">
        <v>84</v>
      </c>
      <c r="AV87" s="9" t="s">
        <v>84</v>
      </c>
      <c r="AW87" s="9" t="s">
        <v>84</v>
      </c>
      <c r="AX87" s="33">
        <f>5.36/4.17</f>
        <v>1.285371703</v>
      </c>
      <c r="AY87" s="34">
        <v>0.0</v>
      </c>
      <c r="AZ87" s="30">
        <v>0.0</v>
      </c>
      <c r="BA87" s="30">
        <v>1.0</v>
      </c>
      <c r="BB87" s="33">
        <f>3.24/2.84</f>
        <v>1.14084507</v>
      </c>
      <c r="BC87" s="30">
        <v>3.0</v>
      </c>
      <c r="BD87" s="30">
        <v>1.0</v>
      </c>
      <c r="BE87" s="30">
        <v>1.0</v>
      </c>
      <c r="BF87" s="9">
        <v>0.0</v>
      </c>
      <c r="BG87" s="9" t="s">
        <v>84</v>
      </c>
      <c r="BH87" s="9">
        <v>0.0</v>
      </c>
      <c r="BI87" s="9">
        <v>0.0</v>
      </c>
      <c r="BJ87" s="9">
        <v>0.0</v>
      </c>
      <c r="BK87" s="9">
        <v>0.0</v>
      </c>
      <c r="BL87" s="9">
        <v>0.0</v>
      </c>
      <c r="BM87" s="9">
        <v>0.0</v>
      </c>
      <c r="BN87" s="9">
        <v>0.0</v>
      </c>
      <c r="BO87" s="9">
        <v>0.0</v>
      </c>
      <c r="BP87" s="9" t="s">
        <v>84</v>
      </c>
      <c r="BQ87" s="9" t="s">
        <v>84</v>
      </c>
      <c r="BR87" s="9">
        <v>0.0</v>
      </c>
      <c r="BS87" s="9">
        <v>0.0</v>
      </c>
      <c r="BT87" s="9">
        <v>0.0</v>
      </c>
      <c r="BU87" s="9">
        <v>0.0</v>
      </c>
      <c r="BV87" s="9">
        <v>0.0</v>
      </c>
      <c r="BW87" s="30">
        <v>0.0</v>
      </c>
      <c r="BX87" s="9">
        <v>0.0</v>
      </c>
      <c r="BY87" s="9">
        <v>0.0</v>
      </c>
      <c r="BZ87" s="9">
        <v>0.0</v>
      </c>
      <c r="CA87" s="9">
        <v>0.0</v>
      </c>
      <c r="CB87" s="9">
        <v>0.0</v>
      </c>
      <c r="CC87" s="15" t="s">
        <v>101</v>
      </c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57"/>
      <c r="CV87" s="57"/>
      <c r="CW87" s="57"/>
    </row>
    <row r="88" ht="18.75" customHeight="1">
      <c r="A88" s="9">
        <v>87.0</v>
      </c>
      <c r="B88" s="30">
        <v>43.0</v>
      </c>
      <c r="C88" s="31" t="s">
        <v>86</v>
      </c>
      <c r="D88" s="18" t="s">
        <v>88</v>
      </c>
      <c r="E88" s="31" t="s">
        <v>103</v>
      </c>
      <c r="F88" s="55">
        <v>162.6</v>
      </c>
      <c r="G88" s="12">
        <v>76.0</v>
      </c>
      <c r="H88" s="12">
        <f t="shared" si="1"/>
        <v>28.74567491</v>
      </c>
      <c r="I88" s="9">
        <v>0.0</v>
      </c>
      <c r="J88" s="9">
        <v>1.0</v>
      </c>
      <c r="K88" s="9">
        <v>1.0</v>
      </c>
      <c r="L88" s="9">
        <v>0.0</v>
      </c>
      <c r="M88" s="9">
        <v>82.0</v>
      </c>
      <c r="N88" s="9">
        <v>0.0</v>
      </c>
      <c r="O88" s="9">
        <v>112.0</v>
      </c>
      <c r="P88" s="9">
        <v>0.0</v>
      </c>
      <c r="Q88" s="9">
        <v>14.0</v>
      </c>
      <c r="R88" s="9">
        <v>0.0</v>
      </c>
      <c r="S88" s="12">
        <v>98.0</v>
      </c>
      <c r="T88" s="9">
        <v>0.0</v>
      </c>
      <c r="U88" s="9">
        <v>96.0</v>
      </c>
      <c r="V88" s="9">
        <v>0.0</v>
      </c>
      <c r="W88" s="9">
        <v>0.0</v>
      </c>
      <c r="X88" s="9">
        <v>0.0</v>
      </c>
      <c r="Y88" s="9">
        <v>0.0</v>
      </c>
      <c r="Z88" s="9">
        <v>0.0</v>
      </c>
      <c r="AA88" s="9">
        <v>0.0</v>
      </c>
      <c r="AB88" s="9">
        <v>0.0</v>
      </c>
      <c r="AC88" s="9">
        <v>0.0</v>
      </c>
      <c r="AD88" s="9">
        <v>0.0</v>
      </c>
      <c r="AE88" s="9">
        <v>0.0</v>
      </c>
      <c r="AF88" s="9">
        <v>1.0</v>
      </c>
      <c r="AG88" s="9">
        <v>0.0</v>
      </c>
      <c r="AH88" s="9">
        <v>0.0</v>
      </c>
      <c r="AI88" s="9">
        <v>1.0</v>
      </c>
      <c r="AJ88" s="9">
        <v>1.0</v>
      </c>
      <c r="AK88" s="9">
        <v>0.0</v>
      </c>
      <c r="AL88" s="9">
        <v>0.0</v>
      </c>
      <c r="AM88" s="9">
        <v>0.0</v>
      </c>
      <c r="AN88" s="9">
        <v>0.0</v>
      </c>
      <c r="AO88" s="9">
        <v>0.0</v>
      </c>
      <c r="AP88" s="9" t="s">
        <v>84</v>
      </c>
      <c r="AQ88" s="9" t="s">
        <v>84</v>
      </c>
      <c r="AR88" s="9">
        <v>0.0</v>
      </c>
      <c r="AS88" s="9" t="s">
        <v>84</v>
      </c>
      <c r="AT88" s="9" t="s">
        <v>84</v>
      </c>
      <c r="AU88" s="9" t="s">
        <v>84</v>
      </c>
      <c r="AV88" s="9" t="s">
        <v>84</v>
      </c>
      <c r="AW88" s="9" t="s">
        <v>84</v>
      </c>
      <c r="AX88" s="33">
        <f>4.24/4.44</f>
        <v>0.954954955</v>
      </c>
      <c r="AY88" s="34">
        <v>0.0</v>
      </c>
      <c r="AZ88" s="30">
        <v>0.0</v>
      </c>
      <c r="BA88" s="30">
        <v>1.0</v>
      </c>
      <c r="BB88" s="33">
        <f>2.34/2.38</f>
        <v>0.9831932773</v>
      </c>
      <c r="BC88" s="30">
        <v>1.0</v>
      </c>
      <c r="BD88" s="30">
        <v>0.0</v>
      </c>
      <c r="BE88" s="30">
        <v>0.0</v>
      </c>
      <c r="BF88" s="9">
        <v>0.0</v>
      </c>
      <c r="BG88" s="9" t="s">
        <v>84</v>
      </c>
      <c r="BH88" s="9">
        <v>0.0</v>
      </c>
      <c r="BI88" s="9">
        <v>0.0</v>
      </c>
      <c r="BJ88" s="9">
        <v>0.0</v>
      </c>
      <c r="BK88" s="9">
        <v>0.0</v>
      </c>
      <c r="BL88" s="9">
        <v>0.0</v>
      </c>
      <c r="BM88" s="9">
        <v>0.0</v>
      </c>
      <c r="BN88" s="9">
        <v>0.0</v>
      </c>
      <c r="BO88" s="9">
        <v>0.0</v>
      </c>
      <c r="BP88" s="9" t="s">
        <v>84</v>
      </c>
      <c r="BQ88" s="9" t="s">
        <v>84</v>
      </c>
      <c r="BR88" s="9">
        <v>0.0</v>
      </c>
      <c r="BS88" s="9">
        <v>0.0</v>
      </c>
      <c r="BT88" s="9">
        <v>0.0</v>
      </c>
      <c r="BU88" s="9">
        <v>0.0</v>
      </c>
      <c r="BV88" s="9">
        <v>0.0</v>
      </c>
      <c r="BW88" s="30">
        <v>0.0</v>
      </c>
      <c r="BX88" s="9">
        <v>0.0</v>
      </c>
      <c r="BY88" s="9">
        <v>0.0</v>
      </c>
      <c r="BZ88" s="9">
        <v>0.0</v>
      </c>
      <c r="CA88" s="9">
        <v>0.0</v>
      </c>
      <c r="CB88" s="9">
        <v>0.0</v>
      </c>
      <c r="CC88" s="15" t="s">
        <v>87</v>
      </c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57"/>
      <c r="CV88" s="57"/>
      <c r="CW88" s="57"/>
    </row>
    <row r="89" ht="18.75" customHeight="1">
      <c r="A89" s="9">
        <v>88.0</v>
      </c>
      <c r="B89" s="30">
        <v>25.0</v>
      </c>
      <c r="C89" s="31" t="s">
        <v>86</v>
      </c>
      <c r="D89" s="18" t="s">
        <v>82</v>
      </c>
      <c r="E89" s="31" t="s">
        <v>93</v>
      </c>
      <c r="F89" s="55">
        <v>170.2</v>
      </c>
      <c r="G89" s="12">
        <v>69.5</v>
      </c>
      <c r="H89" s="12">
        <f t="shared" si="1"/>
        <v>23.99195803</v>
      </c>
      <c r="I89" s="9">
        <v>1.0</v>
      </c>
      <c r="J89" s="9">
        <v>1.0</v>
      </c>
      <c r="K89" s="9">
        <v>4.0</v>
      </c>
      <c r="L89" s="9">
        <v>0.0</v>
      </c>
      <c r="M89" s="9">
        <v>67.0</v>
      </c>
      <c r="N89" s="9">
        <v>0.0</v>
      </c>
      <c r="O89" s="9">
        <v>108.0</v>
      </c>
      <c r="P89" s="9">
        <v>0.0</v>
      </c>
      <c r="Q89" s="9">
        <v>19.0</v>
      </c>
      <c r="R89" s="9">
        <v>0.0</v>
      </c>
      <c r="S89" s="12">
        <v>98.1</v>
      </c>
      <c r="T89" s="9">
        <v>0.0</v>
      </c>
      <c r="U89" s="9">
        <v>100.0</v>
      </c>
      <c r="V89" s="9">
        <v>0.0</v>
      </c>
      <c r="W89" s="9">
        <v>0.0</v>
      </c>
      <c r="X89" s="9">
        <v>0.0</v>
      </c>
      <c r="Y89" s="9">
        <v>1.0</v>
      </c>
      <c r="Z89" s="9">
        <v>0.0</v>
      </c>
      <c r="AA89" s="9">
        <v>0.0</v>
      </c>
      <c r="AB89" s="9">
        <v>0.0</v>
      </c>
      <c r="AC89" s="9">
        <v>1.0</v>
      </c>
      <c r="AD89" s="9">
        <v>0.0</v>
      </c>
      <c r="AE89" s="9">
        <v>0.0</v>
      </c>
      <c r="AF89" s="9">
        <v>0.0</v>
      </c>
      <c r="AG89" s="9">
        <v>0.0</v>
      </c>
      <c r="AH89" s="9">
        <v>0.0</v>
      </c>
      <c r="AI89" s="9">
        <v>0.0</v>
      </c>
      <c r="AJ89" s="9">
        <v>0.0</v>
      </c>
      <c r="AK89" s="9">
        <v>0.0</v>
      </c>
      <c r="AL89" s="9">
        <v>1.0</v>
      </c>
      <c r="AM89" s="9">
        <v>0.0</v>
      </c>
      <c r="AN89" s="9">
        <v>0.0</v>
      </c>
      <c r="AO89" s="9">
        <v>1.0</v>
      </c>
      <c r="AP89" s="9">
        <v>1.0</v>
      </c>
      <c r="AQ89" s="9" t="s">
        <v>84</v>
      </c>
      <c r="AR89" s="9" t="s">
        <v>84</v>
      </c>
      <c r="AS89" s="9" t="s">
        <v>84</v>
      </c>
      <c r="AT89" s="9" t="s">
        <v>84</v>
      </c>
      <c r="AU89" s="9" t="s">
        <v>84</v>
      </c>
      <c r="AV89" s="9" t="s">
        <v>84</v>
      </c>
      <c r="AW89" s="9" t="s">
        <v>84</v>
      </c>
      <c r="AX89" s="33">
        <f>3.47/4.12</f>
        <v>0.8422330097</v>
      </c>
      <c r="AY89" s="34">
        <v>0.0</v>
      </c>
      <c r="AZ89" s="30">
        <v>0.0</v>
      </c>
      <c r="BA89" s="30">
        <v>0.0</v>
      </c>
      <c r="BB89" s="33">
        <f>2.12/2.19</f>
        <v>0.9680365297</v>
      </c>
      <c r="BC89" s="30">
        <v>2.0</v>
      </c>
      <c r="BD89" s="30">
        <v>0.0</v>
      </c>
      <c r="BE89" s="30">
        <v>0.0</v>
      </c>
      <c r="BF89" s="9">
        <v>0.0</v>
      </c>
      <c r="BG89" s="9" t="s">
        <v>84</v>
      </c>
      <c r="BH89" s="9">
        <v>0.0</v>
      </c>
      <c r="BI89" s="9">
        <v>0.0</v>
      </c>
      <c r="BJ89" s="9">
        <v>0.0</v>
      </c>
      <c r="BK89" s="9">
        <v>0.0</v>
      </c>
      <c r="BL89" s="9">
        <v>0.0</v>
      </c>
      <c r="BM89" s="9">
        <v>0.0</v>
      </c>
      <c r="BN89" s="9">
        <v>0.0</v>
      </c>
      <c r="BO89" s="9">
        <v>0.0</v>
      </c>
      <c r="BP89" s="9" t="s">
        <v>84</v>
      </c>
      <c r="BQ89" s="9" t="s">
        <v>84</v>
      </c>
      <c r="BR89" s="9">
        <v>0.0</v>
      </c>
      <c r="BS89" s="9">
        <v>0.0</v>
      </c>
      <c r="BT89" s="9">
        <v>0.0</v>
      </c>
      <c r="BU89" s="9">
        <v>0.0</v>
      </c>
      <c r="BV89" s="9">
        <v>0.0</v>
      </c>
      <c r="BW89" s="30">
        <v>0.0</v>
      </c>
      <c r="BX89" s="9">
        <v>0.0</v>
      </c>
      <c r="BY89" s="9">
        <v>0.0</v>
      </c>
      <c r="BZ89" s="9">
        <v>0.0</v>
      </c>
      <c r="CA89" s="9">
        <v>0.0</v>
      </c>
      <c r="CB89" s="9">
        <v>0.0</v>
      </c>
      <c r="CC89" s="15" t="s">
        <v>101</v>
      </c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57"/>
      <c r="CV89" s="57"/>
      <c r="CW89" s="57"/>
    </row>
    <row r="90" ht="18.75" customHeight="1">
      <c r="A90" s="9">
        <v>89.0</v>
      </c>
      <c r="B90" s="18">
        <v>42.0</v>
      </c>
      <c r="C90" s="30" t="s">
        <v>86</v>
      </c>
      <c r="D90" s="18" t="s">
        <v>88</v>
      </c>
      <c r="E90" s="18">
        <v>0.0</v>
      </c>
      <c r="F90" s="55">
        <v>160.0</v>
      </c>
      <c r="G90" s="12">
        <v>67.0</v>
      </c>
      <c r="H90" s="12">
        <f t="shared" si="1"/>
        <v>26.171875</v>
      </c>
      <c r="I90" s="9">
        <v>0.0</v>
      </c>
      <c r="J90" s="9">
        <v>1.0</v>
      </c>
      <c r="K90" s="9">
        <v>1.0</v>
      </c>
      <c r="L90" s="9">
        <v>0.0</v>
      </c>
      <c r="M90" s="9">
        <v>103.0</v>
      </c>
      <c r="N90" s="9">
        <v>0.0</v>
      </c>
      <c r="O90" s="9">
        <v>126.0</v>
      </c>
      <c r="P90" s="9">
        <v>0.0</v>
      </c>
      <c r="Q90" s="9">
        <v>17.0</v>
      </c>
      <c r="R90" s="9">
        <v>0.0</v>
      </c>
      <c r="S90" s="12">
        <v>98.8</v>
      </c>
      <c r="T90" s="9">
        <v>0.0</v>
      </c>
      <c r="U90" s="9">
        <v>98.0</v>
      </c>
      <c r="V90" s="9">
        <v>0.0</v>
      </c>
      <c r="W90" s="9">
        <v>0.0</v>
      </c>
      <c r="X90" s="9">
        <v>0.0</v>
      </c>
      <c r="Y90" s="9">
        <v>0.0</v>
      </c>
      <c r="Z90" s="9">
        <v>0.0</v>
      </c>
      <c r="AA90" s="9">
        <v>0.0</v>
      </c>
      <c r="AB90" s="9">
        <v>0.0</v>
      </c>
      <c r="AC90" s="9">
        <v>0.0</v>
      </c>
      <c r="AD90" s="9">
        <v>0.0</v>
      </c>
      <c r="AE90" s="9">
        <v>0.0</v>
      </c>
      <c r="AF90" s="9">
        <v>1.0</v>
      </c>
      <c r="AG90" s="9">
        <v>0.0</v>
      </c>
      <c r="AH90" s="9">
        <v>0.0</v>
      </c>
      <c r="AI90" s="9">
        <v>0.0</v>
      </c>
      <c r="AJ90" s="9">
        <v>0.0</v>
      </c>
      <c r="AK90" s="9">
        <v>1.0</v>
      </c>
      <c r="AL90" s="9">
        <v>0.0</v>
      </c>
      <c r="AM90" s="9">
        <v>0.0</v>
      </c>
      <c r="AN90" s="9">
        <v>0.0</v>
      </c>
      <c r="AO90" s="9">
        <v>0.0</v>
      </c>
      <c r="AP90" s="9" t="s">
        <v>84</v>
      </c>
      <c r="AQ90" s="9">
        <v>0.0</v>
      </c>
      <c r="AR90" s="9">
        <v>0.0</v>
      </c>
      <c r="AS90" s="9" t="s">
        <v>84</v>
      </c>
      <c r="AT90" s="9" t="s">
        <v>84</v>
      </c>
      <c r="AU90" s="9" t="s">
        <v>84</v>
      </c>
      <c r="AV90" s="9" t="s">
        <v>84</v>
      </c>
      <c r="AW90" s="9" t="s">
        <v>84</v>
      </c>
      <c r="AX90" s="58">
        <f>3.89/4.37</f>
        <v>0.8901601831</v>
      </c>
      <c r="AY90" s="59">
        <v>1.0</v>
      </c>
      <c r="AZ90" s="30">
        <v>0.0</v>
      </c>
      <c r="BA90" s="30">
        <v>0.0</v>
      </c>
      <c r="BB90" s="58">
        <f>2.58/2.7</f>
        <v>0.9555555556</v>
      </c>
      <c r="BC90" s="59">
        <v>1.0</v>
      </c>
      <c r="BD90" s="59">
        <v>0.0</v>
      </c>
      <c r="BE90" s="59">
        <v>0.0</v>
      </c>
      <c r="BF90" s="9">
        <v>0.0</v>
      </c>
      <c r="BG90" s="9" t="s">
        <v>84</v>
      </c>
      <c r="BH90" s="9">
        <v>0.0</v>
      </c>
      <c r="BI90" s="9">
        <v>0.0</v>
      </c>
      <c r="BJ90" s="9">
        <v>0.0</v>
      </c>
      <c r="BK90" s="9">
        <v>0.0</v>
      </c>
      <c r="BL90" s="9">
        <v>0.0</v>
      </c>
      <c r="BM90" s="9">
        <v>0.0</v>
      </c>
      <c r="BN90" s="9">
        <v>0.0</v>
      </c>
      <c r="BO90" s="9">
        <v>0.0</v>
      </c>
      <c r="BP90" s="9" t="s">
        <v>84</v>
      </c>
      <c r="BQ90" s="9" t="s">
        <v>84</v>
      </c>
      <c r="BR90" s="9">
        <v>0.0</v>
      </c>
      <c r="BS90" s="9">
        <v>0.0</v>
      </c>
      <c r="BT90" s="9">
        <v>0.0</v>
      </c>
      <c r="BU90" s="9">
        <v>0.0</v>
      </c>
      <c r="BV90" s="9">
        <v>0.0</v>
      </c>
      <c r="BW90" s="18">
        <v>0.0</v>
      </c>
      <c r="BX90" s="9">
        <v>0.0</v>
      </c>
      <c r="BY90" s="9">
        <v>0.0</v>
      </c>
      <c r="BZ90" s="9">
        <v>1.0</v>
      </c>
      <c r="CA90" s="9">
        <v>0.0</v>
      </c>
      <c r="CB90" s="9">
        <v>0.0</v>
      </c>
      <c r="CC90" s="15" t="s">
        <v>92</v>
      </c>
    </row>
    <row r="91" ht="18.75" customHeight="1">
      <c r="A91" s="9">
        <v>90.0</v>
      </c>
      <c r="B91" s="30">
        <v>41.0</v>
      </c>
      <c r="C91" s="31" t="s">
        <v>86</v>
      </c>
      <c r="D91" s="18" t="s">
        <v>88</v>
      </c>
      <c r="E91" s="31" t="s">
        <v>109</v>
      </c>
      <c r="F91" s="55">
        <v>165.1</v>
      </c>
      <c r="G91" s="12">
        <v>145.0</v>
      </c>
      <c r="H91" s="12">
        <f t="shared" si="1"/>
        <v>53.19537266</v>
      </c>
      <c r="I91" s="9">
        <v>1.0</v>
      </c>
      <c r="J91" s="9">
        <v>1.0</v>
      </c>
      <c r="K91" s="9">
        <v>2.0</v>
      </c>
      <c r="L91" s="9">
        <v>1.0</v>
      </c>
      <c r="M91" s="9">
        <v>113.0</v>
      </c>
      <c r="N91" s="9">
        <v>0.0</v>
      </c>
      <c r="O91" s="9">
        <v>155.0</v>
      </c>
      <c r="P91" s="9">
        <v>0.0</v>
      </c>
      <c r="Q91" s="9">
        <v>20.0</v>
      </c>
      <c r="R91" s="9">
        <v>0.0</v>
      </c>
      <c r="S91" s="12">
        <v>98.0</v>
      </c>
      <c r="T91" s="9">
        <v>0.0</v>
      </c>
      <c r="U91" s="9">
        <v>94.0</v>
      </c>
      <c r="V91" s="9">
        <v>0.0</v>
      </c>
      <c r="W91" s="9">
        <v>0.0</v>
      </c>
      <c r="X91" s="9">
        <v>0.0</v>
      </c>
      <c r="Y91" s="9">
        <v>1.0</v>
      </c>
      <c r="Z91" s="9">
        <v>0.0</v>
      </c>
      <c r="AA91" s="9">
        <v>0.0</v>
      </c>
      <c r="AB91" s="9">
        <v>0.0</v>
      </c>
      <c r="AC91" s="9">
        <v>0.0</v>
      </c>
      <c r="AD91" s="9">
        <v>0.0</v>
      </c>
      <c r="AE91" s="9">
        <v>0.0</v>
      </c>
      <c r="AF91" s="9">
        <v>0.0</v>
      </c>
      <c r="AG91" s="9">
        <v>0.0</v>
      </c>
      <c r="AH91" s="9">
        <v>0.0</v>
      </c>
      <c r="AI91" s="9">
        <v>0.0</v>
      </c>
      <c r="AJ91" s="9">
        <v>0.0</v>
      </c>
      <c r="AK91" s="9">
        <v>0.0</v>
      </c>
      <c r="AL91" s="9">
        <v>0.0</v>
      </c>
      <c r="AM91" s="9">
        <v>0.0</v>
      </c>
      <c r="AN91" s="9">
        <v>0.0</v>
      </c>
      <c r="AO91" s="9">
        <v>0.0</v>
      </c>
      <c r="AP91" s="9" t="s">
        <v>84</v>
      </c>
      <c r="AQ91" s="9" t="s">
        <v>84</v>
      </c>
      <c r="AR91" s="9">
        <v>1.0</v>
      </c>
      <c r="AS91" s="9" t="s">
        <v>84</v>
      </c>
      <c r="AT91" s="9" t="s">
        <v>84</v>
      </c>
      <c r="AU91" s="9" t="s">
        <v>84</v>
      </c>
      <c r="AV91" s="9" t="s">
        <v>84</v>
      </c>
      <c r="AW91" s="9" t="s">
        <v>84</v>
      </c>
      <c r="AX91" s="33">
        <f>5.1/4.96</f>
        <v>1.028225806</v>
      </c>
      <c r="AY91" s="34">
        <v>0.0</v>
      </c>
      <c r="AZ91" s="30">
        <v>0.0</v>
      </c>
      <c r="BA91" s="30">
        <v>1.0</v>
      </c>
      <c r="BB91" s="33">
        <f>3.43/3.61</f>
        <v>0.9501385042</v>
      </c>
      <c r="BC91" s="18">
        <v>2.0</v>
      </c>
      <c r="BD91" s="18">
        <v>0.0</v>
      </c>
      <c r="BE91" s="18">
        <v>1.0</v>
      </c>
      <c r="BF91" s="9">
        <v>0.0</v>
      </c>
      <c r="BG91" s="9" t="s">
        <v>84</v>
      </c>
      <c r="BH91" s="9">
        <v>0.0</v>
      </c>
      <c r="BI91" s="9">
        <v>0.0</v>
      </c>
      <c r="BJ91" s="9">
        <v>0.0</v>
      </c>
      <c r="BK91" s="9">
        <v>0.0</v>
      </c>
      <c r="BL91" s="9">
        <v>0.0</v>
      </c>
      <c r="BM91" s="9">
        <v>0.0</v>
      </c>
      <c r="BN91" s="9">
        <v>0.0</v>
      </c>
      <c r="BO91" s="9">
        <v>0.0</v>
      </c>
      <c r="BP91" s="9" t="s">
        <v>84</v>
      </c>
      <c r="BQ91" s="9" t="s">
        <v>84</v>
      </c>
      <c r="BR91" s="9">
        <v>0.0</v>
      </c>
      <c r="BS91" s="9">
        <v>0.0</v>
      </c>
      <c r="BT91" s="9">
        <v>0.0</v>
      </c>
      <c r="BU91" s="9">
        <v>0.0</v>
      </c>
      <c r="BV91" s="9">
        <v>0.0</v>
      </c>
      <c r="BW91" s="30">
        <v>0.0</v>
      </c>
      <c r="BX91" s="9" t="s">
        <v>94</v>
      </c>
      <c r="BY91" s="9" t="s">
        <v>84</v>
      </c>
      <c r="BZ91" s="9" t="s">
        <v>84</v>
      </c>
      <c r="CA91" s="9">
        <v>0.0</v>
      </c>
      <c r="CB91" s="9">
        <v>0.0</v>
      </c>
      <c r="CC91" s="15" t="s">
        <v>101</v>
      </c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57"/>
      <c r="CV91" s="57"/>
      <c r="CW91" s="57"/>
    </row>
    <row r="92" ht="18.75" customHeight="1">
      <c r="A92" s="9">
        <v>91.0</v>
      </c>
      <c r="B92" s="30">
        <v>53.0</v>
      </c>
      <c r="C92" s="31" t="s">
        <v>86</v>
      </c>
      <c r="D92" s="18" t="s">
        <v>88</v>
      </c>
      <c r="E92" s="31" t="s">
        <v>83</v>
      </c>
      <c r="F92" s="55">
        <v>160.0</v>
      </c>
      <c r="G92" s="12">
        <v>108.4</v>
      </c>
      <c r="H92" s="12">
        <f t="shared" si="1"/>
        <v>42.34375</v>
      </c>
      <c r="I92" s="9">
        <v>1.0</v>
      </c>
      <c r="J92" s="9">
        <v>3.0</v>
      </c>
      <c r="K92" s="9">
        <v>1.0</v>
      </c>
      <c r="L92" s="9">
        <v>0.0</v>
      </c>
      <c r="M92" s="9">
        <v>75.0</v>
      </c>
      <c r="N92" s="9">
        <v>0.0</v>
      </c>
      <c r="O92" s="9">
        <v>174.0</v>
      </c>
      <c r="P92" s="9">
        <v>0.0</v>
      </c>
      <c r="Q92" s="9">
        <v>22.0</v>
      </c>
      <c r="R92" s="9">
        <v>0.0</v>
      </c>
      <c r="S92" s="12">
        <v>99.5</v>
      </c>
      <c r="T92" s="9">
        <v>0.0</v>
      </c>
      <c r="U92" s="9">
        <v>97.0</v>
      </c>
      <c r="V92" s="9">
        <v>0.0</v>
      </c>
      <c r="W92" s="9">
        <v>0.0</v>
      </c>
      <c r="X92" s="9">
        <v>0.0</v>
      </c>
      <c r="Y92" s="9">
        <v>0.0</v>
      </c>
      <c r="Z92" s="9">
        <v>1.0</v>
      </c>
      <c r="AA92" s="9">
        <v>0.0</v>
      </c>
      <c r="AB92" s="9">
        <v>0.0</v>
      </c>
      <c r="AC92" s="9">
        <v>0.0</v>
      </c>
      <c r="AD92" s="9">
        <v>0.0</v>
      </c>
      <c r="AE92" s="9">
        <v>0.0</v>
      </c>
      <c r="AF92" s="9">
        <v>0.0</v>
      </c>
      <c r="AG92" s="9">
        <v>0.0</v>
      </c>
      <c r="AH92" s="9">
        <v>0.0</v>
      </c>
      <c r="AI92" s="9">
        <v>1.0</v>
      </c>
      <c r="AJ92" s="9">
        <v>1.0</v>
      </c>
      <c r="AK92" s="9">
        <v>0.0</v>
      </c>
      <c r="AL92" s="9">
        <v>0.0</v>
      </c>
      <c r="AM92" s="9">
        <v>0.0</v>
      </c>
      <c r="AN92" s="9">
        <v>0.0</v>
      </c>
      <c r="AO92" s="9" t="s">
        <v>84</v>
      </c>
      <c r="AP92" s="9" t="s">
        <v>84</v>
      </c>
      <c r="AQ92" s="9" t="s">
        <v>84</v>
      </c>
      <c r="AR92" s="9" t="s">
        <v>84</v>
      </c>
      <c r="AS92" s="9">
        <v>0.0</v>
      </c>
      <c r="AT92" s="9">
        <v>0.0</v>
      </c>
      <c r="AU92" s="9">
        <v>0.0</v>
      </c>
      <c r="AV92" s="9">
        <v>0.0</v>
      </c>
      <c r="AW92" s="9">
        <v>20.0</v>
      </c>
      <c r="AX92" s="33">
        <f>3.38/3.78</f>
        <v>0.8941798942</v>
      </c>
      <c r="AY92" s="34">
        <v>1.0</v>
      </c>
      <c r="AZ92" s="30">
        <v>0.0</v>
      </c>
      <c r="BA92" s="30">
        <v>0.0</v>
      </c>
      <c r="BB92" s="33">
        <f>3.12/3.05</f>
        <v>1.02295082</v>
      </c>
      <c r="BC92" s="30">
        <v>1.0</v>
      </c>
      <c r="BD92" s="30">
        <v>0.0</v>
      </c>
      <c r="BE92" s="30">
        <v>0.0</v>
      </c>
      <c r="BF92" s="9">
        <v>0.0</v>
      </c>
      <c r="BG92" s="9" t="s">
        <v>84</v>
      </c>
      <c r="BH92" s="9">
        <v>0.0</v>
      </c>
      <c r="BI92" s="9">
        <v>0.0</v>
      </c>
      <c r="BJ92" s="9">
        <v>0.0</v>
      </c>
      <c r="BK92" s="9">
        <v>0.0</v>
      </c>
      <c r="BL92" s="9">
        <v>0.0</v>
      </c>
      <c r="BM92" s="9">
        <v>0.0</v>
      </c>
      <c r="BN92" s="9">
        <v>0.0</v>
      </c>
      <c r="BO92" s="9">
        <v>0.0</v>
      </c>
      <c r="BP92" s="9" t="s">
        <v>84</v>
      </c>
      <c r="BQ92" s="9" t="s">
        <v>84</v>
      </c>
      <c r="BR92" s="9">
        <v>0.0</v>
      </c>
      <c r="BS92" s="9">
        <v>0.0</v>
      </c>
      <c r="BT92" s="9">
        <v>0.0</v>
      </c>
      <c r="BU92" s="9">
        <v>0.0</v>
      </c>
      <c r="BV92" s="9">
        <v>0.0</v>
      </c>
      <c r="BW92" s="30">
        <v>0.0</v>
      </c>
      <c r="BX92" s="9">
        <v>0.0</v>
      </c>
      <c r="BY92" s="9">
        <v>0.0</v>
      </c>
      <c r="BZ92" s="9">
        <v>0.0</v>
      </c>
      <c r="CA92" s="9">
        <v>0.0</v>
      </c>
      <c r="CB92" s="9">
        <v>0.0</v>
      </c>
      <c r="CC92" s="15" t="s">
        <v>183</v>
      </c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57"/>
      <c r="CV92" s="57"/>
      <c r="CW92" s="57"/>
    </row>
    <row r="93" ht="18.75" customHeight="1">
      <c r="A93" s="9">
        <v>92.0</v>
      </c>
      <c r="B93" s="30">
        <v>66.0</v>
      </c>
      <c r="C93" s="31" t="s">
        <v>86</v>
      </c>
      <c r="D93" s="18" t="s">
        <v>82</v>
      </c>
      <c r="E93" s="31" t="s">
        <v>116</v>
      </c>
      <c r="F93" s="55">
        <v>170.2</v>
      </c>
      <c r="G93" s="12">
        <v>133.6</v>
      </c>
      <c r="H93" s="12">
        <f t="shared" si="1"/>
        <v>46.11979271</v>
      </c>
      <c r="I93" s="9">
        <v>1.0</v>
      </c>
      <c r="J93" s="9">
        <v>5.0</v>
      </c>
      <c r="K93" s="9">
        <v>2.0</v>
      </c>
      <c r="L93" s="9">
        <v>1.0</v>
      </c>
      <c r="M93" s="9">
        <v>121.0</v>
      </c>
      <c r="N93" s="9">
        <v>1.0</v>
      </c>
      <c r="O93" s="9">
        <v>88.0</v>
      </c>
      <c r="P93" s="9">
        <v>1.0</v>
      </c>
      <c r="Q93" s="9">
        <v>30.0</v>
      </c>
      <c r="R93" s="9" t="s">
        <v>84</v>
      </c>
      <c r="S93" s="12" t="s">
        <v>84</v>
      </c>
      <c r="T93" s="9" t="s">
        <v>84</v>
      </c>
      <c r="U93" s="9" t="s">
        <v>84</v>
      </c>
      <c r="V93" s="9">
        <v>1.0</v>
      </c>
      <c r="W93" s="9">
        <v>1.0</v>
      </c>
      <c r="X93" s="9">
        <v>1.0</v>
      </c>
      <c r="Y93" s="9">
        <v>0.0</v>
      </c>
      <c r="Z93" s="9">
        <v>0.0</v>
      </c>
      <c r="AA93" s="9">
        <v>0.0</v>
      </c>
      <c r="AB93" s="9">
        <v>0.0</v>
      </c>
      <c r="AC93" s="9">
        <v>0.0</v>
      </c>
      <c r="AD93" s="9">
        <v>0.0</v>
      </c>
      <c r="AE93" s="9">
        <v>0.0</v>
      </c>
      <c r="AF93" s="9">
        <v>0.0</v>
      </c>
      <c r="AG93" s="9">
        <v>0.0</v>
      </c>
      <c r="AH93" s="9">
        <v>0.0</v>
      </c>
      <c r="AI93" s="9">
        <v>0.0</v>
      </c>
      <c r="AJ93" s="9">
        <v>0.0</v>
      </c>
      <c r="AK93" s="9">
        <v>0.0</v>
      </c>
      <c r="AL93" s="9">
        <v>0.0</v>
      </c>
      <c r="AM93" s="9">
        <v>0.0</v>
      </c>
      <c r="AN93" s="9">
        <v>0.0</v>
      </c>
      <c r="AO93" s="9">
        <v>0.0</v>
      </c>
      <c r="AP93" s="9" t="s">
        <v>84</v>
      </c>
      <c r="AQ93" s="9">
        <v>0.0</v>
      </c>
      <c r="AR93" s="9">
        <v>1.0</v>
      </c>
      <c r="AS93" s="9">
        <v>1.0</v>
      </c>
      <c r="AT93" s="9">
        <v>1.0</v>
      </c>
      <c r="AU93" s="9">
        <v>1.0</v>
      </c>
      <c r="AV93" s="9">
        <v>0.0</v>
      </c>
      <c r="AW93" s="9">
        <v>50.0</v>
      </c>
      <c r="AX93" s="33">
        <f>5.56/3.1</f>
        <v>1.793548387</v>
      </c>
      <c r="AY93" s="34">
        <v>0.0</v>
      </c>
      <c r="AZ93" s="30">
        <v>0.0</v>
      </c>
      <c r="BA93" s="30">
        <v>1.0</v>
      </c>
      <c r="BB93" s="33">
        <f>2.91/3.44</f>
        <v>0.8459302326</v>
      </c>
      <c r="BC93" s="30">
        <v>4.0</v>
      </c>
      <c r="BD93" s="30">
        <v>1.0</v>
      </c>
      <c r="BE93" s="30">
        <v>1.0</v>
      </c>
      <c r="BF93" s="9">
        <v>0.0</v>
      </c>
      <c r="BG93" s="9" t="s">
        <v>84</v>
      </c>
      <c r="BH93" s="9">
        <v>1.0</v>
      </c>
      <c r="BI93" s="9">
        <v>1.0</v>
      </c>
      <c r="BJ93" s="9">
        <v>0.0</v>
      </c>
      <c r="BK93" s="9">
        <v>0.0</v>
      </c>
      <c r="BL93" s="9">
        <v>0.0</v>
      </c>
      <c r="BM93" s="9">
        <v>0.0</v>
      </c>
      <c r="BN93" s="9">
        <v>1.0</v>
      </c>
      <c r="BO93" s="9">
        <v>0.0</v>
      </c>
      <c r="BP93" s="9">
        <v>1.0</v>
      </c>
      <c r="BQ93" s="9">
        <v>1.0</v>
      </c>
      <c r="BR93" s="9">
        <v>1.0</v>
      </c>
      <c r="BS93" s="15" t="s">
        <v>184</v>
      </c>
      <c r="BT93" s="9">
        <v>0.0</v>
      </c>
      <c r="BU93" s="9">
        <v>0.0</v>
      </c>
      <c r="BV93" s="9">
        <v>0.0</v>
      </c>
      <c r="BW93" s="30">
        <v>0.0</v>
      </c>
      <c r="BX93" s="9">
        <v>1.0</v>
      </c>
      <c r="BY93" s="9">
        <v>0.0</v>
      </c>
      <c r="BZ93" s="9">
        <v>1.0</v>
      </c>
      <c r="CA93" s="9">
        <v>0.0</v>
      </c>
      <c r="CB93" s="9">
        <v>0.0</v>
      </c>
      <c r="CC93" s="15" t="s">
        <v>101</v>
      </c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57"/>
      <c r="CV93" s="57"/>
      <c r="CW93" s="57"/>
    </row>
    <row r="94" ht="18.75" customHeight="1">
      <c r="A94" s="9">
        <v>93.0</v>
      </c>
      <c r="B94" s="30">
        <v>72.0</v>
      </c>
      <c r="C94" s="31" t="s">
        <v>81</v>
      </c>
      <c r="D94" s="18" t="s">
        <v>88</v>
      </c>
      <c r="E94" s="31" t="s">
        <v>185</v>
      </c>
      <c r="F94" s="55">
        <v>177.8</v>
      </c>
      <c r="G94" s="12">
        <v>114.6</v>
      </c>
      <c r="H94" s="12">
        <f t="shared" si="1"/>
        <v>36.25109291</v>
      </c>
      <c r="I94" s="9">
        <v>1.0</v>
      </c>
      <c r="J94" s="9">
        <v>4.0</v>
      </c>
      <c r="K94" s="9">
        <v>2.0</v>
      </c>
      <c r="L94" s="9">
        <v>1.0</v>
      </c>
      <c r="M94" s="9">
        <v>133.0</v>
      </c>
      <c r="N94" s="9">
        <v>0.0</v>
      </c>
      <c r="O94" s="9">
        <v>120.0</v>
      </c>
      <c r="P94" s="9">
        <v>0.0</v>
      </c>
      <c r="Q94" s="9">
        <v>15.0</v>
      </c>
      <c r="R94" s="9" t="s">
        <v>84</v>
      </c>
      <c r="S94" s="12" t="s">
        <v>84</v>
      </c>
      <c r="T94" s="9">
        <v>0.0</v>
      </c>
      <c r="U94" s="9">
        <v>96.0</v>
      </c>
      <c r="V94" s="9">
        <v>1.0</v>
      </c>
      <c r="W94" s="9">
        <v>1.0</v>
      </c>
      <c r="X94" s="9">
        <v>0.0</v>
      </c>
      <c r="Y94" s="9">
        <v>0.0</v>
      </c>
      <c r="Z94" s="9">
        <v>0.0</v>
      </c>
      <c r="AA94" s="9">
        <v>0.0</v>
      </c>
      <c r="AB94" s="9">
        <v>1.0</v>
      </c>
      <c r="AC94" s="9">
        <v>1.0</v>
      </c>
      <c r="AD94" s="9">
        <v>1.0</v>
      </c>
      <c r="AE94" s="9">
        <v>1.0</v>
      </c>
      <c r="AF94" s="9">
        <v>0.0</v>
      </c>
      <c r="AG94" s="9">
        <v>1.0</v>
      </c>
      <c r="AH94" s="9">
        <v>0.0</v>
      </c>
      <c r="AI94" s="9">
        <v>0.0</v>
      </c>
      <c r="AJ94" s="9">
        <v>0.0</v>
      </c>
      <c r="AK94" s="9">
        <v>1.0</v>
      </c>
      <c r="AL94" s="9">
        <v>0.0</v>
      </c>
      <c r="AM94" s="9">
        <v>0.0</v>
      </c>
      <c r="AN94" s="9">
        <v>0.0</v>
      </c>
      <c r="AO94" s="9">
        <v>1.0</v>
      </c>
      <c r="AP94" s="9">
        <v>1.0</v>
      </c>
      <c r="AQ94" s="9">
        <v>1.0</v>
      </c>
      <c r="AR94" s="9">
        <v>0.0</v>
      </c>
      <c r="AS94" s="9">
        <v>1.0</v>
      </c>
      <c r="AT94" s="9">
        <v>1.0</v>
      </c>
      <c r="AU94" s="9">
        <v>1.0</v>
      </c>
      <c r="AV94" s="9">
        <v>0.0</v>
      </c>
      <c r="AW94" s="9" t="s">
        <v>97</v>
      </c>
      <c r="AX94" s="33">
        <f>5.16/6.06</f>
        <v>0.8514851485</v>
      </c>
      <c r="AY94" s="34">
        <v>1.0</v>
      </c>
      <c r="AZ94" s="30">
        <v>0.0</v>
      </c>
      <c r="BA94" s="30">
        <v>0.0</v>
      </c>
      <c r="BB94" s="33">
        <f>4.24/3.38</f>
        <v>1.25443787</v>
      </c>
      <c r="BC94" s="30">
        <v>5.0</v>
      </c>
      <c r="BD94" s="30">
        <v>0.0</v>
      </c>
      <c r="BE94" s="30">
        <v>0.0</v>
      </c>
      <c r="BF94" s="9">
        <v>1.0</v>
      </c>
      <c r="BG94" s="15" t="s">
        <v>186</v>
      </c>
      <c r="BH94" s="9">
        <v>1.0</v>
      </c>
      <c r="BI94" s="9">
        <v>0.0</v>
      </c>
      <c r="BJ94" s="9">
        <v>0.0</v>
      </c>
      <c r="BK94" s="9">
        <v>1.0</v>
      </c>
      <c r="BL94" s="9">
        <v>0.0</v>
      </c>
      <c r="BM94" s="9">
        <v>0.0</v>
      </c>
      <c r="BN94" s="9">
        <v>1.0</v>
      </c>
      <c r="BO94" s="9">
        <v>0.0</v>
      </c>
      <c r="BP94" s="9">
        <v>0.0</v>
      </c>
      <c r="BQ94" s="9">
        <v>1.0</v>
      </c>
      <c r="BR94" s="9">
        <v>1.0</v>
      </c>
      <c r="BS94" s="9" t="s">
        <v>114</v>
      </c>
      <c r="BT94" s="9">
        <v>0.0</v>
      </c>
      <c r="BU94" s="9">
        <v>0.0</v>
      </c>
      <c r="BV94" s="9">
        <v>0.0</v>
      </c>
      <c r="BW94" s="30">
        <v>0.0</v>
      </c>
      <c r="BX94" s="9">
        <v>0.0</v>
      </c>
      <c r="BY94" s="9">
        <v>0.0</v>
      </c>
      <c r="BZ94" s="9">
        <v>0.0</v>
      </c>
      <c r="CA94" s="9">
        <v>0.0</v>
      </c>
      <c r="CB94" s="9">
        <v>0.0</v>
      </c>
      <c r="CC94" s="15" t="s">
        <v>92</v>
      </c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57"/>
      <c r="CV94" s="57"/>
      <c r="CW94" s="57"/>
    </row>
    <row r="95" ht="18.75" customHeight="1">
      <c r="A95" s="9">
        <v>94.0</v>
      </c>
      <c r="B95" s="30">
        <v>30.0</v>
      </c>
      <c r="C95" s="31" t="s">
        <v>81</v>
      </c>
      <c r="D95" s="18" t="s">
        <v>88</v>
      </c>
      <c r="E95" s="31" t="s">
        <v>116</v>
      </c>
      <c r="F95" s="55">
        <v>180.3</v>
      </c>
      <c r="G95" s="12">
        <v>79.0</v>
      </c>
      <c r="H95" s="12">
        <f t="shared" si="1"/>
        <v>24.30164307</v>
      </c>
      <c r="I95" s="9">
        <v>1.0</v>
      </c>
      <c r="J95" s="9">
        <v>2.0</v>
      </c>
      <c r="K95" s="9">
        <v>1.0</v>
      </c>
      <c r="L95" s="9">
        <v>0.0</v>
      </c>
      <c r="M95" s="9">
        <v>87.0</v>
      </c>
      <c r="N95" s="9">
        <v>0.0</v>
      </c>
      <c r="O95" s="9">
        <v>152.0</v>
      </c>
      <c r="P95" s="9">
        <v>0.0</v>
      </c>
      <c r="Q95" s="9">
        <v>18.0</v>
      </c>
      <c r="R95" s="9">
        <v>0.0</v>
      </c>
      <c r="S95" s="12">
        <v>97.9</v>
      </c>
      <c r="T95" s="9">
        <v>0.0</v>
      </c>
      <c r="U95" s="9">
        <v>100.0</v>
      </c>
      <c r="V95" s="9">
        <v>0.0</v>
      </c>
      <c r="W95" s="9">
        <v>0.0</v>
      </c>
      <c r="X95" s="9">
        <v>0.0</v>
      </c>
      <c r="Y95" s="9">
        <v>1.0</v>
      </c>
      <c r="Z95" s="9">
        <v>1.0</v>
      </c>
      <c r="AA95" s="9">
        <v>0.0</v>
      </c>
      <c r="AB95" s="9">
        <v>0.0</v>
      </c>
      <c r="AC95" s="9">
        <v>1.0</v>
      </c>
      <c r="AD95" s="9">
        <v>0.0</v>
      </c>
      <c r="AE95" s="9">
        <v>0.0</v>
      </c>
      <c r="AF95" s="15" t="s">
        <v>114</v>
      </c>
      <c r="AG95" s="9">
        <v>0.0</v>
      </c>
      <c r="AH95" s="9">
        <v>0.0</v>
      </c>
      <c r="AI95" s="9">
        <v>0.0</v>
      </c>
      <c r="AJ95" s="9">
        <v>0.0</v>
      </c>
      <c r="AK95" s="9">
        <v>1.0</v>
      </c>
      <c r="AL95" s="9">
        <v>0.0</v>
      </c>
      <c r="AM95" s="9">
        <v>0.0</v>
      </c>
      <c r="AN95" s="9">
        <v>0.0</v>
      </c>
      <c r="AO95" s="9" t="s">
        <v>84</v>
      </c>
      <c r="AP95" s="9" t="s">
        <v>84</v>
      </c>
      <c r="AQ95" s="9" t="s">
        <v>84</v>
      </c>
      <c r="AR95" s="9">
        <v>0.0</v>
      </c>
      <c r="AS95" s="9" t="s">
        <v>84</v>
      </c>
      <c r="AT95" s="9" t="s">
        <v>84</v>
      </c>
      <c r="AU95" s="9" t="s">
        <v>84</v>
      </c>
      <c r="AV95" s="9" t="s">
        <v>84</v>
      </c>
      <c r="AW95" s="9" t="s">
        <v>84</v>
      </c>
      <c r="AX95" s="33">
        <f>3.96/4.47</f>
        <v>0.8859060403</v>
      </c>
      <c r="AY95" s="34">
        <v>1.0</v>
      </c>
      <c r="AZ95" s="30">
        <v>0.0</v>
      </c>
      <c r="BA95" s="30">
        <v>0.0</v>
      </c>
      <c r="BB95" s="33">
        <f>2.39/3.22</f>
        <v>0.7422360248</v>
      </c>
      <c r="BC95" s="30">
        <v>3.0</v>
      </c>
      <c r="BD95" s="30">
        <v>0.0</v>
      </c>
      <c r="BE95" s="30">
        <v>0.0</v>
      </c>
      <c r="BF95" s="9">
        <v>0.0</v>
      </c>
      <c r="BG95" s="9" t="s">
        <v>84</v>
      </c>
      <c r="BH95" s="9">
        <v>0.0</v>
      </c>
      <c r="BI95" s="9">
        <v>0.0</v>
      </c>
      <c r="BJ95" s="9">
        <v>0.0</v>
      </c>
      <c r="BK95" s="9">
        <v>0.0</v>
      </c>
      <c r="BL95" s="9">
        <v>0.0</v>
      </c>
      <c r="BM95" s="9">
        <v>0.0</v>
      </c>
      <c r="BN95" s="9">
        <v>0.0</v>
      </c>
      <c r="BO95" s="9">
        <v>0.0</v>
      </c>
      <c r="BP95" s="9" t="s">
        <v>84</v>
      </c>
      <c r="BQ95" s="9" t="s">
        <v>84</v>
      </c>
      <c r="BR95" s="9">
        <v>0.0</v>
      </c>
      <c r="BS95" s="9">
        <v>0.0</v>
      </c>
      <c r="BT95" s="9">
        <v>0.0</v>
      </c>
      <c r="BU95" s="9">
        <v>0.0</v>
      </c>
      <c r="BV95" s="9">
        <v>0.0</v>
      </c>
      <c r="BW95" s="30">
        <v>0.0</v>
      </c>
      <c r="BX95" s="9">
        <v>0.0</v>
      </c>
      <c r="BY95" s="9" t="s">
        <v>84</v>
      </c>
      <c r="BZ95" s="9" t="s">
        <v>84</v>
      </c>
      <c r="CA95" s="9">
        <v>0.0</v>
      </c>
      <c r="CB95" s="9">
        <v>0.0</v>
      </c>
      <c r="CC95" s="15" t="s">
        <v>187</v>
      </c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57"/>
      <c r="CV95" s="57"/>
      <c r="CW95" s="57"/>
    </row>
    <row r="96" ht="18.75" customHeight="1">
      <c r="A96" s="9">
        <v>95.0</v>
      </c>
      <c r="B96" s="30">
        <v>39.0</v>
      </c>
      <c r="C96" s="31" t="s">
        <v>86</v>
      </c>
      <c r="D96" s="18" t="s">
        <v>82</v>
      </c>
      <c r="E96" s="31" t="s">
        <v>96</v>
      </c>
      <c r="F96" s="55">
        <v>160.0</v>
      </c>
      <c r="G96" s="12">
        <v>65.8</v>
      </c>
      <c r="H96" s="12">
        <f t="shared" si="1"/>
        <v>25.703125</v>
      </c>
      <c r="I96" s="9">
        <v>0.0</v>
      </c>
      <c r="J96" s="9">
        <v>1.0</v>
      </c>
      <c r="K96" s="9">
        <v>1.0</v>
      </c>
      <c r="L96" s="9">
        <v>0.0</v>
      </c>
      <c r="M96" s="9">
        <v>96.0</v>
      </c>
      <c r="N96" s="9">
        <v>0.0</v>
      </c>
      <c r="O96" s="9">
        <v>135.0</v>
      </c>
      <c r="P96" s="9">
        <v>0.0</v>
      </c>
      <c r="Q96" s="9">
        <v>20.0</v>
      </c>
      <c r="R96" s="9">
        <v>0.0</v>
      </c>
      <c r="S96" s="12">
        <v>98.1</v>
      </c>
      <c r="T96" s="9">
        <v>0.0</v>
      </c>
      <c r="U96" s="9">
        <v>100.0</v>
      </c>
      <c r="V96" s="9">
        <v>0.0</v>
      </c>
      <c r="W96" s="9">
        <v>0.0</v>
      </c>
      <c r="X96" s="9">
        <v>0.0</v>
      </c>
      <c r="Y96" s="9">
        <v>0.0</v>
      </c>
      <c r="Z96" s="9">
        <v>0.0</v>
      </c>
      <c r="AA96" s="9">
        <v>0.0</v>
      </c>
      <c r="AB96" s="9">
        <v>0.0</v>
      </c>
      <c r="AC96" s="9">
        <v>0.0</v>
      </c>
      <c r="AD96" s="9">
        <v>0.0</v>
      </c>
      <c r="AE96" s="9">
        <v>0.0</v>
      </c>
      <c r="AF96" s="9">
        <v>0.0</v>
      </c>
      <c r="AG96" s="9">
        <v>0.0</v>
      </c>
      <c r="AH96" s="9">
        <v>0.0</v>
      </c>
      <c r="AI96" s="9">
        <v>0.0</v>
      </c>
      <c r="AJ96" s="9">
        <v>0.0</v>
      </c>
      <c r="AK96" s="9">
        <v>0.0</v>
      </c>
      <c r="AL96" s="9">
        <v>0.0</v>
      </c>
      <c r="AM96" s="9">
        <v>0.0</v>
      </c>
      <c r="AN96" s="9">
        <v>0.0</v>
      </c>
      <c r="AO96" s="9">
        <v>1.0</v>
      </c>
      <c r="AP96" s="9">
        <v>1.0</v>
      </c>
      <c r="AQ96" s="9" t="s">
        <v>84</v>
      </c>
      <c r="AR96" s="9">
        <v>0.0</v>
      </c>
      <c r="AS96" s="9" t="s">
        <v>84</v>
      </c>
      <c r="AT96" s="9" t="s">
        <v>84</v>
      </c>
      <c r="AU96" s="9" t="s">
        <v>84</v>
      </c>
      <c r="AV96" s="9" t="s">
        <v>84</v>
      </c>
      <c r="AW96" s="9" t="s">
        <v>84</v>
      </c>
      <c r="AX96" s="33">
        <f>4.27/4.39</f>
        <v>0.9726651481</v>
      </c>
      <c r="AY96" s="34">
        <v>0.0</v>
      </c>
      <c r="AZ96" s="30">
        <v>0.0</v>
      </c>
      <c r="BA96" s="30">
        <v>1.0</v>
      </c>
      <c r="BB96" s="33">
        <f>2.76/2.86</f>
        <v>0.965034965</v>
      </c>
      <c r="BC96" s="30">
        <v>2.0</v>
      </c>
      <c r="BD96" s="30">
        <v>0.0</v>
      </c>
      <c r="BE96" s="30">
        <v>0.0</v>
      </c>
      <c r="BF96" s="9">
        <v>0.0</v>
      </c>
      <c r="BG96" s="9" t="s">
        <v>84</v>
      </c>
      <c r="BH96" s="9">
        <v>0.0</v>
      </c>
      <c r="BI96" s="9">
        <v>0.0</v>
      </c>
      <c r="BJ96" s="9">
        <v>0.0</v>
      </c>
      <c r="BK96" s="9">
        <v>0.0</v>
      </c>
      <c r="BL96" s="9">
        <v>0.0</v>
      </c>
      <c r="BM96" s="9">
        <v>0.0</v>
      </c>
      <c r="BN96" s="9">
        <v>0.0</v>
      </c>
      <c r="BO96" s="9">
        <v>0.0</v>
      </c>
      <c r="BP96" s="9" t="s">
        <v>84</v>
      </c>
      <c r="BQ96" s="9" t="s">
        <v>84</v>
      </c>
      <c r="BR96" s="9">
        <v>0.0</v>
      </c>
      <c r="BS96" s="9">
        <v>0.0</v>
      </c>
      <c r="BT96" s="9">
        <v>0.0</v>
      </c>
      <c r="BU96" s="9">
        <v>0.0</v>
      </c>
      <c r="BV96" s="9">
        <v>0.0</v>
      </c>
      <c r="BW96" s="31" t="s">
        <v>94</v>
      </c>
      <c r="BX96" s="9" t="s">
        <v>94</v>
      </c>
      <c r="BY96" s="9">
        <v>0.0</v>
      </c>
      <c r="BZ96" s="9">
        <v>1.0</v>
      </c>
      <c r="CA96" s="9">
        <v>0.0</v>
      </c>
      <c r="CB96" s="9">
        <v>0.0</v>
      </c>
      <c r="CC96" s="15" t="s">
        <v>188</v>
      </c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57"/>
      <c r="CV96" s="57"/>
      <c r="CW96" s="57"/>
    </row>
    <row r="97" ht="18.75" customHeight="1">
      <c r="A97" s="9">
        <v>96.0</v>
      </c>
      <c r="B97" s="30">
        <v>60.0</v>
      </c>
      <c r="C97" s="31" t="s">
        <v>81</v>
      </c>
      <c r="D97" s="18" t="s">
        <v>82</v>
      </c>
      <c r="E97" s="31" t="s">
        <v>83</v>
      </c>
      <c r="F97" s="55">
        <v>188.0</v>
      </c>
      <c r="G97" s="12">
        <v>99.3</v>
      </c>
      <c r="H97" s="12">
        <f t="shared" si="1"/>
        <v>28.09529199</v>
      </c>
      <c r="I97" s="9">
        <v>1.0</v>
      </c>
      <c r="J97" s="9">
        <v>3.0</v>
      </c>
      <c r="K97" s="9">
        <v>2.0</v>
      </c>
      <c r="L97" s="9">
        <v>1.0</v>
      </c>
      <c r="M97" s="9">
        <v>114.0</v>
      </c>
      <c r="N97" s="9">
        <v>0.0</v>
      </c>
      <c r="O97" s="9">
        <v>144.0</v>
      </c>
      <c r="P97" s="9">
        <v>0.0</v>
      </c>
      <c r="Q97" s="9">
        <v>18.0</v>
      </c>
      <c r="R97" s="9">
        <v>0.0</v>
      </c>
      <c r="S97" s="12">
        <v>97.4</v>
      </c>
      <c r="T97" s="9">
        <v>0.0</v>
      </c>
      <c r="U97" s="9">
        <v>95.0</v>
      </c>
      <c r="V97" s="9">
        <v>0.0</v>
      </c>
      <c r="W97" s="9">
        <v>0.0</v>
      </c>
      <c r="X97" s="9">
        <v>0.0</v>
      </c>
      <c r="Y97" s="9">
        <v>0.0</v>
      </c>
      <c r="Z97" s="9">
        <v>0.0</v>
      </c>
      <c r="AA97" s="9">
        <v>0.0</v>
      </c>
      <c r="AB97" s="9">
        <v>1.0</v>
      </c>
      <c r="AC97" s="9">
        <v>0.0</v>
      </c>
      <c r="AD97" s="9">
        <v>0.0</v>
      </c>
      <c r="AE97" s="9">
        <v>0.0</v>
      </c>
      <c r="AF97" s="9">
        <v>0.0</v>
      </c>
      <c r="AG97" s="9">
        <v>0.0</v>
      </c>
      <c r="AH97" s="9">
        <v>0.0</v>
      </c>
      <c r="AI97" s="9">
        <v>0.0</v>
      </c>
      <c r="AJ97" s="9">
        <v>0.0</v>
      </c>
      <c r="AK97" s="9">
        <v>1.0</v>
      </c>
      <c r="AL97" s="9">
        <v>0.0</v>
      </c>
      <c r="AM97" s="9">
        <v>0.0</v>
      </c>
      <c r="AN97" s="9">
        <v>0.0</v>
      </c>
      <c r="AO97" s="9">
        <v>1.0</v>
      </c>
      <c r="AP97" s="9">
        <v>1.0</v>
      </c>
      <c r="AQ97" s="9">
        <v>1.0</v>
      </c>
      <c r="AR97" s="9">
        <v>0.0</v>
      </c>
      <c r="AS97" s="9">
        <v>0.0</v>
      </c>
      <c r="AT97" s="9">
        <v>0.0</v>
      </c>
      <c r="AU97" s="9">
        <v>0.0</v>
      </c>
      <c r="AV97" s="9">
        <v>0.0</v>
      </c>
      <c r="AW97" s="9" t="s">
        <v>97</v>
      </c>
      <c r="AX97" s="33">
        <f>4.31/4.55</f>
        <v>0.9472527473</v>
      </c>
      <c r="AY97" s="34">
        <v>0.0</v>
      </c>
      <c r="AZ97" s="30">
        <v>0.0</v>
      </c>
      <c r="BA97" s="30">
        <v>1.0</v>
      </c>
      <c r="BB97" s="33">
        <f>3.52/4.43</f>
        <v>0.7945823928</v>
      </c>
      <c r="BC97" s="30">
        <v>3.0</v>
      </c>
      <c r="BD97" s="30">
        <v>0.0</v>
      </c>
      <c r="BE97" s="30">
        <v>0.0</v>
      </c>
      <c r="BF97" s="9">
        <v>1.0</v>
      </c>
      <c r="BG97" s="15" t="s">
        <v>189</v>
      </c>
      <c r="BH97" s="9">
        <v>0.0</v>
      </c>
      <c r="BI97" s="9">
        <v>0.0</v>
      </c>
      <c r="BJ97" s="9">
        <v>0.0</v>
      </c>
      <c r="BK97" s="9">
        <v>0.0</v>
      </c>
      <c r="BL97" s="9">
        <v>0.0</v>
      </c>
      <c r="BM97" s="9">
        <v>0.0</v>
      </c>
      <c r="BN97" s="9">
        <v>0.0</v>
      </c>
      <c r="BO97" s="9">
        <v>0.0</v>
      </c>
      <c r="BP97" s="9" t="s">
        <v>84</v>
      </c>
      <c r="BQ97" s="9" t="s">
        <v>84</v>
      </c>
      <c r="BR97" s="9">
        <v>0.0</v>
      </c>
      <c r="BS97" s="9">
        <v>0.0</v>
      </c>
      <c r="BT97" s="9">
        <v>0.0</v>
      </c>
      <c r="BU97" s="9">
        <v>0.0</v>
      </c>
      <c r="BV97" s="9">
        <v>0.0</v>
      </c>
      <c r="BW97" s="30">
        <v>0.0</v>
      </c>
      <c r="BX97" s="9">
        <v>1.0</v>
      </c>
      <c r="BY97" s="9">
        <v>0.0</v>
      </c>
      <c r="BZ97" s="9">
        <v>0.0</v>
      </c>
      <c r="CA97" s="9">
        <v>0.0</v>
      </c>
      <c r="CB97" s="9">
        <v>0.0</v>
      </c>
      <c r="CC97" s="15" t="s">
        <v>92</v>
      </c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57"/>
      <c r="CV97" s="57"/>
      <c r="CW97" s="57"/>
    </row>
    <row r="98" ht="18.75" customHeight="1">
      <c r="A98" s="9">
        <v>97.0</v>
      </c>
      <c r="B98" s="30">
        <v>65.0</v>
      </c>
      <c r="C98" s="31" t="s">
        <v>81</v>
      </c>
      <c r="D98" s="18" t="s">
        <v>82</v>
      </c>
      <c r="E98" s="31" t="s">
        <v>93</v>
      </c>
      <c r="F98" s="55">
        <v>180.3</v>
      </c>
      <c r="G98" s="12">
        <v>104.3</v>
      </c>
      <c r="H98" s="12">
        <f t="shared" si="1"/>
        <v>32.08432116</v>
      </c>
      <c r="I98" s="9">
        <v>1.0</v>
      </c>
      <c r="J98" s="9">
        <v>3.0</v>
      </c>
      <c r="K98" s="9">
        <v>1.0</v>
      </c>
      <c r="L98" s="9">
        <v>0.0</v>
      </c>
      <c r="M98" s="9">
        <v>46.0</v>
      </c>
      <c r="N98" s="9">
        <v>0.0</v>
      </c>
      <c r="O98" s="9">
        <v>140.0</v>
      </c>
      <c r="P98" s="9">
        <v>0.0</v>
      </c>
      <c r="Q98" s="9">
        <v>16.0</v>
      </c>
      <c r="R98" s="9">
        <v>0.0</v>
      </c>
      <c r="S98" s="12">
        <v>98.0</v>
      </c>
      <c r="T98" s="9">
        <v>1.0</v>
      </c>
      <c r="U98" s="9" t="s">
        <v>84</v>
      </c>
      <c r="V98" s="9">
        <v>1.0</v>
      </c>
      <c r="W98" s="9">
        <v>0.0</v>
      </c>
      <c r="X98" s="9">
        <v>0.0</v>
      </c>
      <c r="Y98" s="9">
        <v>1.0</v>
      </c>
      <c r="Z98" s="9">
        <v>0.0</v>
      </c>
      <c r="AA98" s="9">
        <v>0.0</v>
      </c>
      <c r="AB98" s="9">
        <v>0.0</v>
      </c>
      <c r="AC98" s="9">
        <v>0.0</v>
      </c>
      <c r="AD98" s="9">
        <v>0.0</v>
      </c>
      <c r="AE98" s="9">
        <v>0.0</v>
      </c>
      <c r="AF98" s="9">
        <v>0.0</v>
      </c>
      <c r="AG98" s="9">
        <v>0.0</v>
      </c>
      <c r="AH98" s="9">
        <v>0.0</v>
      </c>
      <c r="AI98" s="9">
        <v>0.0</v>
      </c>
      <c r="AJ98" s="9">
        <v>0.0</v>
      </c>
      <c r="AK98" s="9">
        <v>0.0</v>
      </c>
      <c r="AL98" s="9">
        <v>0.0</v>
      </c>
      <c r="AM98" s="9">
        <v>0.0</v>
      </c>
      <c r="AN98" s="9">
        <v>0.0</v>
      </c>
      <c r="AO98" s="9" t="s">
        <v>84</v>
      </c>
      <c r="AP98" s="9" t="s">
        <v>84</v>
      </c>
      <c r="AQ98" s="9" t="s">
        <v>84</v>
      </c>
      <c r="AR98" s="9">
        <v>0.0</v>
      </c>
      <c r="AS98" s="9" t="s">
        <v>84</v>
      </c>
      <c r="AT98" s="9" t="s">
        <v>84</v>
      </c>
      <c r="AU98" s="9" t="s">
        <v>84</v>
      </c>
      <c r="AV98" s="9" t="s">
        <v>84</v>
      </c>
      <c r="AW98" s="9" t="s">
        <v>84</v>
      </c>
      <c r="AX98" s="33">
        <f>3.58/4.15</f>
        <v>0.8626506024</v>
      </c>
      <c r="AY98" s="34">
        <v>1.0</v>
      </c>
      <c r="AZ98" s="30">
        <v>0.0</v>
      </c>
      <c r="BA98" s="30">
        <v>0.0</v>
      </c>
      <c r="BB98" s="33">
        <f>2.62/3.28</f>
        <v>0.7987804878</v>
      </c>
      <c r="BC98" s="30">
        <v>2.0</v>
      </c>
      <c r="BD98" s="30">
        <v>0.0</v>
      </c>
      <c r="BE98" s="30">
        <v>1.0</v>
      </c>
      <c r="BF98" s="9">
        <v>0.0</v>
      </c>
      <c r="BG98" s="9" t="s">
        <v>84</v>
      </c>
      <c r="BH98" s="9">
        <v>0.0</v>
      </c>
      <c r="BI98" s="9">
        <v>0.0</v>
      </c>
      <c r="BJ98" s="9">
        <v>0.0</v>
      </c>
      <c r="BK98" s="9">
        <v>0.0</v>
      </c>
      <c r="BL98" s="9">
        <v>0.0</v>
      </c>
      <c r="BM98" s="9">
        <v>0.0</v>
      </c>
      <c r="BN98" s="9">
        <v>0.0</v>
      </c>
      <c r="BO98" s="9">
        <v>0.0</v>
      </c>
      <c r="BP98" s="9" t="s">
        <v>84</v>
      </c>
      <c r="BQ98" s="9" t="s">
        <v>84</v>
      </c>
      <c r="BR98" s="9">
        <v>0.0</v>
      </c>
      <c r="BS98" s="9">
        <v>0.0</v>
      </c>
      <c r="BT98" s="9">
        <v>0.0</v>
      </c>
      <c r="BU98" s="9">
        <v>0.0</v>
      </c>
      <c r="BV98" s="9">
        <v>0.0</v>
      </c>
      <c r="BW98" s="31" t="s">
        <v>94</v>
      </c>
      <c r="BX98" s="9" t="s">
        <v>94</v>
      </c>
      <c r="BY98" s="9">
        <v>0.0</v>
      </c>
      <c r="BZ98" s="9">
        <v>0.0</v>
      </c>
      <c r="CA98" s="9">
        <v>0.0</v>
      </c>
      <c r="CB98" s="9">
        <v>0.0</v>
      </c>
      <c r="CC98" s="15" t="s">
        <v>101</v>
      </c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57"/>
      <c r="CV98" s="57"/>
      <c r="CW98" s="57"/>
    </row>
    <row r="99" ht="18.75" customHeight="1">
      <c r="A99" s="9">
        <v>98.0</v>
      </c>
      <c r="B99" s="30">
        <v>52.0</v>
      </c>
      <c r="C99" s="31" t="s">
        <v>81</v>
      </c>
      <c r="D99" s="18" t="s">
        <v>82</v>
      </c>
      <c r="E99" s="31" t="s">
        <v>99</v>
      </c>
      <c r="F99" s="55">
        <v>175.3</v>
      </c>
      <c r="G99" s="12">
        <v>68.0</v>
      </c>
      <c r="H99" s="12">
        <f t="shared" si="1"/>
        <v>22.12814866</v>
      </c>
      <c r="I99" s="9">
        <v>1.0</v>
      </c>
      <c r="J99" s="9">
        <v>4.0</v>
      </c>
      <c r="K99" s="9">
        <v>1.0</v>
      </c>
      <c r="L99" s="9">
        <v>0.0</v>
      </c>
      <c r="M99" s="9">
        <v>98.0</v>
      </c>
      <c r="N99" s="9">
        <v>0.0</v>
      </c>
      <c r="O99" s="9">
        <v>122.0</v>
      </c>
      <c r="P99" s="9">
        <v>0.0</v>
      </c>
      <c r="Q99" s="9">
        <v>18.0</v>
      </c>
      <c r="R99" s="9">
        <v>0.0</v>
      </c>
      <c r="S99" s="12">
        <v>97.6</v>
      </c>
      <c r="T99" s="9">
        <v>0.0</v>
      </c>
      <c r="U99" s="9">
        <v>100.0</v>
      </c>
      <c r="V99" s="9">
        <v>0.0</v>
      </c>
      <c r="W99" s="9">
        <v>0.0</v>
      </c>
      <c r="X99" s="9">
        <v>0.0</v>
      </c>
      <c r="Y99" s="9">
        <v>0.0</v>
      </c>
      <c r="Z99" s="9">
        <v>1.0</v>
      </c>
      <c r="AA99" s="9">
        <v>0.0</v>
      </c>
      <c r="AB99" s="9">
        <v>0.0</v>
      </c>
      <c r="AC99" s="9">
        <v>0.0</v>
      </c>
      <c r="AD99" s="9">
        <v>0.0</v>
      </c>
      <c r="AE99" s="9">
        <v>0.0</v>
      </c>
      <c r="AF99" s="9">
        <v>0.0</v>
      </c>
      <c r="AG99" s="9">
        <v>0.0</v>
      </c>
      <c r="AH99" s="9">
        <v>0.0</v>
      </c>
      <c r="AI99" s="9">
        <v>0.0</v>
      </c>
      <c r="AJ99" s="9">
        <v>0.0</v>
      </c>
      <c r="AK99" s="9">
        <v>0.0</v>
      </c>
      <c r="AL99" s="9">
        <v>0.0</v>
      </c>
      <c r="AM99" s="9">
        <v>0.0</v>
      </c>
      <c r="AN99" s="9">
        <v>0.0</v>
      </c>
      <c r="AO99" s="9">
        <v>0.0</v>
      </c>
      <c r="AP99" s="9" t="s">
        <v>84</v>
      </c>
      <c r="AQ99" s="9" t="s">
        <v>84</v>
      </c>
      <c r="AR99" s="9">
        <v>0.0</v>
      </c>
      <c r="AS99" s="9" t="s">
        <v>84</v>
      </c>
      <c r="AT99" s="9" t="s">
        <v>84</v>
      </c>
      <c r="AU99" s="9" t="s">
        <v>84</v>
      </c>
      <c r="AV99" s="9" t="s">
        <v>84</v>
      </c>
      <c r="AW99" s="9" t="s">
        <v>84</v>
      </c>
      <c r="AX99" s="33">
        <f>4.59/4.89</f>
        <v>0.9386503067</v>
      </c>
      <c r="AY99" s="34">
        <v>0.0</v>
      </c>
      <c r="AZ99" s="30">
        <v>1.0</v>
      </c>
      <c r="BA99" s="30">
        <v>0.0</v>
      </c>
      <c r="BB99" s="33">
        <f>3.36/2.98</f>
        <v>1.127516779</v>
      </c>
      <c r="BC99" s="30">
        <v>1.0</v>
      </c>
      <c r="BD99" s="30">
        <v>0.0</v>
      </c>
      <c r="BE99" s="30">
        <v>0.0</v>
      </c>
      <c r="BF99" s="9">
        <v>0.0</v>
      </c>
      <c r="BG99" s="9" t="s">
        <v>84</v>
      </c>
      <c r="BH99" s="9">
        <v>0.0</v>
      </c>
      <c r="BI99" s="9">
        <v>0.0</v>
      </c>
      <c r="BJ99" s="9">
        <v>0.0</v>
      </c>
      <c r="BK99" s="9">
        <v>0.0</v>
      </c>
      <c r="BL99" s="9">
        <v>0.0</v>
      </c>
      <c r="BM99" s="9">
        <v>0.0</v>
      </c>
      <c r="BN99" s="9">
        <v>0.0</v>
      </c>
      <c r="BO99" s="9">
        <v>0.0</v>
      </c>
      <c r="BP99" s="9" t="s">
        <v>84</v>
      </c>
      <c r="BQ99" s="9" t="s">
        <v>84</v>
      </c>
      <c r="BR99" s="9">
        <v>0.0</v>
      </c>
      <c r="BS99" s="9">
        <v>0.0</v>
      </c>
      <c r="BT99" s="9">
        <v>0.0</v>
      </c>
      <c r="BU99" s="9">
        <v>0.0</v>
      </c>
      <c r="BV99" s="9">
        <v>0.0</v>
      </c>
      <c r="BW99" s="30">
        <v>0.0</v>
      </c>
      <c r="BX99" s="9">
        <v>0.0</v>
      </c>
      <c r="BY99" s="9">
        <v>0.0</v>
      </c>
      <c r="BZ99" s="9">
        <v>1.0</v>
      </c>
      <c r="CA99" s="9">
        <v>0.0</v>
      </c>
      <c r="CB99" s="9">
        <v>0.0</v>
      </c>
      <c r="CC99" s="15" t="s">
        <v>104</v>
      </c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57"/>
      <c r="CV99" s="57"/>
      <c r="CW99" s="57"/>
    </row>
    <row r="100" ht="18.75" customHeight="1">
      <c r="A100" s="9">
        <v>99.0</v>
      </c>
      <c r="B100" s="30">
        <v>76.0</v>
      </c>
      <c r="C100" s="31" t="s">
        <v>86</v>
      </c>
      <c r="D100" s="18" t="s">
        <v>82</v>
      </c>
      <c r="E100" s="31" t="s">
        <v>93</v>
      </c>
      <c r="F100" s="55">
        <v>162.6</v>
      </c>
      <c r="G100" s="12">
        <v>67.8</v>
      </c>
      <c r="H100" s="12">
        <f t="shared" si="1"/>
        <v>25.64416788</v>
      </c>
      <c r="I100" s="9">
        <v>0.0</v>
      </c>
      <c r="J100" s="9">
        <v>2.0</v>
      </c>
      <c r="K100" s="9">
        <v>1.0</v>
      </c>
      <c r="L100" s="9">
        <v>0.0</v>
      </c>
      <c r="M100" s="9">
        <v>108.0</v>
      </c>
      <c r="N100" s="9">
        <v>0.0</v>
      </c>
      <c r="O100" s="9">
        <v>212.0</v>
      </c>
      <c r="P100" s="9">
        <v>0.0</v>
      </c>
      <c r="Q100" s="9">
        <v>18.0</v>
      </c>
      <c r="R100" s="9">
        <v>0.0</v>
      </c>
      <c r="S100" s="12">
        <v>98.0</v>
      </c>
      <c r="T100" s="9">
        <v>0.0</v>
      </c>
      <c r="U100" s="9">
        <v>94.0</v>
      </c>
      <c r="V100" s="9">
        <v>0.0</v>
      </c>
      <c r="W100" s="9">
        <v>0.0</v>
      </c>
      <c r="X100" s="9">
        <v>0.0</v>
      </c>
      <c r="Y100" s="9">
        <v>0.0</v>
      </c>
      <c r="Z100" s="9">
        <v>0.0</v>
      </c>
      <c r="AA100" s="9">
        <v>0.0</v>
      </c>
      <c r="AB100" s="9">
        <v>0.0</v>
      </c>
      <c r="AC100" s="9">
        <v>0.0</v>
      </c>
      <c r="AD100" s="9">
        <v>0.0</v>
      </c>
      <c r="AE100" s="9">
        <v>1.0</v>
      </c>
      <c r="AF100" s="9">
        <v>0.0</v>
      </c>
      <c r="AG100" s="9">
        <v>0.0</v>
      </c>
      <c r="AH100" s="9">
        <v>0.0</v>
      </c>
      <c r="AI100" s="9">
        <v>0.0</v>
      </c>
      <c r="AJ100" s="9">
        <v>0.0</v>
      </c>
      <c r="AK100" s="9">
        <v>0.0</v>
      </c>
      <c r="AL100" s="9">
        <v>0.0</v>
      </c>
      <c r="AM100" s="9">
        <v>0.0</v>
      </c>
      <c r="AN100" s="9">
        <v>0.0</v>
      </c>
      <c r="AO100" s="9">
        <v>0.0</v>
      </c>
      <c r="AP100" s="9" t="s">
        <v>84</v>
      </c>
      <c r="AQ100" s="9" t="s">
        <v>84</v>
      </c>
      <c r="AR100" s="9">
        <v>0.0</v>
      </c>
      <c r="AS100" s="9" t="s">
        <v>84</v>
      </c>
      <c r="AT100" s="9" t="s">
        <v>84</v>
      </c>
      <c r="AU100" s="9" t="s">
        <v>84</v>
      </c>
      <c r="AV100" s="9" t="s">
        <v>84</v>
      </c>
      <c r="AW100" s="9" t="s">
        <v>84</v>
      </c>
      <c r="AX100" s="33">
        <f>3.08/4.55</f>
        <v>0.6769230769</v>
      </c>
      <c r="AY100" s="34">
        <v>0.0</v>
      </c>
      <c r="AZ100" s="30">
        <v>0.0</v>
      </c>
      <c r="BA100" s="30">
        <v>0.0</v>
      </c>
      <c r="BB100" s="33">
        <f>3.17/3.62</f>
        <v>0.8756906077</v>
      </c>
      <c r="BC100" s="30">
        <v>2.0</v>
      </c>
      <c r="BD100" s="30">
        <v>0.0</v>
      </c>
      <c r="BE100" s="30">
        <v>0.0</v>
      </c>
      <c r="BF100" s="9">
        <v>0.0</v>
      </c>
      <c r="BG100" s="9" t="s">
        <v>84</v>
      </c>
      <c r="BH100" s="9">
        <v>0.0</v>
      </c>
      <c r="BI100" s="9">
        <v>0.0</v>
      </c>
      <c r="BJ100" s="9">
        <v>0.0</v>
      </c>
      <c r="BK100" s="9">
        <v>0.0</v>
      </c>
      <c r="BL100" s="9">
        <v>0.0</v>
      </c>
      <c r="BM100" s="9">
        <v>0.0</v>
      </c>
      <c r="BN100" s="9">
        <v>0.0</v>
      </c>
      <c r="BO100" s="9">
        <v>0.0</v>
      </c>
      <c r="BP100" s="9" t="s">
        <v>84</v>
      </c>
      <c r="BQ100" s="9" t="s">
        <v>84</v>
      </c>
      <c r="BR100" s="9">
        <v>0.0</v>
      </c>
      <c r="BS100" s="9">
        <v>0.0</v>
      </c>
      <c r="BT100" s="9">
        <v>0.0</v>
      </c>
      <c r="BU100" s="9">
        <v>0.0</v>
      </c>
      <c r="BV100" s="9">
        <v>0.0</v>
      </c>
      <c r="BW100" s="30">
        <v>0.0</v>
      </c>
      <c r="BX100" s="9" t="s">
        <v>94</v>
      </c>
      <c r="BY100" s="9">
        <v>0.0</v>
      </c>
      <c r="BZ100" s="9">
        <v>0.0</v>
      </c>
      <c r="CA100" s="9">
        <v>0.0</v>
      </c>
      <c r="CB100" s="9">
        <v>0.0</v>
      </c>
      <c r="CC100" s="15" t="s">
        <v>101</v>
      </c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57"/>
      <c r="CV100" s="57"/>
      <c r="CW100" s="57"/>
    </row>
    <row r="101" ht="18.75" customHeight="1">
      <c r="A101" s="9">
        <v>100.0</v>
      </c>
      <c r="B101" s="30">
        <v>88.0</v>
      </c>
      <c r="C101" s="31" t="s">
        <v>86</v>
      </c>
      <c r="D101" s="18" t="s">
        <v>88</v>
      </c>
      <c r="E101" s="31" t="s">
        <v>99</v>
      </c>
      <c r="F101" s="55">
        <v>154.9</v>
      </c>
      <c r="G101" s="12">
        <v>52.6</v>
      </c>
      <c r="H101" s="12">
        <f t="shared" si="1"/>
        <v>21.92213807</v>
      </c>
      <c r="I101" s="9">
        <v>1.0</v>
      </c>
      <c r="J101" s="9">
        <v>5.0</v>
      </c>
      <c r="K101" s="9">
        <v>1.0</v>
      </c>
      <c r="L101" s="9">
        <v>0.0</v>
      </c>
      <c r="M101" s="9">
        <v>69.0</v>
      </c>
      <c r="N101" s="9">
        <v>1.0</v>
      </c>
      <c r="O101" s="9">
        <v>94.0</v>
      </c>
      <c r="P101" s="9">
        <v>0.0</v>
      </c>
      <c r="Q101" s="9">
        <v>21.0</v>
      </c>
      <c r="R101" s="9">
        <v>0.0</v>
      </c>
      <c r="S101" s="12">
        <v>98.3</v>
      </c>
      <c r="T101" s="9">
        <v>0.0</v>
      </c>
      <c r="U101" s="9">
        <v>98.0</v>
      </c>
      <c r="V101" s="9">
        <v>0.0</v>
      </c>
      <c r="W101" s="9">
        <v>0.0</v>
      </c>
      <c r="X101" s="9">
        <v>1.0</v>
      </c>
      <c r="Y101" s="9">
        <v>0.0</v>
      </c>
      <c r="Z101" s="9">
        <v>0.0</v>
      </c>
      <c r="AA101" s="9">
        <v>0.0</v>
      </c>
      <c r="AB101" s="9">
        <v>0.0</v>
      </c>
      <c r="AC101" s="9">
        <v>0.0</v>
      </c>
      <c r="AD101" s="9">
        <v>0.0</v>
      </c>
      <c r="AE101" s="9">
        <v>0.0</v>
      </c>
      <c r="AF101" s="9">
        <v>0.0</v>
      </c>
      <c r="AG101" s="9">
        <v>1.0</v>
      </c>
      <c r="AH101" s="9">
        <v>0.0</v>
      </c>
      <c r="AI101" s="9">
        <v>0.0</v>
      </c>
      <c r="AJ101" s="9">
        <v>1.0</v>
      </c>
      <c r="AK101" s="9">
        <v>1.0</v>
      </c>
      <c r="AL101" s="9">
        <v>0.0</v>
      </c>
      <c r="AM101" s="9">
        <v>0.0</v>
      </c>
      <c r="AN101" s="9">
        <v>1.0</v>
      </c>
      <c r="AO101" s="9">
        <v>1.0</v>
      </c>
      <c r="AP101" s="9">
        <v>1.0</v>
      </c>
      <c r="AQ101" s="9" t="s">
        <v>84</v>
      </c>
      <c r="AR101" s="9">
        <v>0.0</v>
      </c>
      <c r="AS101" s="9" t="s">
        <v>84</v>
      </c>
      <c r="AT101" s="9" t="s">
        <v>84</v>
      </c>
      <c r="AU101" s="9" t="s">
        <v>84</v>
      </c>
      <c r="AV101" s="9" t="s">
        <v>84</v>
      </c>
      <c r="AW101" s="9" t="s">
        <v>84</v>
      </c>
      <c r="AX101" s="33">
        <f>4.06/4.88</f>
        <v>0.8319672131</v>
      </c>
      <c r="AY101" s="34">
        <v>0.0</v>
      </c>
      <c r="AZ101" s="30">
        <v>0.0</v>
      </c>
      <c r="BA101" s="30">
        <v>0.0</v>
      </c>
      <c r="BB101" s="33">
        <f>2.64/3.37</f>
        <v>0.7833827893</v>
      </c>
      <c r="BC101" s="30">
        <v>4.0</v>
      </c>
      <c r="BD101" s="30">
        <v>1.0</v>
      </c>
      <c r="BE101" s="30">
        <v>0.0</v>
      </c>
      <c r="BF101" s="9">
        <v>0.0</v>
      </c>
      <c r="BG101" s="9" t="s">
        <v>84</v>
      </c>
      <c r="BH101" s="9">
        <v>0.0</v>
      </c>
      <c r="BI101" s="9">
        <v>0.0</v>
      </c>
      <c r="BJ101" s="9">
        <v>0.0</v>
      </c>
      <c r="BK101" s="9">
        <v>0.0</v>
      </c>
      <c r="BL101" s="9">
        <v>0.0</v>
      </c>
      <c r="BM101" s="9">
        <v>0.0</v>
      </c>
      <c r="BN101" s="9">
        <v>0.0</v>
      </c>
      <c r="BO101" s="9">
        <v>0.0</v>
      </c>
      <c r="BP101" s="9" t="s">
        <v>84</v>
      </c>
      <c r="BQ101" s="9" t="s">
        <v>84</v>
      </c>
      <c r="BR101" s="9">
        <v>1.0</v>
      </c>
      <c r="BS101" s="15" t="s">
        <v>190</v>
      </c>
      <c r="BT101" s="9">
        <v>0.0</v>
      </c>
      <c r="BU101" s="9">
        <v>1.0</v>
      </c>
      <c r="BV101" s="9">
        <v>0.0</v>
      </c>
      <c r="BW101" s="30">
        <v>0.0</v>
      </c>
      <c r="BX101" s="9">
        <v>1.0</v>
      </c>
      <c r="BY101" s="9">
        <v>0.0</v>
      </c>
      <c r="BZ101" s="9">
        <v>0.0</v>
      </c>
      <c r="CA101" s="9">
        <v>0.0</v>
      </c>
      <c r="CB101" s="9">
        <v>0.0</v>
      </c>
      <c r="CC101" s="15" t="s">
        <v>92</v>
      </c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57"/>
      <c r="CV101" s="57"/>
      <c r="CW101" s="57"/>
    </row>
    <row r="102" ht="18.75" customHeight="1">
      <c r="A102" s="9">
        <v>101.0</v>
      </c>
      <c r="B102" s="30">
        <v>77.0</v>
      </c>
      <c r="C102" s="31" t="s">
        <v>81</v>
      </c>
      <c r="D102" s="18" t="s">
        <v>82</v>
      </c>
      <c r="E102" s="31" t="s">
        <v>103</v>
      </c>
      <c r="F102" s="55">
        <v>180.3</v>
      </c>
      <c r="G102" s="12">
        <v>103.4</v>
      </c>
      <c r="H102" s="12">
        <f t="shared" si="1"/>
        <v>31.807467</v>
      </c>
      <c r="I102" s="9">
        <v>0.0</v>
      </c>
      <c r="J102" s="9">
        <v>3.0</v>
      </c>
      <c r="K102" s="9">
        <v>1.0</v>
      </c>
      <c r="L102" s="9">
        <v>0.0</v>
      </c>
      <c r="M102" s="9">
        <v>101.0</v>
      </c>
      <c r="N102" s="9">
        <v>0.0</v>
      </c>
      <c r="O102" s="9">
        <v>196.0</v>
      </c>
      <c r="P102" s="9">
        <v>0.0</v>
      </c>
      <c r="Q102" s="9">
        <v>20.0</v>
      </c>
      <c r="R102" s="9">
        <v>0.0</v>
      </c>
      <c r="S102" s="12">
        <v>97.6</v>
      </c>
      <c r="T102" s="9">
        <v>0.0</v>
      </c>
      <c r="U102" s="9">
        <v>100.0</v>
      </c>
      <c r="V102" s="9">
        <v>0.0</v>
      </c>
      <c r="W102" s="9">
        <v>0.0</v>
      </c>
      <c r="X102" s="9">
        <v>0.0</v>
      </c>
      <c r="Y102" s="9">
        <v>0.0</v>
      </c>
      <c r="Z102" s="9">
        <v>0.0</v>
      </c>
      <c r="AA102" s="9">
        <v>0.0</v>
      </c>
      <c r="AB102" s="9">
        <v>0.0</v>
      </c>
      <c r="AC102" s="9">
        <v>0.0</v>
      </c>
      <c r="AD102" s="9">
        <v>0.0</v>
      </c>
      <c r="AE102" s="9">
        <v>1.0</v>
      </c>
      <c r="AF102" s="9">
        <v>0.0</v>
      </c>
      <c r="AG102" s="9">
        <v>0.0</v>
      </c>
      <c r="AH102" s="9">
        <v>0.0</v>
      </c>
      <c r="AI102" s="9">
        <v>0.0</v>
      </c>
      <c r="AJ102" s="9">
        <v>0.0</v>
      </c>
      <c r="AK102" s="9">
        <v>0.0</v>
      </c>
      <c r="AL102" s="9">
        <v>0.0</v>
      </c>
      <c r="AM102" s="9">
        <v>0.0</v>
      </c>
      <c r="AN102" s="9">
        <v>0.0</v>
      </c>
      <c r="AO102" s="9">
        <v>0.0</v>
      </c>
      <c r="AP102" s="9" t="s">
        <v>84</v>
      </c>
      <c r="AQ102" s="9">
        <v>0.0</v>
      </c>
      <c r="AR102" s="9">
        <v>0.0</v>
      </c>
      <c r="AS102" s="9">
        <v>0.0</v>
      </c>
      <c r="AT102" s="9">
        <v>0.0</v>
      </c>
      <c r="AU102" s="9">
        <v>0.0</v>
      </c>
      <c r="AV102" s="9">
        <v>0.0</v>
      </c>
      <c r="AW102" s="9" t="s">
        <v>97</v>
      </c>
      <c r="AX102" s="33">
        <f>4.24/5.05</f>
        <v>0.8396039604</v>
      </c>
      <c r="AY102" s="34">
        <v>0.0</v>
      </c>
      <c r="AZ102" s="30">
        <v>0.0</v>
      </c>
      <c r="BA102" s="30">
        <v>0.0</v>
      </c>
      <c r="BB102" s="33">
        <f>3.36/3.63</f>
        <v>0.9256198347</v>
      </c>
      <c r="BC102" s="30">
        <v>1.0</v>
      </c>
      <c r="BD102" s="30">
        <v>0.0</v>
      </c>
      <c r="BE102" s="30">
        <v>0.0</v>
      </c>
      <c r="BF102" s="9">
        <v>0.0</v>
      </c>
      <c r="BG102" s="9" t="s">
        <v>84</v>
      </c>
      <c r="BH102" s="9">
        <v>0.0</v>
      </c>
      <c r="BI102" s="9">
        <v>0.0</v>
      </c>
      <c r="BJ102" s="9">
        <v>0.0</v>
      </c>
      <c r="BK102" s="9">
        <v>0.0</v>
      </c>
      <c r="BL102" s="9">
        <v>0.0</v>
      </c>
      <c r="BM102" s="9">
        <v>0.0</v>
      </c>
      <c r="BN102" s="9">
        <v>0.0</v>
      </c>
      <c r="BO102" s="9">
        <v>0.0</v>
      </c>
      <c r="BP102" s="9" t="s">
        <v>84</v>
      </c>
      <c r="BQ102" s="9" t="s">
        <v>84</v>
      </c>
      <c r="BR102" s="9">
        <v>0.0</v>
      </c>
      <c r="BS102" s="9">
        <v>0.0</v>
      </c>
      <c r="BT102" s="9">
        <v>0.0</v>
      </c>
      <c r="BU102" s="9">
        <v>0.0</v>
      </c>
      <c r="BV102" s="9">
        <v>0.0</v>
      </c>
      <c r="BW102" s="30">
        <v>0.0</v>
      </c>
      <c r="BX102" s="9">
        <v>1.0</v>
      </c>
      <c r="BY102" s="9">
        <v>0.0</v>
      </c>
      <c r="BZ102" s="9">
        <v>1.0</v>
      </c>
      <c r="CA102" s="9">
        <v>0.0</v>
      </c>
      <c r="CB102" s="9">
        <v>0.0</v>
      </c>
      <c r="CC102" s="15" t="s">
        <v>101</v>
      </c>
      <c r="CD102" s="16"/>
      <c r="CE102" s="16"/>
      <c r="CF102" s="16"/>
      <c r="CG102" s="16"/>
      <c r="CH102" s="16"/>
      <c r="CI102" s="16"/>
      <c r="CJ102" s="16"/>
      <c r="CK102" s="16"/>
      <c r="CL102" s="16"/>
      <c r="CM102" s="16"/>
      <c r="CN102" s="16"/>
      <c r="CO102" s="16"/>
      <c r="CP102" s="16"/>
      <c r="CQ102" s="16"/>
      <c r="CR102" s="16"/>
      <c r="CS102" s="16"/>
      <c r="CT102" s="16"/>
      <c r="CU102" s="16"/>
      <c r="CV102" s="16"/>
      <c r="CW102" s="16"/>
    </row>
    <row r="103" ht="18.75" customHeight="1">
      <c r="A103" s="9">
        <v>102.0</v>
      </c>
      <c r="B103" s="30">
        <v>65.0</v>
      </c>
      <c r="C103" s="31" t="s">
        <v>81</v>
      </c>
      <c r="D103" s="18" t="s">
        <v>82</v>
      </c>
      <c r="E103" s="31" t="s">
        <v>93</v>
      </c>
      <c r="F103" s="55">
        <v>185.4</v>
      </c>
      <c r="G103" s="12">
        <v>90.7</v>
      </c>
      <c r="H103" s="12">
        <f t="shared" si="1"/>
        <v>26.38686696</v>
      </c>
      <c r="I103" s="9">
        <v>0.0</v>
      </c>
      <c r="J103" s="9">
        <v>2.0</v>
      </c>
      <c r="K103" s="9">
        <v>4.0</v>
      </c>
      <c r="L103" s="9">
        <v>0.0</v>
      </c>
      <c r="M103" s="9">
        <v>70.0</v>
      </c>
      <c r="N103" s="9">
        <v>0.0</v>
      </c>
      <c r="O103" s="9">
        <v>155.0</v>
      </c>
      <c r="P103" s="9">
        <v>0.0</v>
      </c>
      <c r="Q103" s="9">
        <v>18.0</v>
      </c>
      <c r="R103" s="9">
        <v>0.0</v>
      </c>
      <c r="S103" s="12">
        <v>98.6</v>
      </c>
      <c r="T103" s="9">
        <v>0.0</v>
      </c>
      <c r="U103" s="9">
        <v>98.0</v>
      </c>
      <c r="V103" s="9">
        <v>0.0</v>
      </c>
      <c r="W103" s="9">
        <v>0.0</v>
      </c>
      <c r="X103" s="9">
        <v>0.0</v>
      </c>
      <c r="Y103" s="9">
        <v>0.0</v>
      </c>
      <c r="Z103" s="9">
        <v>0.0</v>
      </c>
      <c r="AA103" s="9">
        <v>0.0</v>
      </c>
      <c r="AB103" s="9">
        <v>0.0</v>
      </c>
      <c r="AC103" s="9">
        <v>0.0</v>
      </c>
      <c r="AD103" s="9">
        <v>0.0</v>
      </c>
      <c r="AE103" s="9">
        <v>0.0</v>
      </c>
      <c r="AF103" s="9">
        <v>1.0</v>
      </c>
      <c r="AG103" s="9">
        <v>1.0</v>
      </c>
      <c r="AH103" s="9">
        <v>0.0</v>
      </c>
      <c r="AI103" s="9">
        <v>1.0</v>
      </c>
      <c r="AJ103" s="9">
        <v>0.0</v>
      </c>
      <c r="AK103" s="9">
        <v>1.0</v>
      </c>
      <c r="AL103" s="9">
        <v>0.0</v>
      </c>
      <c r="AM103" s="9">
        <v>0.0</v>
      </c>
      <c r="AN103" s="9">
        <v>0.0</v>
      </c>
      <c r="AO103" s="9">
        <v>1.0</v>
      </c>
      <c r="AP103" s="9">
        <v>1.0</v>
      </c>
      <c r="AQ103" s="9" t="s">
        <v>84</v>
      </c>
      <c r="AR103" s="9" t="s">
        <v>84</v>
      </c>
      <c r="AS103" s="9" t="s">
        <v>84</v>
      </c>
      <c r="AT103" s="9" t="s">
        <v>84</v>
      </c>
      <c r="AU103" s="9" t="s">
        <v>84</v>
      </c>
      <c r="AV103" s="9" t="s">
        <v>84</v>
      </c>
      <c r="AW103" s="9" t="s">
        <v>84</v>
      </c>
      <c r="AX103" s="33">
        <f>4.9/4.79</f>
        <v>1.022964509</v>
      </c>
      <c r="AY103" s="34">
        <v>0.0</v>
      </c>
      <c r="AZ103" s="30">
        <v>0.0</v>
      </c>
      <c r="BA103" s="30">
        <v>1.0</v>
      </c>
      <c r="BB103" s="33">
        <f>2.7/4.45</f>
        <v>0.606741573</v>
      </c>
      <c r="BC103" s="30">
        <v>2.0</v>
      </c>
      <c r="BD103" s="30">
        <v>1.0</v>
      </c>
      <c r="BE103" s="30">
        <v>0.0</v>
      </c>
      <c r="BF103" s="9">
        <v>0.0</v>
      </c>
      <c r="BG103" s="9" t="s">
        <v>84</v>
      </c>
      <c r="BH103" s="9">
        <v>0.0</v>
      </c>
      <c r="BI103" s="9">
        <v>0.0</v>
      </c>
      <c r="BJ103" s="9">
        <v>0.0</v>
      </c>
      <c r="BK103" s="9">
        <v>0.0</v>
      </c>
      <c r="BL103" s="9">
        <v>0.0</v>
      </c>
      <c r="BM103" s="9">
        <v>0.0</v>
      </c>
      <c r="BN103" s="9">
        <v>0.0</v>
      </c>
      <c r="BO103" s="9">
        <v>0.0</v>
      </c>
      <c r="BP103" s="9" t="s">
        <v>84</v>
      </c>
      <c r="BQ103" s="9" t="s">
        <v>84</v>
      </c>
      <c r="BR103" s="9">
        <v>0.0</v>
      </c>
      <c r="BS103" s="9">
        <v>0.0</v>
      </c>
      <c r="BT103" s="9">
        <v>0.0</v>
      </c>
      <c r="BU103" s="9">
        <v>1.0</v>
      </c>
      <c r="BV103" s="9">
        <v>0.0</v>
      </c>
      <c r="BW103" s="30">
        <v>0.0</v>
      </c>
      <c r="BX103" s="9">
        <v>0.0</v>
      </c>
      <c r="BY103" s="9">
        <v>0.0</v>
      </c>
      <c r="BZ103" s="9">
        <v>1.0</v>
      </c>
      <c r="CA103" s="9">
        <v>0.0</v>
      </c>
      <c r="CB103" s="9">
        <v>0.0</v>
      </c>
      <c r="CC103" s="15" t="s">
        <v>191</v>
      </c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57"/>
      <c r="CV103" s="57"/>
      <c r="CW103" s="57"/>
    </row>
    <row r="104" ht="18.75" customHeight="1">
      <c r="A104" s="9">
        <v>103.0</v>
      </c>
      <c r="B104" s="30">
        <v>79.0</v>
      </c>
      <c r="C104" s="31" t="s">
        <v>81</v>
      </c>
      <c r="D104" s="18" t="s">
        <v>82</v>
      </c>
      <c r="E104" s="31" t="s">
        <v>96</v>
      </c>
      <c r="F104" s="55">
        <v>182.9</v>
      </c>
      <c r="G104" s="12">
        <v>105.2</v>
      </c>
      <c r="H104" s="12">
        <f t="shared" si="1"/>
        <v>31.44765953</v>
      </c>
      <c r="I104" s="9">
        <v>1.0</v>
      </c>
      <c r="J104" s="9">
        <v>5.0</v>
      </c>
      <c r="K104" s="9">
        <v>2.0</v>
      </c>
      <c r="L104" s="9">
        <v>0.0</v>
      </c>
      <c r="M104" s="9">
        <v>85.0</v>
      </c>
      <c r="N104" s="9">
        <v>0.0</v>
      </c>
      <c r="O104" s="9">
        <v>124.0</v>
      </c>
      <c r="P104" s="9">
        <v>0.0</v>
      </c>
      <c r="Q104" s="9">
        <v>22.0</v>
      </c>
      <c r="R104" s="9">
        <v>0.0</v>
      </c>
      <c r="S104" s="12">
        <v>98.1</v>
      </c>
      <c r="T104" s="9">
        <v>0.0</v>
      </c>
      <c r="U104" s="9">
        <v>97.0</v>
      </c>
      <c r="V104" s="9">
        <v>1.0</v>
      </c>
      <c r="W104" s="9">
        <v>0.0</v>
      </c>
      <c r="X104" s="9">
        <v>1.0</v>
      </c>
      <c r="Y104" s="9">
        <v>0.0</v>
      </c>
      <c r="Z104" s="9">
        <v>0.0</v>
      </c>
      <c r="AA104" s="9">
        <v>0.0</v>
      </c>
      <c r="AB104" s="9">
        <v>0.0</v>
      </c>
      <c r="AC104" s="9">
        <v>1.0</v>
      </c>
      <c r="AD104" s="9">
        <v>1.0</v>
      </c>
      <c r="AE104" s="9">
        <v>0.0</v>
      </c>
      <c r="AF104" s="9">
        <v>0.0</v>
      </c>
      <c r="AG104" s="9">
        <v>0.0</v>
      </c>
      <c r="AH104" s="9">
        <v>0.0</v>
      </c>
      <c r="AI104" s="9">
        <v>0.0</v>
      </c>
      <c r="AJ104" s="9">
        <v>0.0</v>
      </c>
      <c r="AK104" s="9">
        <v>1.0</v>
      </c>
      <c r="AL104" s="9">
        <v>1.0</v>
      </c>
      <c r="AM104" s="9">
        <v>0.0</v>
      </c>
      <c r="AN104" s="9">
        <v>1.0</v>
      </c>
      <c r="AO104" s="9" t="s">
        <v>84</v>
      </c>
      <c r="AP104" s="9" t="s">
        <v>84</v>
      </c>
      <c r="AQ104" s="9">
        <v>1.0</v>
      </c>
      <c r="AR104" s="9">
        <v>1.0</v>
      </c>
      <c r="AS104" s="9">
        <v>1.0</v>
      </c>
      <c r="AT104" s="9">
        <v>1.0</v>
      </c>
      <c r="AU104" s="9">
        <v>1.0</v>
      </c>
      <c r="AV104" s="9">
        <v>0.0</v>
      </c>
      <c r="AW104" s="9" t="s">
        <v>97</v>
      </c>
      <c r="AX104" s="33">
        <f>5.35/4.7</f>
        <v>1.138297872</v>
      </c>
      <c r="AY104" s="34">
        <v>0.0</v>
      </c>
      <c r="AZ104" s="30">
        <v>0.0</v>
      </c>
      <c r="BA104" s="30">
        <v>1.0</v>
      </c>
      <c r="BB104" s="33">
        <f>3.61/3.45</f>
        <v>1.046376812</v>
      </c>
      <c r="BC104" s="30">
        <v>3.0</v>
      </c>
      <c r="BD104" s="30">
        <v>1.0</v>
      </c>
      <c r="BE104" s="30">
        <v>1.0</v>
      </c>
      <c r="BF104" s="9">
        <v>0.0</v>
      </c>
      <c r="BG104" s="9" t="s">
        <v>84</v>
      </c>
      <c r="BH104" s="9">
        <v>0.0</v>
      </c>
      <c r="BI104" s="9">
        <v>0.0</v>
      </c>
      <c r="BJ104" s="9">
        <v>0.0</v>
      </c>
      <c r="BK104" s="9">
        <v>0.0</v>
      </c>
      <c r="BL104" s="9">
        <v>0.0</v>
      </c>
      <c r="BM104" s="9">
        <v>0.0</v>
      </c>
      <c r="BN104" s="9">
        <v>0.0</v>
      </c>
      <c r="BO104" s="9">
        <v>0.0</v>
      </c>
      <c r="BP104" s="9" t="s">
        <v>84</v>
      </c>
      <c r="BQ104" s="9" t="s">
        <v>84</v>
      </c>
      <c r="BR104" s="9">
        <v>0.0</v>
      </c>
      <c r="BS104" s="9">
        <v>0.0</v>
      </c>
      <c r="BT104" s="9">
        <v>0.0</v>
      </c>
      <c r="BU104" s="9">
        <v>0.0</v>
      </c>
      <c r="BV104" s="9">
        <v>0.0</v>
      </c>
      <c r="BW104" s="30">
        <v>0.0</v>
      </c>
      <c r="BX104" s="9">
        <v>0.0</v>
      </c>
      <c r="BY104" s="9">
        <v>0.0</v>
      </c>
      <c r="BZ104" s="9">
        <v>0.0</v>
      </c>
      <c r="CA104" s="9">
        <v>0.0</v>
      </c>
      <c r="CB104" s="9">
        <v>0.0</v>
      </c>
      <c r="CC104" s="15" t="s">
        <v>92</v>
      </c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57"/>
      <c r="CV104" s="57"/>
      <c r="CW104" s="57"/>
    </row>
    <row r="105" ht="18.75" customHeight="1">
      <c r="A105" s="9">
        <v>104.0</v>
      </c>
      <c r="B105" s="30">
        <v>55.0</v>
      </c>
      <c r="C105" s="31" t="s">
        <v>86</v>
      </c>
      <c r="D105" s="18" t="s">
        <v>88</v>
      </c>
      <c r="E105" s="31" t="s">
        <v>83</v>
      </c>
      <c r="F105" s="55">
        <v>167.6</v>
      </c>
      <c r="G105" s="12">
        <v>90.7</v>
      </c>
      <c r="H105" s="12">
        <f t="shared" si="1"/>
        <v>32.28934672</v>
      </c>
      <c r="I105" s="9">
        <v>0.0</v>
      </c>
      <c r="J105" s="9">
        <v>1.0</v>
      </c>
      <c r="K105" s="9">
        <v>1.0</v>
      </c>
      <c r="L105" s="9">
        <v>0.0</v>
      </c>
      <c r="M105" s="9">
        <v>76.0</v>
      </c>
      <c r="N105" s="9">
        <v>0.0</v>
      </c>
      <c r="O105" s="9">
        <v>134.0</v>
      </c>
      <c r="P105" s="9">
        <v>0.0</v>
      </c>
      <c r="Q105" s="9">
        <v>20.0</v>
      </c>
      <c r="R105" s="9">
        <v>0.0</v>
      </c>
      <c r="S105" s="12">
        <v>97.4</v>
      </c>
      <c r="T105" s="9">
        <v>0.0</v>
      </c>
      <c r="U105" s="9">
        <v>99.0</v>
      </c>
      <c r="V105" s="9">
        <v>0.0</v>
      </c>
      <c r="W105" s="9">
        <v>0.0</v>
      </c>
      <c r="X105" s="9">
        <v>0.0</v>
      </c>
      <c r="Y105" s="9">
        <v>0.0</v>
      </c>
      <c r="Z105" s="9">
        <v>0.0</v>
      </c>
      <c r="AA105" s="9">
        <v>0.0</v>
      </c>
      <c r="AB105" s="9">
        <v>0.0</v>
      </c>
      <c r="AC105" s="9">
        <v>0.0</v>
      </c>
      <c r="AD105" s="9">
        <v>1.0</v>
      </c>
      <c r="AE105" s="9">
        <v>0.0</v>
      </c>
      <c r="AF105" s="9">
        <v>0.0</v>
      </c>
      <c r="AG105" s="9">
        <v>0.0</v>
      </c>
      <c r="AH105" s="9">
        <v>0.0</v>
      </c>
      <c r="AI105" s="9">
        <v>0.0</v>
      </c>
      <c r="AJ105" s="9">
        <v>0.0</v>
      </c>
      <c r="AK105" s="9">
        <v>0.0</v>
      </c>
      <c r="AL105" s="9">
        <v>0.0</v>
      </c>
      <c r="AM105" s="9">
        <v>0.0</v>
      </c>
      <c r="AN105" s="9">
        <v>0.0</v>
      </c>
      <c r="AO105" s="9">
        <v>0.0</v>
      </c>
      <c r="AP105" s="9" t="s">
        <v>84</v>
      </c>
      <c r="AQ105" s="9">
        <v>0.0</v>
      </c>
      <c r="AR105" s="9">
        <v>0.0</v>
      </c>
      <c r="AS105" s="9" t="s">
        <v>84</v>
      </c>
      <c r="AT105" s="9" t="s">
        <v>84</v>
      </c>
      <c r="AU105" s="9" t="s">
        <v>84</v>
      </c>
      <c r="AV105" s="9" t="s">
        <v>84</v>
      </c>
      <c r="AW105" s="9" t="s">
        <v>84</v>
      </c>
      <c r="AX105" s="33">
        <f>3.22/4.07</f>
        <v>0.7911547912</v>
      </c>
      <c r="AY105" s="34">
        <v>0.0</v>
      </c>
      <c r="AZ105" s="30">
        <v>0.0</v>
      </c>
      <c r="BA105" s="30">
        <v>0.0</v>
      </c>
      <c r="BB105" s="33">
        <f>2.75/3.06</f>
        <v>0.8986928105</v>
      </c>
      <c r="BC105" s="30">
        <v>1.0</v>
      </c>
      <c r="BD105" s="30">
        <v>1.0</v>
      </c>
      <c r="BE105" s="30">
        <v>0.0</v>
      </c>
      <c r="BF105" s="9" t="s">
        <v>84</v>
      </c>
      <c r="BG105" s="9" t="s">
        <v>84</v>
      </c>
      <c r="BH105" s="9">
        <v>0.0</v>
      </c>
      <c r="BI105" s="9">
        <v>0.0</v>
      </c>
      <c r="BJ105" s="9">
        <v>0.0</v>
      </c>
      <c r="BK105" s="9">
        <v>0.0</v>
      </c>
      <c r="BL105" s="9">
        <v>0.0</v>
      </c>
      <c r="BM105" s="9">
        <v>0.0</v>
      </c>
      <c r="BN105" s="9">
        <v>0.0</v>
      </c>
      <c r="BO105" s="9">
        <v>0.0</v>
      </c>
      <c r="BP105" s="9" t="s">
        <v>84</v>
      </c>
      <c r="BQ105" s="9" t="s">
        <v>84</v>
      </c>
      <c r="BR105" s="9">
        <v>0.0</v>
      </c>
      <c r="BS105" s="9">
        <v>0.0</v>
      </c>
      <c r="BT105" s="9">
        <v>0.0</v>
      </c>
      <c r="BU105" s="9">
        <v>0.0</v>
      </c>
      <c r="BV105" s="9">
        <v>0.0</v>
      </c>
      <c r="BW105" s="30">
        <v>0.0</v>
      </c>
      <c r="BX105" s="9">
        <v>0.0</v>
      </c>
      <c r="BY105" s="9">
        <v>0.0</v>
      </c>
      <c r="BZ105" s="9">
        <v>1.0</v>
      </c>
      <c r="CA105" s="9">
        <v>0.0</v>
      </c>
      <c r="CB105" s="9">
        <v>0.0</v>
      </c>
      <c r="CC105" s="15" t="s">
        <v>101</v>
      </c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57"/>
      <c r="CV105" s="57"/>
      <c r="CW105" s="57"/>
    </row>
    <row r="106" ht="18.75" customHeight="1">
      <c r="A106" s="9">
        <v>105.0</v>
      </c>
      <c r="B106" s="30">
        <v>58.0</v>
      </c>
      <c r="C106" s="31" t="s">
        <v>81</v>
      </c>
      <c r="D106" s="18" t="s">
        <v>82</v>
      </c>
      <c r="E106" s="31" t="s">
        <v>93</v>
      </c>
      <c r="F106" s="55">
        <v>188.0</v>
      </c>
      <c r="G106" s="12">
        <v>81.6</v>
      </c>
      <c r="H106" s="12">
        <f t="shared" si="1"/>
        <v>23.08736985</v>
      </c>
      <c r="I106" s="9">
        <v>1.0</v>
      </c>
      <c r="J106" s="9">
        <v>4.0</v>
      </c>
      <c r="K106" s="9">
        <v>1.0</v>
      </c>
      <c r="L106" s="9">
        <v>1.0</v>
      </c>
      <c r="M106" s="9">
        <v>113.0</v>
      </c>
      <c r="N106" s="9">
        <v>0.0</v>
      </c>
      <c r="O106" s="9">
        <v>144.0</v>
      </c>
      <c r="P106" s="9">
        <v>0.0</v>
      </c>
      <c r="Q106" s="9">
        <v>20.0</v>
      </c>
      <c r="R106" s="9">
        <v>0.0</v>
      </c>
      <c r="S106" s="12">
        <v>98.1</v>
      </c>
      <c r="T106" s="9">
        <v>0.0</v>
      </c>
      <c r="U106" s="9">
        <v>97.0</v>
      </c>
      <c r="V106" s="9">
        <v>0.0</v>
      </c>
      <c r="W106" s="9">
        <v>0.0</v>
      </c>
      <c r="X106" s="9">
        <v>0.0</v>
      </c>
      <c r="Y106" s="9">
        <v>1.0</v>
      </c>
      <c r="Z106" s="9">
        <v>0.0</v>
      </c>
      <c r="AA106" s="9">
        <v>0.0</v>
      </c>
      <c r="AB106" s="9">
        <v>1.0</v>
      </c>
      <c r="AC106" s="9">
        <v>1.0</v>
      </c>
      <c r="AD106" s="9">
        <v>1.0</v>
      </c>
      <c r="AE106" s="9">
        <v>0.0</v>
      </c>
      <c r="AF106" s="9">
        <v>1.0</v>
      </c>
      <c r="AG106" s="9">
        <v>0.0</v>
      </c>
      <c r="AH106" s="9">
        <v>0.0</v>
      </c>
      <c r="AI106" s="9">
        <v>0.0</v>
      </c>
      <c r="AJ106" s="9">
        <v>0.0</v>
      </c>
      <c r="AK106" s="9">
        <v>0.0</v>
      </c>
      <c r="AL106" s="9">
        <v>0.0</v>
      </c>
      <c r="AM106" s="9">
        <v>0.0</v>
      </c>
      <c r="AN106" s="9">
        <v>0.0</v>
      </c>
      <c r="AO106" s="9">
        <v>1.0</v>
      </c>
      <c r="AP106" s="9">
        <v>1.0</v>
      </c>
      <c r="AQ106" s="9">
        <v>0.0</v>
      </c>
      <c r="AR106" s="9">
        <v>0.0</v>
      </c>
      <c r="AS106" s="9">
        <v>0.0</v>
      </c>
      <c r="AT106" s="9">
        <v>0.0</v>
      </c>
      <c r="AU106" s="9">
        <v>0.0</v>
      </c>
      <c r="AV106" s="9">
        <v>0.0</v>
      </c>
      <c r="AW106" s="9">
        <v>15.4</v>
      </c>
      <c r="AX106" s="33">
        <f>3.59/5.02</f>
        <v>0.7151394422</v>
      </c>
      <c r="AY106" s="34">
        <v>0.0</v>
      </c>
      <c r="AZ106" s="30">
        <v>0.0</v>
      </c>
      <c r="BA106" s="30">
        <v>0.0</v>
      </c>
      <c r="BB106" s="33">
        <f>3.12/3.84</f>
        <v>0.8125</v>
      </c>
      <c r="BC106" s="30">
        <v>1.0</v>
      </c>
      <c r="BD106" s="30">
        <v>0.0</v>
      </c>
      <c r="BE106" s="30">
        <v>0.0</v>
      </c>
      <c r="BF106" s="9">
        <v>0.0</v>
      </c>
      <c r="BG106" s="9" t="s">
        <v>84</v>
      </c>
      <c r="BH106" s="9">
        <v>0.0</v>
      </c>
      <c r="BI106" s="9">
        <v>0.0</v>
      </c>
      <c r="BJ106" s="9">
        <v>0.0</v>
      </c>
      <c r="BK106" s="9">
        <v>0.0</v>
      </c>
      <c r="BL106" s="9">
        <v>0.0</v>
      </c>
      <c r="BM106" s="9">
        <v>0.0</v>
      </c>
      <c r="BN106" s="9">
        <v>0.0</v>
      </c>
      <c r="BO106" s="9">
        <v>0.0</v>
      </c>
      <c r="BP106" s="9" t="s">
        <v>84</v>
      </c>
      <c r="BQ106" s="9" t="s">
        <v>84</v>
      </c>
      <c r="BR106" s="9">
        <v>0.0</v>
      </c>
      <c r="BS106" s="9">
        <v>0.0</v>
      </c>
      <c r="BT106" s="9">
        <v>0.0</v>
      </c>
      <c r="BU106" s="9">
        <v>0.0</v>
      </c>
      <c r="BV106" s="9">
        <v>0.0</v>
      </c>
      <c r="BW106" s="30">
        <v>0.0</v>
      </c>
      <c r="BX106" s="9">
        <v>0.0</v>
      </c>
      <c r="BY106" s="9">
        <v>0.0</v>
      </c>
      <c r="BZ106" s="9">
        <v>1.0</v>
      </c>
      <c r="CA106" s="9">
        <v>0.0</v>
      </c>
      <c r="CB106" s="9">
        <v>0.0</v>
      </c>
      <c r="CC106" s="15" t="s">
        <v>192</v>
      </c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57"/>
      <c r="CV106" s="57"/>
      <c r="CW106" s="57"/>
    </row>
    <row r="107" ht="18.75" customHeight="1">
      <c r="A107" s="9">
        <v>106.0</v>
      </c>
      <c r="B107" s="30">
        <v>23.0</v>
      </c>
      <c r="C107" s="31" t="s">
        <v>81</v>
      </c>
      <c r="D107" s="18" t="s">
        <v>82</v>
      </c>
      <c r="E107" s="31" t="s">
        <v>93</v>
      </c>
      <c r="F107" s="55">
        <v>170.2</v>
      </c>
      <c r="G107" s="12">
        <v>65.8</v>
      </c>
      <c r="H107" s="12">
        <f t="shared" si="1"/>
        <v>22.71468833</v>
      </c>
      <c r="I107" s="9">
        <v>0.0</v>
      </c>
      <c r="J107" s="9">
        <v>1.0</v>
      </c>
      <c r="K107" s="9">
        <v>1.0</v>
      </c>
      <c r="L107" s="9">
        <v>0.0</v>
      </c>
      <c r="M107" s="9">
        <v>109.0</v>
      </c>
      <c r="N107" s="9">
        <v>0.0</v>
      </c>
      <c r="O107" s="9">
        <v>117.0</v>
      </c>
      <c r="P107" s="9">
        <v>0.0</v>
      </c>
      <c r="Q107" s="9">
        <v>20.0</v>
      </c>
      <c r="R107" s="9">
        <v>0.0</v>
      </c>
      <c r="S107" s="12">
        <v>98.9</v>
      </c>
      <c r="T107" s="9">
        <v>0.0</v>
      </c>
      <c r="U107" s="9">
        <v>96.0</v>
      </c>
      <c r="V107" s="9">
        <v>0.0</v>
      </c>
      <c r="W107" s="9">
        <v>0.0</v>
      </c>
      <c r="X107" s="9">
        <v>0.0</v>
      </c>
      <c r="Y107" s="9">
        <v>1.0</v>
      </c>
      <c r="Z107" s="9">
        <v>0.0</v>
      </c>
      <c r="AA107" s="9">
        <v>0.0</v>
      </c>
      <c r="AB107" s="9">
        <v>0.0</v>
      </c>
      <c r="AC107" s="9">
        <v>0.0</v>
      </c>
      <c r="AD107" s="9">
        <v>0.0</v>
      </c>
      <c r="AE107" s="9">
        <v>0.0</v>
      </c>
      <c r="AF107" s="9">
        <v>0.0</v>
      </c>
      <c r="AG107" s="9">
        <v>0.0</v>
      </c>
      <c r="AH107" s="9">
        <v>0.0</v>
      </c>
      <c r="AI107" s="9">
        <v>0.0</v>
      </c>
      <c r="AJ107" s="9">
        <v>0.0</v>
      </c>
      <c r="AK107" s="9">
        <v>0.0</v>
      </c>
      <c r="AL107" s="9">
        <v>0.0</v>
      </c>
      <c r="AM107" s="9">
        <v>0.0</v>
      </c>
      <c r="AN107" s="9">
        <v>0.0</v>
      </c>
      <c r="AO107" s="9" t="s">
        <v>84</v>
      </c>
      <c r="AP107" s="9" t="s">
        <v>84</v>
      </c>
      <c r="AQ107" s="9" t="s">
        <v>84</v>
      </c>
      <c r="AR107" s="9">
        <v>0.0</v>
      </c>
      <c r="AS107" s="9" t="s">
        <v>84</v>
      </c>
      <c r="AT107" s="9" t="s">
        <v>84</v>
      </c>
      <c r="AU107" s="9" t="s">
        <v>84</v>
      </c>
      <c r="AV107" s="9" t="s">
        <v>84</v>
      </c>
      <c r="AW107" s="9" t="s">
        <v>84</v>
      </c>
      <c r="AX107" s="33">
        <f>3.13/3.92</f>
        <v>0.7984693878</v>
      </c>
      <c r="AY107" s="34">
        <v>0.0</v>
      </c>
      <c r="AZ107" s="30">
        <v>0.0</v>
      </c>
      <c r="BA107" s="30">
        <v>0.0</v>
      </c>
      <c r="BB107" s="33">
        <f>2.16/2.4</f>
        <v>0.9</v>
      </c>
      <c r="BC107" s="30">
        <v>2.0</v>
      </c>
      <c r="BD107" s="30">
        <v>0.0</v>
      </c>
      <c r="BE107" s="30">
        <v>0.0</v>
      </c>
      <c r="BF107" s="9" t="s">
        <v>84</v>
      </c>
      <c r="BG107" s="9" t="s">
        <v>84</v>
      </c>
      <c r="BH107" s="9">
        <v>0.0</v>
      </c>
      <c r="BI107" s="9">
        <v>0.0</v>
      </c>
      <c r="BJ107" s="9">
        <v>0.0</v>
      </c>
      <c r="BK107" s="9">
        <v>0.0</v>
      </c>
      <c r="BL107" s="9">
        <v>0.0</v>
      </c>
      <c r="BM107" s="9">
        <v>0.0</v>
      </c>
      <c r="BN107" s="9">
        <v>0.0</v>
      </c>
      <c r="BO107" s="9">
        <v>0.0</v>
      </c>
      <c r="BP107" s="9" t="s">
        <v>84</v>
      </c>
      <c r="BQ107" s="9" t="s">
        <v>84</v>
      </c>
      <c r="BR107" s="9">
        <v>0.0</v>
      </c>
      <c r="BS107" s="9">
        <v>0.0</v>
      </c>
      <c r="BT107" s="9">
        <v>0.0</v>
      </c>
      <c r="BU107" s="9">
        <v>0.0</v>
      </c>
      <c r="BV107" s="9">
        <v>0.0</v>
      </c>
      <c r="BW107" s="30">
        <v>0.0</v>
      </c>
      <c r="BX107" s="9">
        <v>0.0</v>
      </c>
      <c r="BY107" s="9">
        <v>0.0</v>
      </c>
      <c r="BZ107" s="9">
        <v>0.0</v>
      </c>
      <c r="CA107" s="9">
        <v>0.0</v>
      </c>
      <c r="CB107" s="9">
        <v>0.0</v>
      </c>
      <c r="CC107" s="15" t="s">
        <v>101</v>
      </c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57"/>
      <c r="CV107" s="57"/>
      <c r="CW107" s="57"/>
    </row>
    <row r="108" ht="18.75" customHeight="1">
      <c r="A108" s="9">
        <v>107.0</v>
      </c>
      <c r="B108" s="30">
        <v>33.0</v>
      </c>
      <c r="C108" s="31" t="s">
        <v>86</v>
      </c>
      <c r="D108" s="18" t="s">
        <v>82</v>
      </c>
      <c r="E108" s="31" t="s">
        <v>109</v>
      </c>
      <c r="F108" s="55">
        <v>162.6</v>
      </c>
      <c r="G108" s="12">
        <v>82.1</v>
      </c>
      <c r="H108" s="12">
        <f t="shared" si="1"/>
        <v>31.05289355</v>
      </c>
      <c r="I108" s="9">
        <v>0.0</v>
      </c>
      <c r="J108" s="9">
        <v>1.0</v>
      </c>
      <c r="K108" s="9">
        <v>1.0</v>
      </c>
      <c r="L108" s="9">
        <v>0.0</v>
      </c>
      <c r="M108" s="9">
        <v>64.0</v>
      </c>
      <c r="N108" s="9">
        <v>0.0</v>
      </c>
      <c r="O108" s="9">
        <v>127.0</v>
      </c>
      <c r="P108" s="9">
        <v>0.0</v>
      </c>
      <c r="Q108" s="9">
        <v>18.0</v>
      </c>
      <c r="R108" s="9" t="s">
        <v>84</v>
      </c>
      <c r="S108" s="12" t="s">
        <v>84</v>
      </c>
      <c r="T108" s="9">
        <v>0.0</v>
      </c>
      <c r="U108" s="9">
        <v>98.0</v>
      </c>
      <c r="V108" s="9">
        <v>0.0</v>
      </c>
      <c r="W108" s="9">
        <v>0.0</v>
      </c>
      <c r="X108" s="9">
        <v>0.0</v>
      </c>
      <c r="Y108" s="9">
        <v>0.0</v>
      </c>
      <c r="Z108" s="9">
        <v>0.0</v>
      </c>
      <c r="AA108" s="9">
        <v>0.0</v>
      </c>
      <c r="AB108" s="9">
        <v>0.0</v>
      </c>
      <c r="AC108" s="9">
        <v>0.0</v>
      </c>
      <c r="AD108" s="9">
        <v>0.0</v>
      </c>
      <c r="AE108" s="9">
        <v>0.0</v>
      </c>
      <c r="AF108" s="9">
        <v>0.0</v>
      </c>
      <c r="AG108" s="9">
        <v>0.0</v>
      </c>
      <c r="AH108" s="9">
        <v>0.0</v>
      </c>
      <c r="AI108" s="9">
        <v>0.0</v>
      </c>
      <c r="AJ108" s="9">
        <v>0.0</v>
      </c>
      <c r="AK108" s="9">
        <v>1.0</v>
      </c>
      <c r="AL108" s="9">
        <v>0.0</v>
      </c>
      <c r="AM108" s="9">
        <v>0.0</v>
      </c>
      <c r="AN108" s="9">
        <v>0.0</v>
      </c>
      <c r="AO108" s="9" t="s">
        <v>84</v>
      </c>
      <c r="AP108" s="9" t="s">
        <v>84</v>
      </c>
      <c r="AQ108" s="9" t="s">
        <v>84</v>
      </c>
      <c r="AR108" s="9">
        <v>0.0</v>
      </c>
      <c r="AS108" s="9" t="s">
        <v>84</v>
      </c>
      <c r="AT108" s="9" t="s">
        <v>84</v>
      </c>
      <c r="AU108" s="9" t="s">
        <v>84</v>
      </c>
      <c r="AV108" s="9" t="s">
        <v>84</v>
      </c>
      <c r="AW108" s="9" t="s">
        <v>84</v>
      </c>
      <c r="AX108" s="33">
        <f>3.68/4.44</f>
        <v>0.8288288288</v>
      </c>
      <c r="AY108" s="34">
        <v>0.0</v>
      </c>
      <c r="AZ108" s="30">
        <v>0.0</v>
      </c>
      <c r="BA108" s="30">
        <v>0.0</v>
      </c>
      <c r="BB108" s="33">
        <f>3.03/3.53</f>
        <v>0.8583569405</v>
      </c>
      <c r="BC108" s="30">
        <v>4.0</v>
      </c>
      <c r="BD108" s="30">
        <v>1.0</v>
      </c>
      <c r="BE108" s="30">
        <v>1.0</v>
      </c>
      <c r="BF108" s="9">
        <v>0.0</v>
      </c>
      <c r="BG108" s="9" t="s">
        <v>84</v>
      </c>
      <c r="BH108" s="9">
        <v>0.0</v>
      </c>
      <c r="BI108" s="9">
        <v>0.0</v>
      </c>
      <c r="BJ108" s="9">
        <v>0.0</v>
      </c>
      <c r="BK108" s="9">
        <v>0.0</v>
      </c>
      <c r="BL108" s="9">
        <v>0.0</v>
      </c>
      <c r="BM108" s="9">
        <v>0.0</v>
      </c>
      <c r="BN108" s="9">
        <v>0.0</v>
      </c>
      <c r="BO108" s="9">
        <v>0.0</v>
      </c>
      <c r="BP108" s="9" t="s">
        <v>84</v>
      </c>
      <c r="BQ108" s="9" t="s">
        <v>84</v>
      </c>
      <c r="BR108" s="9">
        <v>0.0</v>
      </c>
      <c r="BS108" s="9">
        <v>0.0</v>
      </c>
      <c r="BT108" s="9">
        <v>0.0</v>
      </c>
      <c r="BU108" s="9">
        <v>0.0</v>
      </c>
      <c r="BV108" s="9">
        <v>0.0</v>
      </c>
      <c r="BW108" s="31" t="s">
        <v>94</v>
      </c>
      <c r="BX108" s="9" t="s">
        <v>94</v>
      </c>
      <c r="BY108" s="9">
        <v>0.0</v>
      </c>
      <c r="BZ108" s="9">
        <v>0.0</v>
      </c>
      <c r="CA108" s="9">
        <v>0.0</v>
      </c>
      <c r="CB108" s="9">
        <v>0.0</v>
      </c>
      <c r="CC108" s="15" t="s">
        <v>92</v>
      </c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57"/>
      <c r="CV108" s="57"/>
      <c r="CW108" s="57"/>
    </row>
    <row r="109" ht="18.75" customHeight="1">
      <c r="A109" s="9">
        <v>108.0</v>
      </c>
      <c r="B109" s="30">
        <v>84.0</v>
      </c>
      <c r="C109" s="31" t="s">
        <v>86</v>
      </c>
      <c r="D109" s="18" t="s">
        <v>82</v>
      </c>
      <c r="E109" s="31" t="s">
        <v>121</v>
      </c>
      <c r="F109" s="55">
        <v>160.0</v>
      </c>
      <c r="G109" s="12">
        <v>33.7</v>
      </c>
      <c r="H109" s="12">
        <f t="shared" si="1"/>
        <v>13.1640625</v>
      </c>
      <c r="I109" s="9">
        <v>1.0</v>
      </c>
      <c r="J109" s="9">
        <v>4.0</v>
      </c>
      <c r="K109" s="9">
        <v>2.0</v>
      </c>
      <c r="L109" s="9">
        <v>0.0</v>
      </c>
      <c r="M109" s="9">
        <v>106.0</v>
      </c>
      <c r="N109" s="9">
        <v>0.0</v>
      </c>
      <c r="O109" s="9">
        <v>144.0</v>
      </c>
      <c r="P109" s="9">
        <v>0.0</v>
      </c>
      <c r="Q109" s="9">
        <v>22.0</v>
      </c>
      <c r="R109" s="9">
        <v>0.0</v>
      </c>
      <c r="S109" s="12">
        <v>98.9</v>
      </c>
      <c r="T109" s="9">
        <v>1.0</v>
      </c>
      <c r="U109" s="9">
        <v>50.0</v>
      </c>
      <c r="V109" s="9">
        <v>1.0</v>
      </c>
      <c r="W109" s="9">
        <v>0.0</v>
      </c>
      <c r="X109" s="9">
        <v>0.0</v>
      </c>
      <c r="Y109" s="9">
        <v>1.0</v>
      </c>
      <c r="Z109" s="9">
        <v>0.0</v>
      </c>
      <c r="AA109" s="9">
        <v>0.0</v>
      </c>
      <c r="AB109" s="9">
        <v>1.0</v>
      </c>
      <c r="AC109" s="9">
        <v>1.0</v>
      </c>
      <c r="AD109" s="9">
        <v>0.0</v>
      </c>
      <c r="AE109" s="9">
        <v>0.0</v>
      </c>
      <c r="AF109" s="9">
        <v>0.0</v>
      </c>
      <c r="AG109" s="9">
        <v>0.0</v>
      </c>
      <c r="AH109" s="9">
        <v>0.0</v>
      </c>
      <c r="AI109" s="9">
        <v>0.0</v>
      </c>
      <c r="AJ109" s="9">
        <v>0.0</v>
      </c>
      <c r="AK109" s="9">
        <v>0.0</v>
      </c>
      <c r="AL109" s="9">
        <v>0.0</v>
      </c>
      <c r="AM109" s="9">
        <v>0.0</v>
      </c>
      <c r="AN109" s="9">
        <v>0.0</v>
      </c>
      <c r="AO109" s="9" t="s">
        <v>84</v>
      </c>
      <c r="AP109" s="9" t="s">
        <v>84</v>
      </c>
      <c r="AQ109" s="9">
        <v>1.0</v>
      </c>
      <c r="AR109" s="9">
        <v>0.0</v>
      </c>
      <c r="AS109" s="9" t="s">
        <v>84</v>
      </c>
      <c r="AT109" s="9" t="s">
        <v>84</v>
      </c>
      <c r="AU109" s="9" t="s">
        <v>84</v>
      </c>
      <c r="AV109" s="9" t="s">
        <v>84</v>
      </c>
      <c r="AW109" s="9" t="s">
        <v>84</v>
      </c>
      <c r="AX109" s="33">
        <f>3/4.63</f>
        <v>0.6479481641</v>
      </c>
      <c r="AY109" s="34">
        <v>0.0</v>
      </c>
      <c r="AZ109" s="30">
        <v>0.0</v>
      </c>
      <c r="BA109" s="30">
        <v>0.0</v>
      </c>
      <c r="BB109" s="33">
        <f>3.49/2.7</f>
        <v>1.292592593</v>
      </c>
      <c r="BC109" s="30">
        <v>3.0</v>
      </c>
      <c r="BD109" s="30">
        <v>0.0</v>
      </c>
      <c r="BE109" s="30">
        <v>0.0</v>
      </c>
      <c r="BF109" s="9">
        <v>0.0</v>
      </c>
      <c r="BG109" s="9" t="s">
        <v>84</v>
      </c>
      <c r="BH109" s="9">
        <v>1.0</v>
      </c>
      <c r="BI109" s="9">
        <v>0.0</v>
      </c>
      <c r="BJ109" s="9">
        <v>0.0</v>
      </c>
      <c r="BK109" s="9">
        <v>0.0</v>
      </c>
      <c r="BL109" s="9">
        <v>0.0</v>
      </c>
      <c r="BM109" s="9">
        <v>0.0</v>
      </c>
      <c r="BN109" s="9">
        <v>0.0</v>
      </c>
      <c r="BO109" s="9">
        <v>0.0</v>
      </c>
      <c r="BP109" s="9" t="s">
        <v>84</v>
      </c>
      <c r="BQ109" s="9" t="s">
        <v>84</v>
      </c>
      <c r="BR109" s="9">
        <v>0.0</v>
      </c>
      <c r="BS109" s="9">
        <v>0.0</v>
      </c>
      <c r="BT109" s="9">
        <v>0.0</v>
      </c>
      <c r="BU109" s="9">
        <v>0.0</v>
      </c>
      <c r="BV109" s="9">
        <v>0.0</v>
      </c>
      <c r="BW109" s="30">
        <v>0.0</v>
      </c>
      <c r="BX109" s="9">
        <v>0.0</v>
      </c>
      <c r="BY109" s="9">
        <v>0.0</v>
      </c>
      <c r="BZ109" s="9">
        <v>0.0</v>
      </c>
      <c r="CA109" s="9">
        <v>0.0</v>
      </c>
      <c r="CB109" s="9">
        <v>0.0</v>
      </c>
      <c r="CC109" s="15" t="s">
        <v>101</v>
      </c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57"/>
      <c r="CV109" s="57"/>
      <c r="CW109" s="57"/>
    </row>
    <row r="110" ht="18.75" customHeight="1">
      <c r="A110" s="9">
        <v>109.0</v>
      </c>
      <c r="B110" s="30">
        <v>88.0</v>
      </c>
      <c r="C110" s="31" t="s">
        <v>86</v>
      </c>
      <c r="D110" s="18" t="s">
        <v>88</v>
      </c>
      <c r="E110" s="31" t="s">
        <v>132</v>
      </c>
      <c r="F110" s="55">
        <v>157.5</v>
      </c>
      <c r="G110" s="12">
        <v>63.9</v>
      </c>
      <c r="H110" s="12">
        <f t="shared" si="1"/>
        <v>25.75963719</v>
      </c>
      <c r="I110" s="9">
        <v>1.0</v>
      </c>
      <c r="J110" s="9">
        <v>3.0</v>
      </c>
      <c r="K110" s="9">
        <v>2.0</v>
      </c>
      <c r="L110" s="9">
        <v>0.0</v>
      </c>
      <c r="M110" s="9">
        <v>63.0</v>
      </c>
      <c r="N110" s="9">
        <v>0.0</v>
      </c>
      <c r="O110" s="9">
        <v>174.0</v>
      </c>
      <c r="P110" s="9">
        <v>0.0</v>
      </c>
      <c r="Q110" s="9">
        <v>18.0</v>
      </c>
      <c r="R110" s="9">
        <v>0.0</v>
      </c>
      <c r="S110" s="12">
        <v>98.3</v>
      </c>
      <c r="T110" s="9">
        <v>0.0</v>
      </c>
      <c r="U110" s="9">
        <v>97.0</v>
      </c>
      <c r="V110" s="9">
        <v>0.0</v>
      </c>
      <c r="W110" s="9">
        <v>0.0</v>
      </c>
      <c r="X110" s="9">
        <v>0.0</v>
      </c>
      <c r="Y110" s="9">
        <v>0.0</v>
      </c>
      <c r="Z110" s="9">
        <v>0.0</v>
      </c>
      <c r="AA110" s="9">
        <v>0.0</v>
      </c>
      <c r="AB110" s="9">
        <v>0.0</v>
      </c>
      <c r="AC110" s="9">
        <v>0.0</v>
      </c>
      <c r="AD110" s="9">
        <v>0.0</v>
      </c>
      <c r="AE110" s="9">
        <v>0.0</v>
      </c>
      <c r="AF110" s="15" t="s">
        <v>114</v>
      </c>
      <c r="AG110" s="9">
        <v>0.0</v>
      </c>
      <c r="AH110" s="9">
        <v>0.0</v>
      </c>
      <c r="AI110" s="9">
        <v>0.0</v>
      </c>
      <c r="AJ110" s="9">
        <v>0.0</v>
      </c>
      <c r="AK110" s="9">
        <v>0.0</v>
      </c>
      <c r="AL110" s="9">
        <v>0.0</v>
      </c>
      <c r="AM110" s="9">
        <v>0.0</v>
      </c>
      <c r="AN110" s="9">
        <v>0.0</v>
      </c>
      <c r="AO110" s="9">
        <v>1.0</v>
      </c>
      <c r="AP110" s="9">
        <v>1.0</v>
      </c>
      <c r="AQ110" s="9">
        <v>1.0</v>
      </c>
      <c r="AR110" s="9">
        <v>0.0</v>
      </c>
      <c r="AS110" s="9">
        <v>0.0</v>
      </c>
      <c r="AT110" s="9">
        <v>0.0</v>
      </c>
      <c r="AU110" s="9">
        <v>0.0</v>
      </c>
      <c r="AV110" s="9">
        <v>0.0</v>
      </c>
      <c r="AW110" s="9">
        <v>21.0</v>
      </c>
      <c r="AX110" s="33">
        <f>3.81/3.94</f>
        <v>0.9670050761</v>
      </c>
      <c r="AY110" s="34">
        <v>0.0</v>
      </c>
      <c r="AZ110" s="30">
        <v>0.0</v>
      </c>
      <c r="BA110" s="30">
        <v>1.0</v>
      </c>
      <c r="BB110" s="33">
        <f>3.26/4.11</f>
        <v>0.7931873479</v>
      </c>
      <c r="BC110" s="30">
        <v>1.0</v>
      </c>
      <c r="BD110" s="30">
        <v>0.0</v>
      </c>
      <c r="BE110" s="30">
        <v>1.0</v>
      </c>
      <c r="BF110" s="9">
        <v>0.0</v>
      </c>
      <c r="BG110" s="9" t="s">
        <v>84</v>
      </c>
      <c r="BH110" s="9">
        <v>0.0</v>
      </c>
      <c r="BI110" s="9">
        <v>0.0</v>
      </c>
      <c r="BJ110" s="9">
        <v>0.0</v>
      </c>
      <c r="BK110" s="9">
        <v>0.0</v>
      </c>
      <c r="BL110" s="9">
        <v>0.0</v>
      </c>
      <c r="BM110" s="9">
        <v>0.0</v>
      </c>
      <c r="BN110" s="9">
        <v>0.0</v>
      </c>
      <c r="BO110" s="9">
        <v>0.0</v>
      </c>
      <c r="BP110" s="9" t="s">
        <v>84</v>
      </c>
      <c r="BQ110" s="9" t="s">
        <v>84</v>
      </c>
      <c r="BR110" s="9">
        <v>0.0</v>
      </c>
      <c r="BS110" s="9">
        <v>0.0</v>
      </c>
      <c r="BT110" s="9">
        <v>0.0</v>
      </c>
      <c r="BU110" s="9">
        <v>0.0</v>
      </c>
      <c r="BV110" s="9">
        <v>0.0</v>
      </c>
      <c r="BW110" s="30">
        <v>0.0</v>
      </c>
      <c r="BX110" s="9">
        <v>0.0</v>
      </c>
      <c r="BY110" s="9">
        <v>0.0</v>
      </c>
      <c r="BZ110" s="9">
        <v>0.0</v>
      </c>
      <c r="CA110" s="9">
        <v>0.0</v>
      </c>
      <c r="CB110" s="9">
        <v>0.0</v>
      </c>
      <c r="CC110" s="15" t="s">
        <v>101</v>
      </c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57"/>
      <c r="CV110" s="57"/>
      <c r="CW110" s="57"/>
    </row>
    <row r="111" ht="18.75" customHeight="1">
      <c r="A111" s="9">
        <v>110.0</v>
      </c>
      <c r="B111" s="30">
        <v>32.0</v>
      </c>
      <c r="C111" s="31" t="s">
        <v>81</v>
      </c>
      <c r="D111" s="18" t="s">
        <v>82</v>
      </c>
      <c r="E111" s="31" t="s">
        <v>93</v>
      </c>
      <c r="F111" s="55">
        <v>180.3</v>
      </c>
      <c r="G111" s="12">
        <v>69.0</v>
      </c>
      <c r="H111" s="12">
        <f t="shared" si="1"/>
        <v>21.22548572</v>
      </c>
      <c r="I111" s="9">
        <v>0.0</v>
      </c>
      <c r="J111" s="9">
        <v>1.0</v>
      </c>
      <c r="K111" s="9">
        <v>4.0</v>
      </c>
      <c r="L111" s="9">
        <v>0.0</v>
      </c>
      <c r="M111" s="9">
        <v>75.0</v>
      </c>
      <c r="N111" s="9">
        <v>0.0</v>
      </c>
      <c r="O111" s="9">
        <v>109.0</v>
      </c>
      <c r="P111" s="9">
        <v>0.0</v>
      </c>
      <c r="Q111" s="9">
        <v>16.0</v>
      </c>
      <c r="R111" s="9">
        <v>0.0</v>
      </c>
      <c r="S111" s="12">
        <v>99.2</v>
      </c>
      <c r="T111" s="9">
        <v>0.0</v>
      </c>
      <c r="U111" s="9">
        <v>95.0</v>
      </c>
      <c r="V111" s="9">
        <v>0.0</v>
      </c>
      <c r="W111" s="9">
        <v>0.0</v>
      </c>
      <c r="X111" s="9">
        <v>0.0</v>
      </c>
      <c r="Y111" s="9">
        <v>0.0</v>
      </c>
      <c r="Z111" s="9">
        <v>0.0</v>
      </c>
      <c r="AA111" s="9">
        <v>0.0</v>
      </c>
      <c r="AB111" s="9">
        <v>0.0</v>
      </c>
      <c r="AC111" s="9">
        <v>0.0</v>
      </c>
      <c r="AD111" s="9">
        <v>0.0</v>
      </c>
      <c r="AE111" s="9">
        <v>0.0</v>
      </c>
      <c r="AF111" s="9">
        <v>0.0</v>
      </c>
      <c r="AG111" s="9">
        <v>0.0</v>
      </c>
      <c r="AH111" s="9">
        <v>0.0</v>
      </c>
      <c r="AI111" s="9">
        <v>0.0</v>
      </c>
      <c r="AJ111" s="9">
        <v>0.0</v>
      </c>
      <c r="AK111" s="9">
        <v>0.0</v>
      </c>
      <c r="AL111" s="9">
        <v>0.0</v>
      </c>
      <c r="AM111" s="9">
        <v>0.0</v>
      </c>
      <c r="AN111" s="9">
        <v>0.0</v>
      </c>
      <c r="AO111" s="9" t="s">
        <v>84</v>
      </c>
      <c r="AP111" s="9" t="s">
        <v>84</v>
      </c>
      <c r="AQ111" s="9" t="s">
        <v>84</v>
      </c>
      <c r="AR111" s="9" t="s">
        <v>84</v>
      </c>
      <c r="AS111" s="9" t="s">
        <v>84</v>
      </c>
      <c r="AT111" s="9" t="s">
        <v>84</v>
      </c>
      <c r="AU111" s="9" t="s">
        <v>84</v>
      </c>
      <c r="AV111" s="9" t="s">
        <v>84</v>
      </c>
      <c r="AW111" s="9" t="s">
        <v>84</v>
      </c>
      <c r="AX111" s="33">
        <f>3.05/4.5</f>
        <v>0.6777777778</v>
      </c>
      <c r="AY111" s="34">
        <v>0.0</v>
      </c>
      <c r="AZ111" s="30">
        <v>0.0</v>
      </c>
      <c r="BA111" s="30">
        <v>0.0</v>
      </c>
      <c r="BB111" s="33">
        <f>2.4/2.86</f>
        <v>0.8391608392</v>
      </c>
      <c r="BC111" s="30">
        <v>2.0</v>
      </c>
      <c r="BD111" s="30">
        <v>0.0</v>
      </c>
      <c r="BE111" s="30">
        <v>0.0</v>
      </c>
      <c r="BF111" s="9" t="s">
        <v>84</v>
      </c>
      <c r="BG111" s="9" t="s">
        <v>84</v>
      </c>
      <c r="BH111" s="9">
        <v>0.0</v>
      </c>
      <c r="BI111" s="9">
        <v>0.0</v>
      </c>
      <c r="BJ111" s="9">
        <v>0.0</v>
      </c>
      <c r="BK111" s="9">
        <v>0.0</v>
      </c>
      <c r="BL111" s="9">
        <v>0.0</v>
      </c>
      <c r="BM111" s="9">
        <v>0.0</v>
      </c>
      <c r="BN111" s="9">
        <v>0.0</v>
      </c>
      <c r="BO111" s="9">
        <v>0.0</v>
      </c>
      <c r="BP111" s="9" t="s">
        <v>84</v>
      </c>
      <c r="BQ111" s="9" t="s">
        <v>84</v>
      </c>
      <c r="BR111" s="9">
        <v>0.0</v>
      </c>
      <c r="BS111" s="9">
        <v>0.0</v>
      </c>
      <c r="BT111" s="9">
        <v>0.0</v>
      </c>
      <c r="BU111" s="9">
        <v>0.0</v>
      </c>
      <c r="BV111" s="9">
        <v>0.0</v>
      </c>
      <c r="BW111" s="31" t="s">
        <v>94</v>
      </c>
      <c r="BX111" s="9" t="s">
        <v>94</v>
      </c>
      <c r="BY111" s="9">
        <v>0.0</v>
      </c>
      <c r="BZ111" s="9">
        <v>0.0</v>
      </c>
      <c r="CA111" s="9">
        <v>0.0</v>
      </c>
      <c r="CB111" s="9">
        <v>0.0</v>
      </c>
      <c r="CC111" s="15" t="s">
        <v>101</v>
      </c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57"/>
      <c r="CV111" s="57"/>
      <c r="CW111" s="57"/>
    </row>
    <row r="112" ht="18.75" customHeight="1">
      <c r="A112" s="9">
        <v>111.0</v>
      </c>
      <c r="B112" s="30">
        <v>62.0</v>
      </c>
      <c r="C112" s="31" t="s">
        <v>81</v>
      </c>
      <c r="D112" s="18" t="s">
        <v>82</v>
      </c>
      <c r="E112" s="31" t="s">
        <v>93</v>
      </c>
      <c r="F112" s="55">
        <v>177.8</v>
      </c>
      <c r="G112" s="12">
        <v>105.7</v>
      </c>
      <c r="H112" s="12">
        <f t="shared" si="1"/>
        <v>33.43578116</v>
      </c>
      <c r="I112" s="9">
        <v>1.0</v>
      </c>
      <c r="J112" s="9">
        <v>3.0</v>
      </c>
      <c r="K112" s="9">
        <v>2.0</v>
      </c>
      <c r="L112" s="9">
        <v>1.0</v>
      </c>
      <c r="M112" s="9">
        <v>166.0</v>
      </c>
      <c r="N112" s="9">
        <v>0.0</v>
      </c>
      <c r="O112" s="9">
        <v>131.0</v>
      </c>
      <c r="P112" s="9">
        <v>0.0</v>
      </c>
      <c r="Q112" s="9">
        <v>18.0</v>
      </c>
      <c r="R112" s="9">
        <v>0.0</v>
      </c>
      <c r="S112" s="12" t="s">
        <v>84</v>
      </c>
      <c r="T112" s="9" t="s">
        <v>84</v>
      </c>
      <c r="U112" s="9" t="s">
        <v>84</v>
      </c>
      <c r="V112" s="9">
        <v>1.0</v>
      </c>
      <c r="W112" s="9">
        <v>0.0</v>
      </c>
      <c r="X112" s="9">
        <v>0.0</v>
      </c>
      <c r="Y112" s="9">
        <v>0.0</v>
      </c>
      <c r="Z112" s="9">
        <v>0.0</v>
      </c>
      <c r="AA112" s="9">
        <v>0.0</v>
      </c>
      <c r="AB112" s="9">
        <v>0.0</v>
      </c>
      <c r="AC112" s="9">
        <v>0.0</v>
      </c>
      <c r="AD112" s="9">
        <v>0.0</v>
      </c>
      <c r="AE112" s="9">
        <v>0.0</v>
      </c>
      <c r="AF112" s="9">
        <v>0.0</v>
      </c>
      <c r="AG112" s="9">
        <v>0.0</v>
      </c>
      <c r="AH112" s="9">
        <v>0.0</v>
      </c>
      <c r="AI112" s="9">
        <v>0.0</v>
      </c>
      <c r="AJ112" s="9">
        <v>0.0</v>
      </c>
      <c r="AK112" s="9">
        <v>0.0</v>
      </c>
      <c r="AL112" s="9">
        <v>0.0</v>
      </c>
      <c r="AM112" s="9">
        <v>0.0</v>
      </c>
      <c r="AN112" s="9">
        <v>0.0</v>
      </c>
      <c r="AO112" s="9">
        <v>1.0</v>
      </c>
      <c r="AP112" s="9">
        <v>0.0</v>
      </c>
      <c r="AQ112" s="9">
        <v>1.0</v>
      </c>
      <c r="AR112" s="9">
        <v>0.0</v>
      </c>
      <c r="AS112" s="9">
        <v>0.0</v>
      </c>
      <c r="AT112" s="9">
        <v>0.0</v>
      </c>
      <c r="AU112" s="9">
        <v>0.0</v>
      </c>
      <c r="AV112" s="9" t="s">
        <v>84</v>
      </c>
      <c r="AW112" s="9">
        <v>29.8</v>
      </c>
      <c r="AX112" s="33">
        <f>3.38/4.45</f>
        <v>0.7595505618</v>
      </c>
      <c r="AY112" s="34">
        <v>0.0</v>
      </c>
      <c r="AZ112" s="30">
        <v>0.0</v>
      </c>
      <c r="BA112" s="30">
        <v>0.0</v>
      </c>
      <c r="BB112" s="33">
        <f>3.56/4.31</f>
        <v>0.8259860789</v>
      </c>
      <c r="BC112" s="30">
        <v>2.0</v>
      </c>
      <c r="BD112" s="30">
        <v>0.0</v>
      </c>
      <c r="BE112" s="30">
        <v>0.0</v>
      </c>
      <c r="BF112" s="9">
        <v>1.0</v>
      </c>
      <c r="BG112" s="15" t="s">
        <v>193</v>
      </c>
      <c r="BH112" s="9">
        <v>0.0</v>
      </c>
      <c r="BI112" s="9">
        <v>0.0</v>
      </c>
      <c r="BJ112" s="9">
        <v>0.0</v>
      </c>
      <c r="BK112" s="9">
        <v>0.0</v>
      </c>
      <c r="BL112" s="9">
        <v>0.0</v>
      </c>
      <c r="BM112" s="9">
        <v>0.0</v>
      </c>
      <c r="BN112" s="9">
        <v>0.0</v>
      </c>
      <c r="BO112" s="9">
        <v>0.0</v>
      </c>
      <c r="BP112" s="9" t="s">
        <v>84</v>
      </c>
      <c r="BQ112" s="9" t="s">
        <v>84</v>
      </c>
      <c r="BR112" s="9">
        <v>0.0</v>
      </c>
      <c r="BS112" s="9">
        <v>0.0</v>
      </c>
      <c r="BT112" s="9">
        <v>0.0</v>
      </c>
      <c r="BU112" s="9">
        <v>0.0</v>
      </c>
      <c r="BV112" s="9">
        <v>0.0</v>
      </c>
      <c r="BW112" s="30">
        <v>0.0</v>
      </c>
      <c r="BX112" s="9">
        <v>0.0</v>
      </c>
      <c r="BY112" s="9">
        <v>0.0</v>
      </c>
      <c r="BZ112" s="9">
        <v>0.0</v>
      </c>
      <c r="CA112" s="9">
        <v>0.0</v>
      </c>
      <c r="CB112" s="9">
        <v>0.0</v>
      </c>
      <c r="CC112" s="15" t="s">
        <v>181</v>
      </c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57"/>
      <c r="CV112" s="57"/>
      <c r="CW112" s="57"/>
    </row>
    <row r="113" ht="18.75" customHeight="1">
      <c r="A113" s="9">
        <v>112.0</v>
      </c>
      <c r="B113" s="30">
        <v>36.0</v>
      </c>
      <c r="C113" s="31" t="s">
        <v>81</v>
      </c>
      <c r="D113" s="18" t="s">
        <v>88</v>
      </c>
      <c r="E113" s="31" t="s">
        <v>93</v>
      </c>
      <c r="F113" s="55">
        <v>172.7</v>
      </c>
      <c r="G113" s="12">
        <v>90.7</v>
      </c>
      <c r="H113" s="12">
        <f t="shared" si="1"/>
        <v>30.41043356</v>
      </c>
      <c r="I113" s="9">
        <v>0.0</v>
      </c>
      <c r="J113" s="9">
        <v>1.0</v>
      </c>
      <c r="K113" s="9">
        <v>1.0</v>
      </c>
      <c r="L113" s="9">
        <v>0.0</v>
      </c>
      <c r="M113" s="9">
        <v>105.0</v>
      </c>
      <c r="N113" s="9">
        <v>0.0</v>
      </c>
      <c r="O113" s="9">
        <v>136.0</v>
      </c>
      <c r="P113" s="9">
        <v>0.0</v>
      </c>
      <c r="Q113" s="9">
        <v>20.0</v>
      </c>
      <c r="R113" s="9">
        <v>0.0</v>
      </c>
      <c r="S113" s="12">
        <v>99.8</v>
      </c>
      <c r="T113" s="9">
        <v>0.0</v>
      </c>
      <c r="U113" s="9">
        <v>91.0</v>
      </c>
      <c r="V113" s="9">
        <v>0.0</v>
      </c>
      <c r="W113" s="9">
        <v>0.0</v>
      </c>
      <c r="X113" s="9">
        <v>0.0</v>
      </c>
      <c r="Y113" s="9">
        <v>1.0</v>
      </c>
      <c r="Z113" s="9">
        <v>0.0</v>
      </c>
      <c r="AA113" s="9">
        <v>0.0</v>
      </c>
      <c r="AB113" s="9">
        <v>0.0</v>
      </c>
      <c r="AC113" s="9">
        <v>0.0</v>
      </c>
      <c r="AD113" s="9">
        <v>0.0</v>
      </c>
      <c r="AE113" s="9">
        <v>0.0</v>
      </c>
      <c r="AF113" s="9">
        <v>0.0</v>
      </c>
      <c r="AG113" s="9">
        <v>0.0</v>
      </c>
      <c r="AH113" s="9">
        <v>0.0</v>
      </c>
      <c r="AI113" s="9">
        <v>0.0</v>
      </c>
      <c r="AJ113" s="9">
        <v>0.0</v>
      </c>
      <c r="AK113" s="9">
        <v>1.0</v>
      </c>
      <c r="AL113" s="9">
        <v>0.0</v>
      </c>
      <c r="AM113" s="9">
        <v>0.0</v>
      </c>
      <c r="AN113" s="9">
        <v>0.0</v>
      </c>
      <c r="AO113" s="9" t="s">
        <v>84</v>
      </c>
      <c r="AP113" s="9" t="s">
        <v>84</v>
      </c>
      <c r="AQ113" s="9" t="s">
        <v>84</v>
      </c>
      <c r="AR113" s="9">
        <v>0.0</v>
      </c>
      <c r="AS113" s="9">
        <v>0.0</v>
      </c>
      <c r="AT113" s="9">
        <v>0.0</v>
      </c>
      <c r="AU113" s="9">
        <v>0.0</v>
      </c>
      <c r="AV113" s="9">
        <v>0.0</v>
      </c>
      <c r="AW113" s="9" t="s">
        <v>97</v>
      </c>
      <c r="AX113" s="33">
        <f>3.43/4.55</f>
        <v>0.7538461538</v>
      </c>
      <c r="AY113" s="34">
        <v>0.0</v>
      </c>
      <c r="AZ113" s="30">
        <v>0.0</v>
      </c>
      <c r="BA113" s="30">
        <v>0.0</v>
      </c>
      <c r="BB113" s="33">
        <f>2.76/3.29</f>
        <v>0.8389057751</v>
      </c>
      <c r="BC113" s="30">
        <v>1.0</v>
      </c>
      <c r="BD113" s="30">
        <v>0.0</v>
      </c>
      <c r="BE113" s="30">
        <v>0.0</v>
      </c>
      <c r="BF113" s="9" t="s">
        <v>84</v>
      </c>
      <c r="BG113" s="9" t="s">
        <v>84</v>
      </c>
      <c r="BH113" s="9">
        <v>0.0</v>
      </c>
      <c r="BI113" s="9">
        <v>0.0</v>
      </c>
      <c r="BJ113" s="9">
        <v>0.0</v>
      </c>
      <c r="BK113" s="9">
        <v>0.0</v>
      </c>
      <c r="BL113" s="9">
        <v>0.0</v>
      </c>
      <c r="BM113" s="9">
        <v>0.0</v>
      </c>
      <c r="BN113" s="9">
        <v>0.0</v>
      </c>
      <c r="BO113" s="9">
        <v>0.0</v>
      </c>
      <c r="BP113" s="9" t="s">
        <v>84</v>
      </c>
      <c r="BQ113" s="9" t="s">
        <v>84</v>
      </c>
      <c r="BR113" s="9">
        <v>0.0</v>
      </c>
      <c r="BS113" s="9">
        <v>0.0</v>
      </c>
      <c r="BT113" s="9">
        <v>0.0</v>
      </c>
      <c r="BU113" s="9">
        <v>0.0</v>
      </c>
      <c r="BV113" s="9">
        <v>0.0</v>
      </c>
      <c r="BW113" s="30">
        <v>0.0</v>
      </c>
      <c r="BX113" s="9" t="s">
        <v>94</v>
      </c>
      <c r="BY113" s="9">
        <v>0.0</v>
      </c>
      <c r="BZ113" s="9">
        <v>1.0</v>
      </c>
      <c r="CA113" s="9">
        <v>0.0</v>
      </c>
      <c r="CB113" s="9">
        <v>0.0</v>
      </c>
      <c r="CC113" s="15" t="s">
        <v>92</v>
      </c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57"/>
      <c r="CV113" s="57"/>
      <c r="CW113" s="57"/>
    </row>
    <row r="114" ht="18.75" customHeight="1">
      <c r="A114" s="9">
        <v>113.0</v>
      </c>
      <c r="B114" s="30">
        <v>62.0</v>
      </c>
      <c r="C114" s="31" t="s">
        <v>86</v>
      </c>
      <c r="D114" s="18" t="s">
        <v>88</v>
      </c>
      <c r="E114" s="31" t="s">
        <v>83</v>
      </c>
      <c r="F114" s="55">
        <v>157.5</v>
      </c>
      <c r="G114" s="12">
        <v>66.4</v>
      </c>
      <c r="H114" s="12">
        <f t="shared" si="1"/>
        <v>26.76744772</v>
      </c>
      <c r="I114" s="9">
        <v>1.0</v>
      </c>
      <c r="J114" s="9">
        <v>3.0</v>
      </c>
      <c r="K114" s="9">
        <v>4.0</v>
      </c>
      <c r="L114" s="9">
        <v>0.0</v>
      </c>
      <c r="M114" s="9">
        <v>100.0</v>
      </c>
      <c r="N114" s="9">
        <v>0.0</v>
      </c>
      <c r="O114" s="9">
        <v>151.0</v>
      </c>
      <c r="P114" s="9">
        <v>0.0</v>
      </c>
      <c r="Q114" s="9">
        <v>16.0</v>
      </c>
      <c r="R114" s="9">
        <v>0.0</v>
      </c>
      <c r="S114" s="12">
        <v>98.4</v>
      </c>
      <c r="T114" s="9">
        <v>0.0</v>
      </c>
      <c r="U114" s="9">
        <v>100.0</v>
      </c>
      <c r="V114" s="9">
        <v>0.0</v>
      </c>
      <c r="W114" s="9">
        <v>0.0</v>
      </c>
      <c r="X114" s="9">
        <v>0.0</v>
      </c>
      <c r="Y114" s="9">
        <v>0.0</v>
      </c>
      <c r="Z114" s="9">
        <v>1.0</v>
      </c>
      <c r="AA114" s="9">
        <v>0.0</v>
      </c>
      <c r="AB114" s="9">
        <v>0.0</v>
      </c>
      <c r="AC114" s="9">
        <v>0.0</v>
      </c>
      <c r="AD114" s="9">
        <v>0.0</v>
      </c>
      <c r="AE114" s="9">
        <v>0.0</v>
      </c>
      <c r="AF114" s="9">
        <v>1.0</v>
      </c>
      <c r="AG114" s="9">
        <v>0.0</v>
      </c>
      <c r="AH114" s="9">
        <v>0.0</v>
      </c>
      <c r="AI114" s="9">
        <v>0.0</v>
      </c>
      <c r="AJ114" s="9">
        <v>0.0</v>
      </c>
      <c r="AK114" s="9">
        <v>0.0</v>
      </c>
      <c r="AL114" s="9">
        <v>0.0</v>
      </c>
      <c r="AM114" s="9">
        <v>0.0</v>
      </c>
      <c r="AN114" s="9">
        <v>0.0</v>
      </c>
      <c r="AO114" s="9">
        <v>1.0</v>
      </c>
      <c r="AP114" s="9">
        <v>1.0</v>
      </c>
      <c r="AQ114" s="9" t="s">
        <v>84</v>
      </c>
      <c r="AR114" s="9" t="s">
        <v>84</v>
      </c>
      <c r="AS114" s="9" t="s">
        <v>84</v>
      </c>
      <c r="AT114" s="9" t="s">
        <v>84</v>
      </c>
      <c r="AU114" s="9" t="s">
        <v>84</v>
      </c>
      <c r="AV114" s="9" t="s">
        <v>84</v>
      </c>
      <c r="AW114" s="9" t="s">
        <v>84</v>
      </c>
      <c r="AX114" s="33">
        <f>3.55/5.28</f>
        <v>0.6723484848</v>
      </c>
      <c r="AY114" s="34">
        <v>0.0</v>
      </c>
      <c r="AZ114" s="30">
        <v>0.0</v>
      </c>
      <c r="BA114" s="30">
        <v>0.0</v>
      </c>
      <c r="BB114" s="33">
        <f>2.93/3.09</f>
        <v>0.9482200647</v>
      </c>
      <c r="BC114" s="30">
        <v>3.0</v>
      </c>
      <c r="BD114" s="30">
        <v>0.0</v>
      </c>
      <c r="BE114" s="30">
        <v>0.0</v>
      </c>
      <c r="BF114" s="9" t="s">
        <v>84</v>
      </c>
      <c r="BG114" s="9" t="s">
        <v>84</v>
      </c>
      <c r="BH114" s="9">
        <v>0.0</v>
      </c>
      <c r="BI114" s="9">
        <v>0.0</v>
      </c>
      <c r="BJ114" s="9">
        <v>0.0</v>
      </c>
      <c r="BK114" s="9">
        <v>0.0</v>
      </c>
      <c r="BL114" s="9">
        <v>0.0</v>
      </c>
      <c r="BM114" s="9">
        <v>0.0</v>
      </c>
      <c r="BN114" s="9">
        <v>0.0</v>
      </c>
      <c r="BO114" s="9">
        <v>0.0</v>
      </c>
      <c r="BP114" s="9" t="s">
        <v>84</v>
      </c>
      <c r="BQ114" s="9" t="s">
        <v>84</v>
      </c>
      <c r="BR114" s="9">
        <v>1.0</v>
      </c>
      <c r="BS114" s="15" t="s">
        <v>194</v>
      </c>
      <c r="BT114" s="9">
        <v>1.0</v>
      </c>
      <c r="BU114" s="9">
        <v>1.0</v>
      </c>
      <c r="BV114" s="9">
        <v>0.0</v>
      </c>
      <c r="BW114" s="30">
        <v>0.0</v>
      </c>
      <c r="BX114" s="9">
        <v>0.0</v>
      </c>
      <c r="BY114" s="9">
        <v>0.0</v>
      </c>
      <c r="BZ114" s="9">
        <v>0.0</v>
      </c>
      <c r="CA114" s="9">
        <v>0.0</v>
      </c>
      <c r="CB114" s="9">
        <v>0.0</v>
      </c>
      <c r="CC114" s="15" t="s">
        <v>104</v>
      </c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57"/>
      <c r="CV114" s="57"/>
      <c r="CW114" s="57"/>
    </row>
    <row r="115" ht="18.75" customHeight="1">
      <c r="A115" s="9">
        <v>114.0</v>
      </c>
      <c r="B115" s="30">
        <v>63.0</v>
      </c>
      <c r="C115" s="31" t="s">
        <v>81</v>
      </c>
      <c r="D115" s="18" t="s">
        <v>88</v>
      </c>
      <c r="E115" s="31" t="s">
        <v>116</v>
      </c>
      <c r="F115" s="55">
        <v>190.5</v>
      </c>
      <c r="G115" s="12">
        <v>90.3</v>
      </c>
      <c r="H115" s="12">
        <f t="shared" si="1"/>
        <v>24.88271643</v>
      </c>
      <c r="I115" s="9">
        <v>1.0</v>
      </c>
      <c r="J115" s="9">
        <v>5.0</v>
      </c>
      <c r="K115" s="9">
        <v>1.0</v>
      </c>
      <c r="L115" s="9">
        <v>1.0</v>
      </c>
      <c r="M115" s="9">
        <v>125.0</v>
      </c>
      <c r="N115" s="9">
        <v>1.0</v>
      </c>
      <c r="O115" s="9">
        <v>96.0</v>
      </c>
      <c r="P115" s="9">
        <v>0.0</v>
      </c>
      <c r="Q115" s="9">
        <v>20.0</v>
      </c>
      <c r="R115" s="9">
        <v>0.0</v>
      </c>
      <c r="S115" s="12">
        <v>99.4</v>
      </c>
      <c r="T115" s="9">
        <v>0.0</v>
      </c>
      <c r="U115" s="9">
        <v>98.0</v>
      </c>
      <c r="V115" s="9">
        <v>0.0</v>
      </c>
      <c r="W115" s="9">
        <v>0.0</v>
      </c>
      <c r="X115" s="9">
        <v>0.0</v>
      </c>
      <c r="Y115" s="9">
        <v>0.0</v>
      </c>
      <c r="Z115" s="9">
        <v>1.0</v>
      </c>
      <c r="AA115" s="9">
        <v>0.0</v>
      </c>
      <c r="AB115" s="9">
        <v>0.0</v>
      </c>
      <c r="AC115" s="9">
        <v>1.0</v>
      </c>
      <c r="AD115" s="9">
        <v>1.0</v>
      </c>
      <c r="AE115" s="9">
        <v>0.0</v>
      </c>
      <c r="AF115" s="9">
        <v>0.0</v>
      </c>
      <c r="AG115" s="9">
        <v>0.0</v>
      </c>
      <c r="AH115" s="9">
        <v>0.0</v>
      </c>
      <c r="AI115" s="9">
        <v>0.0</v>
      </c>
      <c r="AJ115" s="9">
        <v>0.0</v>
      </c>
      <c r="AK115" s="9">
        <v>0.0</v>
      </c>
      <c r="AL115" s="9">
        <v>0.0</v>
      </c>
      <c r="AM115" s="9">
        <v>0.0</v>
      </c>
      <c r="AN115" s="9">
        <v>0.0</v>
      </c>
      <c r="AO115" s="9">
        <v>1.0</v>
      </c>
      <c r="AP115" s="9">
        <v>0.0</v>
      </c>
      <c r="AQ115" s="9" t="s">
        <v>84</v>
      </c>
      <c r="AR115" s="9">
        <v>0.0</v>
      </c>
      <c r="AS115" s="9">
        <v>0.0</v>
      </c>
      <c r="AT115" s="9">
        <v>0.0</v>
      </c>
      <c r="AU115" s="9">
        <v>0.0</v>
      </c>
      <c r="AV115" s="9">
        <v>0.0</v>
      </c>
      <c r="AW115" s="9">
        <v>22.6</v>
      </c>
      <c r="AX115" s="33">
        <f>4.43/5.52</f>
        <v>0.8025362319</v>
      </c>
      <c r="AY115" s="34">
        <v>0.0</v>
      </c>
      <c r="AZ115" s="30">
        <v>0.0</v>
      </c>
      <c r="BA115" s="30">
        <v>0.0</v>
      </c>
      <c r="BB115" s="33">
        <f>3.99/4.19</f>
        <v>0.9522673031</v>
      </c>
      <c r="BC115" s="30">
        <v>1.0</v>
      </c>
      <c r="BD115" s="30">
        <v>0.0</v>
      </c>
      <c r="BE115" s="30">
        <v>0.0</v>
      </c>
      <c r="BF115" s="9">
        <v>0.0</v>
      </c>
      <c r="BG115" s="9">
        <v>0.0</v>
      </c>
      <c r="BH115" s="9">
        <v>0.0</v>
      </c>
      <c r="BI115" s="9">
        <v>0.0</v>
      </c>
      <c r="BJ115" s="9">
        <v>0.0</v>
      </c>
      <c r="BK115" s="9">
        <v>0.0</v>
      </c>
      <c r="BL115" s="9">
        <v>0.0</v>
      </c>
      <c r="BM115" s="9">
        <v>0.0</v>
      </c>
      <c r="BN115" s="9">
        <v>0.0</v>
      </c>
      <c r="BO115" s="9">
        <v>0.0</v>
      </c>
      <c r="BP115" s="9" t="s">
        <v>84</v>
      </c>
      <c r="BQ115" s="9" t="s">
        <v>84</v>
      </c>
      <c r="BR115" s="9">
        <v>0.0</v>
      </c>
      <c r="BS115" s="9">
        <v>0.0</v>
      </c>
      <c r="BT115" s="9">
        <v>0.0</v>
      </c>
      <c r="BU115" s="9">
        <v>0.0</v>
      </c>
      <c r="BV115" s="9">
        <v>0.0</v>
      </c>
      <c r="BW115" s="31" t="s">
        <v>94</v>
      </c>
      <c r="BX115" s="9" t="s">
        <v>84</v>
      </c>
      <c r="BY115" s="9">
        <v>0.0</v>
      </c>
      <c r="BZ115" s="9">
        <v>1.0</v>
      </c>
      <c r="CA115" s="9">
        <v>0.0</v>
      </c>
      <c r="CB115" s="9">
        <v>0.0</v>
      </c>
      <c r="CC115" s="15" t="s">
        <v>104</v>
      </c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57"/>
      <c r="CV115" s="57"/>
      <c r="CW115" s="57"/>
    </row>
    <row r="116" ht="18.75" customHeight="1">
      <c r="A116" s="9">
        <v>115.0</v>
      </c>
      <c r="B116" s="30">
        <v>30.0</v>
      </c>
      <c r="C116" s="31" t="s">
        <v>81</v>
      </c>
      <c r="D116" s="18" t="s">
        <v>88</v>
      </c>
      <c r="E116" s="31" t="s">
        <v>103</v>
      </c>
      <c r="F116" s="55">
        <v>170.2</v>
      </c>
      <c r="G116" s="12">
        <v>64.7</v>
      </c>
      <c r="H116" s="12">
        <f t="shared" si="1"/>
        <v>22.33495949</v>
      </c>
      <c r="I116" s="9">
        <v>0.0</v>
      </c>
      <c r="J116" s="9">
        <v>1.0</v>
      </c>
      <c r="K116" s="9">
        <v>1.0</v>
      </c>
      <c r="L116" s="9">
        <v>0.0</v>
      </c>
      <c r="M116" s="9">
        <v>67.0</v>
      </c>
      <c r="N116" s="9">
        <v>0.0</v>
      </c>
      <c r="O116" s="9">
        <v>111.0</v>
      </c>
      <c r="P116" s="9">
        <v>0.0</v>
      </c>
      <c r="Q116" s="9">
        <v>18.0</v>
      </c>
      <c r="R116" s="9">
        <v>0.0</v>
      </c>
      <c r="S116" s="12">
        <v>98.4</v>
      </c>
      <c r="T116" s="9">
        <v>0.0</v>
      </c>
      <c r="U116" s="9">
        <v>95.0</v>
      </c>
      <c r="V116" s="9">
        <v>0.0</v>
      </c>
      <c r="W116" s="9">
        <v>0.0</v>
      </c>
      <c r="X116" s="9">
        <v>0.0</v>
      </c>
      <c r="Y116" s="9">
        <v>1.0</v>
      </c>
      <c r="Z116" s="9">
        <v>0.0</v>
      </c>
      <c r="AA116" s="9">
        <v>0.0</v>
      </c>
      <c r="AB116" s="9">
        <v>0.0</v>
      </c>
      <c r="AC116" s="9">
        <v>0.0</v>
      </c>
      <c r="AD116" s="9">
        <v>0.0</v>
      </c>
      <c r="AE116" s="9">
        <v>0.0</v>
      </c>
      <c r="AF116" s="9">
        <v>0.0</v>
      </c>
      <c r="AG116" s="9">
        <v>0.0</v>
      </c>
      <c r="AH116" s="9">
        <v>0.0</v>
      </c>
      <c r="AI116" s="9">
        <v>0.0</v>
      </c>
      <c r="AJ116" s="9">
        <v>0.0</v>
      </c>
      <c r="AK116" s="9">
        <v>0.0</v>
      </c>
      <c r="AL116" s="9">
        <v>0.0</v>
      </c>
      <c r="AM116" s="9">
        <v>0.0</v>
      </c>
      <c r="AN116" s="9">
        <v>0.0</v>
      </c>
      <c r="AO116" s="9" t="s">
        <v>84</v>
      </c>
      <c r="AP116" s="9" t="s">
        <v>84</v>
      </c>
      <c r="AQ116" s="9">
        <v>0.0</v>
      </c>
      <c r="AR116" s="9">
        <v>0.0</v>
      </c>
      <c r="AS116" s="9" t="s">
        <v>84</v>
      </c>
      <c r="AT116" s="9" t="s">
        <v>84</v>
      </c>
      <c r="AU116" s="9" t="s">
        <v>84</v>
      </c>
      <c r="AV116" s="9" t="s">
        <v>84</v>
      </c>
      <c r="AW116" s="9" t="s">
        <v>84</v>
      </c>
      <c r="AX116" s="33">
        <f>2.2/4.2</f>
        <v>0.5238095238</v>
      </c>
      <c r="AY116" s="34">
        <v>0.0</v>
      </c>
      <c r="AZ116" s="30">
        <v>0.0</v>
      </c>
      <c r="BA116" s="30">
        <v>0.0</v>
      </c>
      <c r="BB116" s="33">
        <f>3.02/2.65</f>
        <v>1.139622642</v>
      </c>
      <c r="BC116" s="30">
        <v>2.0</v>
      </c>
      <c r="BD116" s="30">
        <v>0.0</v>
      </c>
      <c r="BE116" s="30">
        <v>0.0</v>
      </c>
      <c r="BF116" s="9" t="s">
        <v>84</v>
      </c>
      <c r="BG116" s="9" t="s">
        <v>84</v>
      </c>
      <c r="BH116" s="9">
        <v>0.0</v>
      </c>
      <c r="BI116" s="9">
        <v>0.0</v>
      </c>
      <c r="BJ116" s="9">
        <v>0.0</v>
      </c>
      <c r="BK116" s="9">
        <v>0.0</v>
      </c>
      <c r="BL116" s="9">
        <v>0.0</v>
      </c>
      <c r="BM116" s="9">
        <v>0.0</v>
      </c>
      <c r="BN116" s="9">
        <v>0.0</v>
      </c>
      <c r="BO116" s="9">
        <v>0.0</v>
      </c>
      <c r="BP116" s="9" t="s">
        <v>84</v>
      </c>
      <c r="BQ116" s="9" t="s">
        <v>84</v>
      </c>
      <c r="BR116" s="9">
        <v>0.0</v>
      </c>
      <c r="BS116" s="9">
        <v>0.0</v>
      </c>
      <c r="BT116" s="9">
        <v>0.0</v>
      </c>
      <c r="BU116" s="9">
        <v>0.0</v>
      </c>
      <c r="BV116" s="9">
        <v>0.0</v>
      </c>
      <c r="BW116" s="31" t="s">
        <v>94</v>
      </c>
      <c r="BX116" s="9" t="s">
        <v>94</v>
      </c>
      <c r="BY116" s="9">
        <v>0.0</v>
      </c>
      <c r="BZ116" s="9">
        <v>1.0</v>
      </c>
      <c r="CA116" s="9">
        <v>0.0</v>
      </c>
      <c r="CB116" s="9">
        <v>0.0</v>
      </c>
      <c r="CC116" s="15" t="s">
        <v>101</v>
      </c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57"/>
      <c r="CV116" s="57"/>
      <c r="CW116" s="57"/>
    </row>
    <row r="117" ht="18.75" customHeight="1">
      <c r="A117" s="9">
        <v>116.0</v>
      </c>
      <c r="B117" s="31" t="s">
        <v>195</v>
      </c>
      <c r="C117" s="31" t="s">
        <v>81</v>
      </c>
      <c r="D117" s="18" t="s">
        <v>88</v>
      </c>
      <c r="E117" s="31" t="s">
        <v>103</v>
      </c>
      <c r="F117" s="55">
        <v>182.9</v>
      </c>
      <c r="G117" s="12">
        <v>90.7</v>
      </c>
      <c r="H117" s="12">
        <f t="shared" si="1"/>
        <v>27.11314372</v>
      </c>
      <c r="I117" s="9">
        <v>0.0</v>
      </c>
      <c r="J117" s="9">
        <v>1.0</v>
      </c>
      <c r="K117" s="9">
        <v>1.0</v>
      </c>
      <c r="L117" s="9">
        <v>0.0</v>
      </c>
      <c r="M117" s="9">
        <v>77.0</v>
      </c>
      <c r="N117" s="9">
        <v>0.0</v>
      </c>
      <c r="O117" s="9">
        <v>165.0</v>
      </c>
      <c r="P117" s="9">
        <v>0.0</v>
      </c>
      <c r="Q117" s="9">
        <v>28.0</v>
      </c>
      <c r="R117" s="9">
        <v>0.0</v>
      </c>
      <c r="S117" s="12">
        <v>98.4</v>
      </c>
      <c r="T117" s="9">
        <v>0.0</v>
      </c>
      <c r="U117" s="9">
        <v>98.0</v>
      </c>
      <c r="V117" s="9">
        <v>0.0</v>
      </c>
      <c r="W117" s="9">
        <v>0.0</v>
      </c>
      <c r="X117" s="9">
        <v>0.0</v>
      </c>
      <c r="Y117" s="9">
        <v>0.0</v>
      </c>
      <c r="Z117" s="9">
        <v>0.0</v>
      </c>
      <c r="AA117" s="9">
        <v>0.0</v>
      </c>
      <c r="AB117" s="9">
        <v>0.0</v>
      </c>
      <c r="AC117" s="9">
        <v>0.0</v>
      </c>
      <c r="AD117" s="9">
        <v>0.0</v>
      </c>
      <c r="AE117" s="9">
        <v>0.0</v>
      </c>
      <c r="AF117" s="9">
        <v>0.0</v>
      </c>
      <c r="AG117" s="9">
        <v>0.0</v>
      </c>
      <c r="AH117" s="9">
        <v>0.0</v>
      </c>
      <c r="AI117" s="9">
        <v>0.0</v>
      </c>
      <c r="AJ117" s="9">
        <v>0.0</v>
      </c>
      <c r="AK117" s="9">
        <v>1.0</v>
      </c>
      <c r="AL117" s="9">
        <v>0.0</v>
      </c>
      <c r="AM117" s="9">
        <v>0.0</v>
      </c>
      <c r="AN117" s="9">
        <v>0.0</v>
      </c>
      <c r="AO117" s="9">
        <v>1.0</v>
      </c>
      <c r="AP117" s="9">
        <v>1.0</v>
      </c>
      <c r="AQ117" s="9" t="s">
        <v>84</v>
      </c>
      <c r="AR117" s="9">
        <v>0.0</v>
      </c>
      <c r="AS117" s="9">
        <v>0.0</v>
      </c>
      <c r="AT117" s="9">
        <v>0.0</v>
      </c>
      <c r="AU117" s="9">
        <v>0.0</v>
      </c>
      <c r="AV117" s="9">
        <v>0.0</v>
      </c>
      <c r="AW117" s="9">
        <v>28.8</v>
      </c>
      <c r="AX117" s="33">
        <f>3.66/4.91</f>
        <v>0.7454175153</v>
      </c>
      <c r="AY117" s="34">
        <v>0.0</v>
      </c>
      <c r="AZ117" s="30">
        <v>0.0</v>
      </c>
      <c r="BA117" s="30">
        <v>0.0</v>
      </c>
      <c r="BB117" s="33">
        <f>2.96/3.2</f>
        <v>0.925</v>
      </c>
      <c r="BC117" s="30">
        <v>2.0</v>
      </c>
      <c r="BD117" s="30">
        <v>0.0</v>
      </c>
      <c r="BE117" s="30">
        <v>0.0</v>
      </c>
      <c r="BF117" s="9">
        <v>0.0</v>
      </c>
      <c r="BG117" s="9" t="s">
        <v>84</v>
      </c>
      <c r="BH117" s="9">
        <v>0.0</v>
      </c>
      <c r="BI117" s="9">
        <v>0.0</v>
      </c>
      <c r="BJ117" s="9">
        <v>0.0</v>
      </c>
      <c r="BK117" s="9">
        <v>0.0</v>
      </c>
      <c r="BL117" s="9">
        <v>0.0</v>
      </c>
      <c r="BM117" s="9">
        <v>0.0</v>
      </c>
      <c r="BN117" s="9">
        <v>0.0</v>
      </c>
      <c r="BO117" s="9">
        <v>0.0</v>
      </c>
      <c r="BP117" s="9" t="s">
        <v>84</v>
      </c>
      <c r="BQ117" s="9" t="s">
        <v>84</v>
      </c>
      <c r="BR117" s="9">
        <v>0.0</v>
      </c>
      <c r="BS117" s="9">
        <v>0.0</v>
      </c>
      <c r="BT117" s="9">
        <v>0.0</v>
      </c>
      <c r="BU117" s="9">
        <v>0.0</v>
      </c>
      <c r="BV117" s="9">
        <v>0.0</v>
      </c>
      <c r="BW117" s="31" t="s">
        <v>94</v>
      </c>
      <c r="BX117" s="9" t="s">
        <v>94</v>
      </c>
      <c r="BY117" s="9">
        <v>0.0</v>
      </c>
      <c r="BZ117" s="9">
        <v>0.0</v>
      </c>
      <c r="CA117" s="9">
        <v>0.0</v>
      </c>
      <c r="CB117" s="9">
        <v>0.0</v>
      </c>
      <c r="CC117" s="15" t="s">
        <v>92</v>
      </c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57"/>
      <c r="CV117" s="57"/>
      <c r="CW117" s="57"/>
    </row>
    <row r="118" ht="18.75" customHeight="1">
      <c r="A118" s="9">
        <v>117.0</v>
      </c>
      <c r="B118" s="30">
        <v>35.0</v>
      </c>
      <c r="C118" s="31" t="s">
        <v>81</v>
      </c>
      <c r="D118" s="18" t="s">
        <v>82</v>
      </c>
      <c r="E118" s="31" t="s">
        <v>103</v>
      </c>
      <c r="F118" s="55">
        <v>188.0</v>
      </c>
      <c r="G118" s="12">
        <v>152.0</v>
      </c>
      <c r="H118" s="12">
        <f t="shared" si="1"/>
        <v>43.00588502</v>
      </c>
      <c r="I118" s="9">
        <v>0.0</v>
      </c>
      <c r="J118" s="9">
        <v>1.0</v>
      </c>
      <c r="K118" s="9">
        <v>2.0</v>
      </c>
      <c r="L118" s="9">
        <v>0.0</v>
      </c>
      <c r="M118" s="9">
        <v>101.0</v>
      </c>
      <c r="N118" s="9">
        <v>0.0</v>
      </c>
      <c r="O118" s="9">
        <v>153.0</v>
      </c>
      <c r="P118" s="9">
        <v>0.0</v>
      </c>
      <c r="Q118" s="9">
        <v>19.0</v>
      </c>
      <c r="R118" s="9">
        <v>0.0</v>
      </c>
      <c r="S118" s="12">
        <v>98.0</v>
      </c>
      <c r="T118" s="9">
        <v>0.0</v>
      </c>
      <c r="U118" s="9">
        <v>93.0</v>
      </c>
      <c r="V118" s="9">
        <v>0.0</v>
      </c>
      <c r="W118" s="9">
        <v>0.0</v>
      </c>
      <c r="X118" s="9">
        <v>0.0</v>
      </c>
      <c r="Y118" s="9">
        <v>0.0</v>
      </c>
      <c r="Z118" s="9">
        <v>0.0</v>
      </c>
      <c r="AA118" s="9">
        <v>0.0</v>
      </c>
      <c r="AB118" s="9">
        <v>0.0</v>
      </c>
      <c r="AC118" s="9">
        <v>0.0</v>
      </c>
      <c r="AD118" s="9">
        <v>0.0</v>
      </c>
      <c r="AE118" s="9">
        <v>0.0</v>
      </c>
      <c r="AF118" s="9">
        <v>0.0</v>
      </c>
      <c r="AG118" s="9">
        <v>0.0</v>
      </c>
      <c r="AH118" s="9">
        <v>0.0</v>
      </c>
      <c r="AI118" s="9">
        <v>0.0</v>
      </c>
      <c r="AJ118" s="9">
        <v>0.0</v>
      </c>
      <c r="AK118" s="9">
        <v>0.0</v>
      </c>
      <c r="AL118" s="9">
        <v>0.0</v>
      </c>
      <c r="AM118" s="9">
        <v>0.0</v>
      </c>
      <c r="AN118" s="9">
        <v>0.0</v>
      </c>
      <c r="AO118" s="9">
        <v>0.0</v>
      </c>
      <c r="AP118" s="9" t="s">
        <v>84</v>
      </c>
      <c r="AQ118" s="9">
        <v>0.0</v>
      </c>
      <c r="AR118" s="9">
        <v>1.0</v>
      </c>
      <c r="AS118" s="9">
        <v>1.0</v>
      </c>
      <c r="AT118" s="9">
        <v>1.0</v>
      </c>
      <c r="AU118" s="9">
        <v>1.0</v>
      </c>
      <c r="AV118" s="9">
        <v>0.0</v>
      </c>
      <c r="AW118" s="9" t="s">
        <v>97</v>
      </c>
      <c r="AX118" s="33">
        <f>5.42/4.85</f>
        <v>1.117525773</v>
      </c>
      <c r="AY118" s="34">
        <v>0.0</v>
      </c>
      <c r="AZ118" s="30">
        <v>0.0</v>
      </c>
      <c r="BA118" s="30">
        <v>1.0</v>
      </c>
      <c r="BB118" s="33">
        <f>3.25/3.69</f>
        <v>0.8807588076</v>
      </c>
      <c r="BC118" s="30">
        <v>2.0</v>
      </c>
      <c r="BD118" s="30">
        <v>1.0</v>
      </c>
      <c r="BE118" s="30">
        <v>1.0</v>
      </c>
      <c r="BF118" s="9">
        <v>0.0</v>
      </c>
      <c r="BG118" s="9" t="s">
        <v>84</v>
      </c>
      <c r="BH118" s="9">
        <v>0.0</v>
      </c>
      <c r="BI118" s="9">
        <v>0.0</v>
      </c>
      <c r="BJ118" s="9">
        <v>0.0</v>
      </c>
      <c r="BK118" s="9">
        <v>0.0</v>
      </c>
      <c r="BL118" s="9">
        <v>0.0</v>
      </c>
      <c r="BM118" s="9">
        <v>0.0</v>
      </c>
      <c r="BN118" s="9">
        <v>0.0</v>
      </c>
      <c r="BO118" s="9">
        <v>0.0</v>
      </c>
      <c r="BP118" s="9" t="s">
        <v>84</v>
      </c>
      <c r="BQ118" s="9" t="s">
        <v>84</v>
      </c>
      <c r="BR118" s="9">
        <v>0.0</v>
      </c>
      <c r="BS118" s="9">
        <v>0.0</v>
      </c>
      <c r="BT118" s="9">
        <v>0.0</v>
      </c>
      <c r="BU118" s="9">
        <v>0.0</v>
      </c>
      <c r="BV118" s="9">
        <v>0.0</v>
      </c>
      <c r="BW118" s="30">
        <v>0.0</v>
      </c>
      <c r="BX118" s="9">
        <v>0.0</v>
      </c>
      <c r="BY118" s="9">
        <v>0.0</v>
      </c>
      <c r="BZ118" s="9">
        <v>0.0</v>
      </c>
      <c r="CA118" s="9">
        <v>0.0</v>
      </c>
      <c r="CB118" s="9">
        <v>0.0</v>
      </c>
      <c r="CC118" s="15" t="s">
        <v>101</v>
      </c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57"/>
      <c r="CV118" s="57"/>
      <c r="CW118" s="57"/>
    </row>
    <row r="119" ht="18.75" customHeight="1">
      <c r="A119" s="9">
        <v>118.0</v>
      </c>
      <c r="B119" s="30">
        <v>71.0</v>
      </c>
      <c r="C119" s="31" t="s">
        <v>81</v>
      </c>
      <c r="D119" s="18" t="s">
        <v>82</v>
      </c>
      <c r="E119" s="31" t="s">
        <v>90</v>
      </c>
      <c r="F119" s="55">
        <v>185.4</v>
      </c>
      <c r="G119" s="32">
        <v>93.4</v>
      </c>
      <c r="H119" s="12">
        <f t="shared" si="1"/>
        <v>27.17236355</v>
      </c>
      <c r="I119" s="9">
        <v>0.0</v>
      </c>
      <c r="J119" s="9">
        <v>2.0</v>
      </c>
      <c r="K119" s="9">
        <v>1.0</v>
      </c>
      <c r="L119" s="9">
        <v>0.0</v>
      </c>
      <c r="M119" s="9">
        <v>80.0</v>
      </c>
      <c r="N119" s="9">
        <v>0.0</v>
      </c>
      <c r="O119" s="9">
        <v>169.0</v>
      </c>
      <c r="P119" s="9">
        <v>0.0</v>
      </c>
      <c r="Q119" s="9">
        <v>20.0</v>
      </c>
      <c r="R119" s="9">
        <v>0.0</v>
      </c>
      <c r="S119" s="12">
        <v>98.7</v>
      </c>
      <c r="T119" s="9">
        <v>0.0</v>
      </c>
      <c r="U119" s="9">
        <v>100.0</v>
      </c>
      <c r="V119" s="9">
        <v>0.0</v>
      </c>
      <c r="W119" s="9">
        <v>0.0</v>
      </c>
      <c r="X119" s="9">
        <v>0.0</v>
      </c>
      <c r="Y119" s="9">
        <v>0.0</v>
      </c>
      <c r="Z119" s="9">
        <v>0.0</v>
      </c>
      <c r="AA119" s="9">
        <v>0.0</v>
      </c>
      <c r="AB119" s="9">
        <v>0.0</v>
      </c>
      <c r="AC119" s="9">
        <v>0.0</v>
      </c>
      <c r="AD119" s="9">
        <v>0.0</v>
      </c>
      <c r="AE119" s="9">
        <v>0.0</v>
      </c>
      <c r="AF119" s="9">
        <v>0.0</v>
      </c>
      <c r="AG119" s="9">
        <v>0.0</v>
      </c>
      <c r="AH119" s="9">
        <v>0.0</v>
      </c>
      <c r="AI119" s="9">
        <v>0.0</v>
      </c>
      <c r="AJ119" s="9">
        <v>0.0</v>
      </c>
      <c r="AK119" s="9">
        <v>1.0</v>
      </c>
      <c r="AL119" s="9">
        <v>0.0</v>
      </c>
      <c r="AM119" s="9">
        <v>0.0</v>
      </c>
      <c r="AN119" s="9">
        <v>0.0</v>
      </c>
      <c r="AO119" s="9">
        <v>1.0</v>
      </c>
      <c r="AP119" s="9">
        <v>1.0</v>
      </c>
      <c r="AQ119" s="9">
        <v>0.0</v>
      </c>
      <c r="AR119" s="9">
        <v>0.0</v>
      </c>
      <c r="AS119" s="19">
        <v>0.0</v>
      </c>
      <c r="AT119" s="19">
        <v>0.0</v>
      </c>
      <c r="AU119" s="19">
        <v>0.0</v>
      </c>
      <c r="AV119" s="19">
        <v>0.0</v>
      </c>
      <c r="AW119" s="9">
        <v>30.1</v>
      </c>
      <c r="AX119" s="33">
        <f>5.12/4.6</f>
        <v>1.113043478</v>
      </c>
      <c r="AY119" s="34">
        <v>0.0</v>
      </c>
      <c r="AZ119" s="30">
        <v>0.0</v>
      </c>
      <c r="BA119" s="30">
        <v>1.0</v>
      </c>
      <c r="BB119" s="33">
        <f>3.34/3.72</f>
        <v>0.8978494624</v>
      </c>
      <c r="BC119" s="30">
        <v>2.0</v>
      </c>
      <c r="BD119" s="30">
        <v>0.0</v>
      </c>
      <c r="BE119" s="30">
        <v>0.0</v>
      </c>
      <c r="BF119" s="9">
        <v>0.0</v>
      </c>
      <c r="BG119" s="9" t="s">
        <v>84</v>
      </c>
      <c r="BH119" s="9">
        <v>1.0</v>
      </c>
      <c r="BI119" s="9">
        <v>0.0</v>
      </c>
      <c r="BJ119" s="9">
        <v>0.0</v>
      </c>
      <c r="BK119" s="9">
        <v>0.0</v>
      </c>
      <c r="BL119" s="9">
        <v>0.0</v>
      </c>
      <c r="BM119" s="9">
        <v>0.0</v>
      </c>
      <c r="BN119" s="9">
        <v>0.0</v>
      </c>
      <c r="BO119" s="9">
        <v>1.0</v>
      </c>
      <c r="BP119" s="9">
        <v>0.0</v>
      </c>
      <c r="BQ119" s="9">
        <v>1.0</v>
      </c>
      <c r="BR119" s="9">
        <v>0.0</v>
      </c>
      <c r="BS119" s="9">
        <v>0.0</v>
      </c>
      <c r="BT119" s="9">
        <v>0.0</v>
      </c>
      <c r="BU119" s="9" t="s">
        <v>91</v>
      </c>
      <c r="BV119" s="9">
        <v>0.0</v>
      </c>
      <c r="BW119" s="30">
        <v>0.0</v>
      </c>
      <c r="BX119" s="9">
        <v>0.0</v>
      </c>
      <c r="BY119" s="9">
        <v>0.0</v>
      </c>
      <c r="BZ119" s="9">
        <v>1.0</v>
      </c>
      <c r="CA119" s="9">
        <v>0.0</v>
      </c>
      <c r="CB119" s="9">
        <v>0.0</v>
      </c>
      <c r="CC119" s="15" t="s">
        <v>92</v>
      </c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57"/>
      <c r="CV119" s="57"/>
      <c r="CW119" s="57"/>
    </row>
    <row r="120" ht="18.75" customHeight="1">
      <c r="A120" s="9">
        <v>119.0</v>
      </c>
      <c r="B120" s="30">
        <v>64.0</v>
      </c>
      <c r="C120" s="31" t="s">
        <v>81</v>
      </c>
      <c r="D120" s="18" t="s">
        <v>88</v>
      </c>
      <c r="E120" s="31" t="s">
        <v>83</v>
      </c>
      <c r="F120" s="55">
        <v>193.0</v>
      </c>
      <c r="G120" s="32">
        <v>99.8</v>
      </c>
      <c r="H120" s="12">
        <f t="shared" si="1"/>
        <v>26.79266557</v>
      </c>
      <c r="I120" s="9">
        <v>1.0</v>
      </c>
      <c r="J120" s="9">
        <v>2.0</v>
      </c>
      <c r="K120" s="9">
        <v>1.0</v>
      </c>
      <c r="L120" s="9">
        <v>0.0</v>
      </c>
      <c r="M120" s="9">
        <v>77.0</v>
      </c>
      <c r="N120" s="9">
        <v>0.0</v>
      </c>
      <c r="O120" s="9">
        <v>140.0</v>
      </c>
      <c r="P120" s="9">
        <v>0.0</v>
      </c>
      <c r="Q120" s="9">
        <v>16.0</v>
      </c>
      <c r="R120" s="9">
        <v>0.0</v>
      </c>
      <c r="S120" s="12">
        <v>98.5</v>
      </c>
      <c r="T120" s="9">
        <v>0.0</v>
      </c>
      <c r="U120" s="9">
        <v>91.0</v>
      </c>
      <c r="V120" s="9">
        <v>1.0</v>
      </c>
      <c r="W120" s="9">
        <v>0.0</v>
      </c>
      <c r="X120" s="9">
        <v>0.0</v>
      </c>
      <c r="Y120" s="9">
        <v>0.0</v>
      </c>
      <c r="Z120" s="9">
        <v>0.0</v>
      </c>
      <c r="AA120" s="9">
        <v>0.0</v>
      </c>
      <c r="AB120" s="9">
        <v>0.0</v>
      </c>
      <c r="AC120" s="9">
        <v>1.0</v>
      </c>
      <c r="AD120" s="9">
        <v>0.0</v>
      </c>
      <c r="AE120" s="9">
        <v>0.0</v>
      </c>
      <c r="AF120" s="9">
        <v>0.0</v>
      </c>
      <c r="AG120" s="9">
        <v>0.0</v>
      </c>
      <c r="AH120" s="9">
        <v>1.0</v>
      </c>
      <c r="AI120" s="9">
        <v>0.0</v>
      </c>
      <c r="AJ120" s="9">
        <v>0.0</v>
      </c>
      <c r="AK120" s="9">
        <v>0.0</v>
      </c>
      <c r="AL120" s="9">
        <v>0.0</v>
      </c>
      <c r="AM120" s="9">
        <v>0.0</v>
      </c>
      <c r="AN120" s="9">
        <v>0.0</v>
      </c>
      <c r="AO120" s="9">
        <v>0.0</v>
      </c>
      <c r="AP120" s="9" t="s">
        <v>84</v>
      </c>
      <c r="AQ120" s="9">
        <v>0.0</v>
      </c>
      <c r="AR120" s="9">
        <v>0.0</v>
      </c>
      <c r="AS120" s="9">
        <v>0.0</v>
      </c>
      <c r="AT120" s="9">
        <v>0.0</v>
      </c>
      <c r="AU120" s="9">
        <v>0.0</v>
      </c>
      <c r="AV120" s="9">
        <v>0.0</v>
      </c>
      <c r="AW120" s="9">
        <v>41.0</v>
      </c>
      <c r="AX120" s="33">
        <f>4.54/4.7</f>
        <v>0.9659574468</v>
      </c>
      <c r="AY120" s="34">
        <v>0.0</v>
      </c>
      <c r="AZ120" s="30">
        <v>0.0</v>
      </c>
      <c r="BA120" s="30">
        <v>1.0</v>
      </c>
      <c r="BB120" s="33">
        <f>2.29/4.4</f>
        <v>0.5204545455</v>
      </c>
      <c r="BC120" s="30">
        <v>2.0</v>
      </c>
      <c r="BD120" s="30">
        <v>0.0</v>
      </c>
      <c r="BE120" s="30">
        <v>0.0</v>
      </c>
      <c r="BF120" s="9">
        <v>0.0</v>
      </c>
      <c r="BG120" s="9" t="s">
        <v>84</v>
      </c>
      <c r="BH120" s="9">
        <v>0.0</v>
      </c>
      <c r="BI120" s="9">
        <v>0.0</v>
      </c>
      <c r="BJ120" s="9">
        <v>0.0</v>
      </c>
      <c r="BK120" s="9">
        <v>0.0</v>
      </c>
      <c r="BL120" s="9">
        <v>0.0</v>
      </c>
      <c r="BM120" s="9">
        <v>0.0</v>
      </c>
      <c r="BN120" s="9">
        <v>0.0</v>
      </c>
      <c r="BO120" s="9">
        <v>0.0</v>
      </c>
      <c r="BP120" s="9" t="s">
        <v>84</v>
      </c>
      <c r="BQ120" s="9" t="s">
        <v>84</v>
      </c>
      <c r="BR120" s="9">
        <v>0.0</v>
      </c>
      <c r="BS120" s="9">
        <v>0.0</v>
      </c>
      <c r="BT120" s="9">
        <v>0.0</v>
      </c>
      <c r="BU120" s="9">
        <v>0.0</v>
      </c>
      <c r="BV120" s="9">
        <v>0.0</v>
      </c>
      <c r="BW120" s="31" t="s">
        <v>94</v>
      </c>
      <c r="BX120" s="9" t="s">
        <v>94</v>
      </c>
      <c r="BY120" s="9">
        <v>0.0</v>
      </c>
      <c r="BZ120" s="9">
        <v>1.0</v>
      </c>
      <c r="CA120" s="9">
        <v>0.0</v>
      </c>
      <c r="CB120" s="9">
        <v>0.0</v>
      </c>
      <c r="CC120" s="15" t="s">
        <v>85</v>
      </c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57"/>
      <c r="CV120" s="57"/>
      <c r="CW120" s="57"/>
    </row>
    <row r="121" ht="18.75" customHeight="1">
      <c r="A121" s="9">
        <v>120.0</v>
      </c>
      <c r="B121" s="30">
        <v>20.0</v>
      </c>
      <c r="C121" s="31" t="s">
        <v>86</v>
      </c>
      <c r="D121" s="18" t="s">
        <v>88</v>
      </c>
      <c r="E121" s="31" t="s">
        <v>109</v>
      </c>
      <c r="F121" s="55">
        <v>157.5</v>
      </c>
      <c r="G121" s="32">
        <v>81.6</v>
      </c>
      <c r="H121" s="12">
        <f t="shared" si="1"/>
        <v>32.89493575</v>
      </c>
      <c r="I121" s="9">
        <v>1.0</v>
      </c>
      <c r="J121" s="9">
        <v>3.0</v>
      </c>
      <c r="K121" s="9">
        <v>3.0</v>
      </c>
      <c r="L121" s="9">
        <v>1.0</v>
      </c>
      <c r="M121" s="9">
        <v>139.0</v>
      </c>
      <c r="N121" s="9">
        <v>0.0</v>
      </c>
      <c r="O121" s="9">
        <v>118.0</v>
      </c>
      <c r="P121" s="9" t="s">
        <v>84</v>
      </c>
      <c r="Q121" s="9" t="s">
        <v>84</v>
      </c>
      <c r="R121" s="9" t="s">
        <v>84</v>
      </c>
      <c r="S121" s="12" t="s">
        <v>84</v>
      </c>
      <c r="T121" s="9">
        <v>0.0</v>
      </c>
      <c r="U121" s="9">
        <v>97.0</v>
      </c>
      <c r="V121" s="9">
        <v>0.0</v>
      </c>
      <c r="W121" s="9">
        <v>0.0</v>
      </c>
      <c r="X121" s="9">
        <v>1.0</v>
      </c>
      <c r="Y121" s="9">
        <v>0.0</v>
      </c>
      <c r="Z121" s="9">
        <v>0.0</v>
      </c>
      <c r="AA121" s="9">
        <v>0.0</v>
      </c>
      <c r="AB121" s="9">
        <v>0.0</v>
      </c>
      <c r="AC121" s="9">
        <v>0.0</v>
      </c>
      <c r="AD121" s="9">
        <v>0.0</v>
      </c>
      <c r="AE121" s="9">
        <v>0.0</v>
      </c>
      <c r="AF121" s="9">
        <v>0.0</v>
      </c>
      <c r="AG121" s="9">
        <v>0.0</v>
      </c>
      <c r="AH121" s="9">
        <v>0.0</v>
      </c>
      <c r="AI121" s="9">
        <v>0.0</v>
      </c>
      <c r="AJ121" s="9">
        <v>0.0</v>
      </c>
      <c r="AK121" s="9">
        <v>0.0</v>
      </c>
      <c r="AL121" s="9">
        <v>0.0</v>
      </c>
      <c r="AM121" s="9">
        <v>0.0</v>
      </c>
      <c r="AN121" s="9">
        <v>1.0</v>
      </c>
      <c r="AO121" s="9" t="s">
        <v>84</v>
      </c>
      <c r="AP121" s="9" t="s">
        <v>84</v>
      </c>
      <c r="AQ121" s="9" t="s">
        <v>84</v>
      </c>
      <c r="AR121" s="9">
        <v>1.0</v>
      </c>
      <c r="AS121" s="9" t="s">
        <v>84</v>
      </c>
      <c r="AT121" s="9" t="s">
        <v>84</v>
      </c>
      <c r="AU121" s="9" t="s">
        <v>84</v>
      </c>
      <c r="AV121" s="9" t="s">
        <v>84</v>
      </c>
      <c r="AW121" s="9" t="s">
        <v>97</v>
      </c>
      <c r="AX121" s="33">
        <f>4.72/3.52</f>
        <v>1.340909091</v>
      </c>
      <c r="AY121" s="34">
        <v>0.0</v>
      </c>
      <c r="AZ121" s="30">
        <v>0.0</v>
      </c>
      <c r="BA121" s="30">
        <v>1.0</v>
      </c>
      <c r="BB121" s="33">
        <f>2.31/2.8</f>
        <v>0.825</v>
      </c>
      <c r="BC121" s="30">
        <v>3.0</v>
      </c>
      <c r="BD121" s="30">
        <v>1.0</v>
      </c>
      <c r="BE121" s="30">
        <v>0.0</v>
      </c>
      <c r="BF121" s="9">
        <v>1.0</v>
      </c>
      <c r="BG121" s="15" t="s">
        <v>196</v>
      </c>
      <c r="BH121" s="9">
        <v>1.0</v>
      </c>
      <c r="BI121" s="9">
        <v>0.0</v>
      </c>
      <c r="BJ121" s="9">
        <v>1.0</v>
      </c>
      <c r="BK121" s="9">
        <v>1.0</v>
      </c>
      <c r="BL121" s="9">
        <v>0.0</v>
      </c>
      <c r="BM121" s="9">
        <v>1.0</v>
      </c>
      <c r="BN121" s="9">
        <v>1.0</v>
      </c>
      <c r="BO121" s="9">
        <v>0.0</v>
      </c>
      <c r="BP121" s="9">
        <v>1.0</v>
      </c>
      <c r="BQ121" s="9">
        <v>1.0</v>
      </c>
      <c r="BR121" s="9">
        <v>0.0</v>
      </c>
      <c r="BS121" s="9">
        <v>0.0</v>
      </c>
      <c r="BT121" s="9">
        <v>0.0</v>
      </c>
      <c r="BU121" s="9">
        <v>0.0</v>
      </c>
      <c r="BV121" s="9">
        <v>1.0</v>
      </c>
      <c r="BW121" s="31" t="s">
        <v>84</v>
      </c>
      <c r="BX121" s="9" t="s">
        <v>84</v>
      </c>
      <c r="BY121" s="9" t="s">
        <v>84</v>
      </c>
      <c r="BZ121" s="9" t="s">
        <v>84</v>
      </c>
      <c r="CA121" s="9">
        <v>0.0</v>
      </c>
      <c r="CB121" s="9" t="s">
        <v>84</v>
      </c>
      <c r="CC121" s="15" t="s">
        <v>188</v>
      </c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57"/>
      <c r="CV121" s="57"/>
      <c r="CW121" s="57"/>
    </row>
    <row r="122" ht="18.75" customHeight="1">
      <c r="A122" s="9">
        <v>121.0</v>
      </c>
      <c r="B122" s="30">
        <v>81.0</v>
      </c>
      <c r="C122" s="31" t="s">
        <v>81</v>
      </c>
      <c r="D122" s="18" t="s">
        <v>82</v>
      </c>
      <c r="E122" s="31" t="s">
        <v>99</v>
      </c>
      <c r="F122" s="55">
        <v>190.5</v>
      </c>
      <c r="G122" s="32">
        <v>102.1</v>
      </c>
      <c r="H122" s="12">
        <f t="shared" si="1"/>
        <v>28.13427849</v>
      </c>
      <c r="I122" s="9">
        <v>1.0</v>
      </c>
      <c r="J122" s="9">
        <v>5.0</v>
      </c>
      <c r="K122" s="9">
        <v>2.0</v>
      </c>
      <c r="L122" s="9">
        <v>0.0</v>
      </c>
      <c r="M122" s="9">
        <v>74.0</v>
      </c>
      <c r="N122" s="9">
        <v>0.0</v>
      </c>
      <c r="O122" s="9">
        <v>136.0</v>
      </c>
      <c r="P122" s="9">
        <v>0.0</v>
      </c>
      <c r="Q122" s="9">
        <v>22.0</v>
      </c>
      <c r="R122" s="9">
        <v>0.0</v>
      </c>
      <c r="S122" s="12">
        <v>98.0</v>
      </c>
      <c r="T122" s="9">
        <v>1.0</v>
      </c>
      <c r="U122" s="9" t="s">
        <v>84</v>
      </c>
      <c r="V122" s="9">
        <v>1.0</v>
      </c>
      <c r="W122" s="9">
        <v>0.0</v>
      </c>
      <c r="X122" s="9">
        <v>0.0</v>
      </c>
      <c r="Y122" s="9">
        <v>0.0</v>
      </c>
      <c r="Z122" s="9">
        <v>0.0</v>
      </c>
      <c r="AA122" s="9">
        <v>0.0</v>
      </c>
      <c r="AB122" s="9">
        <v>1.0</v>
      </c>
      <c r="AC122" s="9">
        <v>1.0</v>
      </c>
      <c r="AD122" s="9">
        <v>1.0</v>
      </c>
      <c r="AE122" s="9">
        <v>0.0</v>
      </c>
      <c r="AF122" s="9">
        <v>0.0</v>
      </c>
      <c r="AG122" s="9">
        <v>0.0</v>
      </c>
      <c r="AH122" s="9">
        <v>0.0</v>
      </c>
      <c r="AI122" s="9">
        <v>0.0</v>
      </c>
      <c r="AJ122" s="9">
        <v>0.0</v>
      </c>
      <c r="AK122" s="9">
        <v>0.0</v>
      </c>
      <c r="AL122" s="9">
        <v>0.0</v>
      </c>
      <c r="AM122" s="9">
        <v>0.0</v>
      </c>
      <c r="AN122" s="9">
        <v>0.0</v>
      </c>
      <c r="AO122" s="9">
        <v>1.0</v>
      </c>
      <c r="AP122" s="9">
        <v>1.0</v>
      </c>
      <c r="AQ122" s="9">
        <v>1.0</v>
      </c>
      <c r="AR122" s="9">
        <v>1.0</v>
      </c>
      <c r="AS122" s="9">
        <v>1.0</v>
      </c>
      <c r="AT122" s="9">
        <v>1.0</v>
      </c>
      <c r="AU122" s="9">
        <v>1.0</v>
      </c>
      <c r="AV122" s="9">
        <v>0.0</v>
      </c>
      <c r="AW122" s="9">
        <v>87.0</v>
      </c>
      <c r="AX122" s="33">
        <f>4.97/4.07</f>
        <v>1.221130221</v>
      </c>
      <c r="AY122" s="34">
        <v>0.0</v>
      </c>
      <c r="AZ122" s="30">
        <v>0.0</v>
      </c>
      <c r="BA122" s="30">
        <v>1.0</v>
      </c>
      <c r="BB122" s="33">
        <f>3.87/3.76</f>
        <v>1.029255319</v>
      </c>
      <c r="BC122" s="30">
        <v>2.0</v>
      </c>
      <c r="BD122" s="30">
        <v>1.0</v>
      </c>
      <c r="BE122" s="30">
        <v>1.0</v>
      </c>
      <c r="BF122" s="9">
        <v>0.0</v>
      </c>
      <c r="BG122" s="9" t="s">
        <v>84</v>
      </c>
      <c r="BH122" s="9">
        <v>1.0</v>
      </c>
      <c r="BI122" s="9">
        <v>0.0</v>
      </c>
      <c r="BJ122" s="9">
        <v>0.0</v>
      </c>
      <c r="BK122" s="9">
        <v>0.0</v>
      </c>
      <c r="BL122" s="9">
        <v>0.0</v>
      </c>
      <c r="BM122" s="9">
        <v>0.0</v>
      </c>
      <c r="BN122" s="9">
        <v>0.0</v>
      </c>
      <c r="BO122" s="9">
        <v>1.0</v>
      </c>
      <c r="BP122" s="9">
        <v>0.0</v>
      </c>
      <c r="BQ122" s="9">
        <v>1.0</v>
      </c>
      <c r="BR122" s="9">
        <v>0.0</v>
      </c>
      <c r="BS122" s="9">
        <v>0.0</v>
      </c>
      <c r="BT122" s="9">
        <v>0.0</v>
      </c>
      <c r="BU122" s="9">
        <v>0.0</v>
      </c>
      <c r="BV122" s="9">
        <v>0.0</v>
      </c>
      <c r="BW122" s="30">
        <v>0.0</v>
      </c>
      <c r="BX122" s="9">
        <v>0.0</v>
      </c>
      <c r="BY122" s="9">
        <v>1.0</v>
      </c>
      <c r="BZ122" s="9">
        <v>0.0</v>
      </c>
      <c r="CA122" s="9">
        <v>0.0</v>
      </c>
      <c r="CB122" s="9">
        <v>0.0</v>
      </c>
      <c r="CC122" s="15" t="s">
        <v>101</v>
      </c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57"/>
      <c r="CV122" s="57"/>
      <c r="CW122" s="57"/>
    </row>
    <row r="123" ht="18.75" customHeight="1">
      <c r="A123" s="9">
        <v>122.0</v>
      </c>
      <c r="B123" s="30">
        <v>50.0</v>
      </c>
      <c r="C123" s="31" t="s">
        <v>81</v>
      </c>
      <c r="D123" s="18" t="s">
        <v>197</v>
      </c>
      <c r="E123" s="31" t="s">
        <v>90</v>
      </c>
      <c r="F123" s="55">
        <v>195.6</v>
      </c>
      <c r="G123" s="32">
        <v>179.0</v>
      </c>
      <c r="H123" s="12">
        <f t="shared" si="1"/>
        <v>46.78593683</v>
      </c>
      <c r="I123" s="9">
        <v>0.0</v>
      </c>
      <c r="J123" s="9">
        <v>1.0</v>
      </c>
      <c r="K123" s="9">
        <v>1.0</v>
      </c>
      <c r="L123" s="9">
        <v>0.0</v>
      </c>
      <c r="M123" s="9">
        <v>66.0</v>
      </c>
      <c r="N123" s="9">
        <v>0.0</v>
      </c>
      <c r="O123" s="9">
        <v>198.0</v>
      </c>
      <c r="P123" s="9">
        <v>0.0</v>
      </c>
      <c r="Q123" s="9">
        <v>22.0</v>
      </c>
      <c r="R123" s="9">
        <v>0.0</v>
      </c>
      <c r="S123" s="12">
        <v>97.7</v>
      </c>
      <c r="T123" s="9">
        <v>0.0</v>
      </c>
      <c r="U123" s="9">
        <v>96.0</v>
      </c>
      <c r="V123" s="9">
        <v>0.0</v>
      </c>
      <c r="W123" s="9">
        <v>0.0</v>
      </c>
      <c r="X123" s="9">
        <v>0.0</v>
      </c>
      <c r="Y123" s="9">
        <v>0.0</v>
      </c>
      <c r="Z123" s="9">
        <v>0.0</v>
      </c>
      <c r="AA123" s="9">
        <v>0.0</v>
      </c>
      <c r="AB123" s="9">
        <v>0.0</v>
      </c>
      <c r="AC123" s="9">
        <v>0.0</v>
      </c>
      <c r="AD123" s="9">
        <v>0.0</v>
      </c>
      <c r="AE123" s="9">
        <v>0.0</v>
      </c>
      <c r="AF123" s="9">
        <v>0.0</v>
      </c>
      <c r="AG123" s="9">
        <v>0.0</v>
      </c>
      <c r="AH123" s="9">
        <v>1.0</v>
      </c>
      <c r="AI123" s="9">
        <v>0.0</v>
      </c>
      <c r="AJ123" s="9">
        <v>0.0</v>
      </c>
      <c r="AK123" s="9">
        <v>0.0</v>
      </c>
      <c r="AL123" s="9">
        <v>0.0</v>
      </c>
      <c r="AM123" s="9">
        <v>0.0</v>
      </c>
      <c r="AN123" s="9">
        <v>0.0</v>
      </c>
      <c r="AO123" s="9">
        <v>0.0</v>
      </c>
      <c r="AP123" s="9" t="s">
        <v>84</v>
      </c>
      <c r="AQ123" s="9">
        <v>0.0</v>
      </c>
      <c r="AR123" s="9">
        <v>0.0</v>
      </c>
      <c r="AS123" s="9">
        <v>0.0</v>
      </c>
      <c r="AT123" s="9">
        <v>0.0</v>
      </c>
      <c r="AU123" s="9">
        <v>0.0</v>
      </c>
      <c r="AV123" s="9">
        <v>1.0</v>
      </c>
      <c r="AW123" s="9" t="s">
        <v>97</v>
      </c>
      <c r="AX123" s="33">
        <f>4.3/5.13</f>
        <v>0.8382066277</v>
      </c>
      <c r="AY123" s="34">
        <v>0.0</v>
      </c>
      <c r="AZ123" s="30">
        <v>0.0</v>
      </c>
      <c r="BA123" s="30">
        <v>0.0</v>
      </c>
      <c r="BB123" s="33">
        <f>3.06/3.53</f>
        <v>0.8668555241</v>
      </c>
      <c r="BC123" s="30">
        <v>3.0</v>
      </c>
      <c r="BD123" s="30">
        <v>0.0</v>
      </c>
      <c r="BE123" s="30">
        <v>1.0</v>
      </c>
      <c r="BF123" s="9">
        <v>0.0</v>
      </c>
      <c r="BG123" s="9" t="s">
        <v>84</v>
      </c>
      <c r="BH123" s="9">
        <v>0.0</v>
      </c>
      <c r="BI123" s="9">
        <v>0.0</v>
      </c>
      <c r="BJ123" s="9">
        <v>0.0</v>
      </c>
      <c r="BK123" s="9">
        <v>0.0</v>
      </c>
      <c r="BL123" s="9">
        <v>0.0</v>
      </c>
      <c r="BM123" s="9">
        <v>0.0</v>
      </c>
      <c r="BN123" s="9">
        <v>0.0</v>
      </c>
      <c r="BO123" s="9">
        <v>0.0</v>
      </c>
      <c r="BP123" s="9" t="s">
        <v>84</v>
      </c>
      <c r="BQ123" s="9" t="s">
        <v>84</v>
      </c>
      <c r="BR123" s="9">
        <v>0.0</v>
      </c>
      <c r="BS123" s="9">
        <v>0.0</v>
      </c>
      <c r="BT123" s="9">
        <v>0.0</v>
      </c>
      <c r="BU123" s="9">
        <v>0.0</v>
      </c>
      <c r="BV123" s="9">
        <v>0.0</v>
      </c>
      <c r="BW123" s="30">
        <v>0.0</v>
      </c>
      <c r="BX123" s="9">
        <v>0.0</v>
      </c>
      <c r="BY123" s="9">
        <v>0.0</v>
      </c>
      <c r="BZ123" s="9">
        <v>1.0</v>
      </c>
      <c r="CA123" s="9">
        <v>0.0</v>
      </c>
      <c r="CB123" s="9">
        <v>0.0</v>
      </c>
      <c r="CC123" s="15" t="s">
        <v>101</v>
      </c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57"/>
      <c r="CV123" s="57"/>
      <c r="CW123" s="57"/>
    </row>
    <row r="124" ht="18.75" customHeight="1">
      <c r="A124" s="9">
        <v>123.0</v>
      </c>
      <c r="B124" s="30">
        <v>55.0</v>
      </c>
      <c r="C124" s="31" t="s">
        <v>86</v>
      </c>
      <c r="D124" s="18" t="s">
        <v>88</v>
      </c>
      <c r="E124" s="31" t="s">
        <v>109</v>
      </c>
      <c r="F124" s="55">
        <v>157.5</v>
      </c>
      <c r="G124" s="32">
        <v>130.8</v>
      </c>
      <c r="H124" s="12">
        <f t="shared" si="1"/>
        <v>52.72864701</v>
      </c>
      <c r="I124" s="9">
        <v>0.0</v>
      </c>
      <c r="J124" s="9">
        <v>1.0</v>
      </c>
      <c r="K124" s="9">
        <v>1.0</v>
      </c>
      <c r="L124" s="9">
        <v>0.0</v>
      </c>
      <c r="M124" s="9">
        <v>98.0</v>
      </c>
      <c r="N124" s="9">
        <v>0.0</v>
      </c>
      <c r="O124" s="9">
        <v>160.0</v>
      </c>
      <c r="P124" s="9">
        <v>0.0</v>
      </c>
      <c r="Q124" s="9">
        <v>18.0</v>
      </c>
      <c r="R124" s="9">
        <v>0.0</v>
      </c>
      <c r="S124" s="12">
        <v>98.6</v>
      </c>
      <c r="T124" s="9">
        <v>0.0</v>
      </c>
      <c r="U124" s="9">
        <v>100.0</v>
      </c>
      <c r="V124" s="9">
        <v>0.0</v>
      </c>
      <c r="W124" s="9">
        <v>0.0</v>
      </c>
      <c r="X124" s="9">
        <v>0.0</v>
      </c>
      <c r="Y124" s="9">
        <v>0.0</v>
      </c>
      <c r="Z124" s="9">
        <v>0.0</v>
      </c>
      <c r="AA124" s="9">
        <v>0.0</v>
      </c>
      <c r="AB124" s="9">
        <v>0.0</v>
      </c>
      <c r="AC124" s="9">
        <v>0.0</v>
      </c>
      <c r="AD124" s="9">
        <v>1.0</v>
      </c>
      <c r="AE124" s="9">
        <v>0.0</v>
      </c>
      <c r="AF124" s="9">
        <v>0.0</v>
      </c>
      <c r="AG124" s="9">
        <v>0.0</v>
      </c>
      <c r="AH124" s="9">
        <v>0.0</v>
      </c>
      <c r="AI124" s="9">
        <v>0.0</v>
      </c>
      <c r="AJ124" s="9">
        <v>0.0</v>
      </c>
      <c r="AK124" s="9">
        <v>1.0</v>
      </c>
      <c r="AL124" s="9">
        <v>0.0</v>
      </c>
      <c r="AM124" s="9">
        <v>0.0</v>
      </c>
      <c r="AN124" s="9">
        <v>0.0</v>
      </c>
      <c r="AO124" s="9">
        <v>1.0</v>
      </c>
      <c r="AP124" s="9">
        <v>1.0</v>
      </c>
      <c r="AQ124" s="9">
        <v>0.0</v>
      </c>
      <c r="AR124" s="9">
        <v>0.0</v>
      </c>
      <c r="AS124" s="9" t="s">
        <v>84</v>
      </c>
      <c r="AT124" s="9" t="s">
        <v>84</v>
      </c>
      <c r="AU124" s="9" t="s">
        <v>84</v>
      </c>
      <c r="AV124" s="9" t="s">
        <v>84</v>
      </c>
      <c r="AW124" s="9" t="s">
        <v>84</v>
      </c>
      <c r="AX124" s="58">
        <f>3.36/4.8</f>
        <v>0.7</v>
      </c>
      <c r="AY124" s="59">
        <v>0.0</v>
      </c>
      <c r="AZ124" s="30">
        <v>0.0</v>
      </c>
      <c r="BA124" s="30">
        <v>0.0</v>
      </c>
      <c r="BB124" s="58">
        <f>2.83/3.64</f>
        <v>0.7774725275</v>
      </c>
      <c r="BC124" s="18">
        <v>1.0</v>
      </c>
      <c r="BD124" s="18">
        <v>0.0</v>
      </c>
      <c r="BE124" s="18">
        <v>0.0</v>
      </c>
      <c r="BF124" s="9">
        <v>0.0</v>
      </c>
      <c r="BG124" s="9" t="s">
        <v>84</v>
      </c>
      <c r="BH124" s="9">
        <v>0.0</v>
      </c>
      <c r="BI124" s="9">
        <v>0.0</v>
      </c>
      <c r="BJ124" s="9">
        <v>0.0</v>
      </c>
      <c r="BK124" s="9">
        <v>0.0</v>
      </c>
      <c r="BL124" s="9">
        <v>0.0</v>
      </c>
      <c r="BM124" s="9">
        <v>0.0</v>
      </c>
      <c r="BN124" s="9">
        <v>0.0</v>
      </c>
      <c r="BO124" s="9">
        <v>0.0</v>
      </c>
      <c r="BP124" s="9" t="s">
        <v>84</v>
      </c>
      <c r="BQ124" s="9" t="s">
        <v>84</v>
      </c>
      <c r="BR124" s="9">
        <v>0.0</v>
      </c>
      <c r="BS124" s="9">
        <v>0.0</v>
      </c>
      <c r="BT124" s="9">
        <v>0.0</v>
      </c>
      <c r="BU124" s="9">
        <v>0.0</v>
      </c>
      <c r="BV124" s="9">
        <v>0.0</v>
      </c>
      <c r="BW124" s="30">
        <v>0.0</v>
      </c>
      <c r="BX124" s="9">
        <v>0.0</v>
      </c>
      <c r="BY124" s="9">
        <v>0.0</v>
      </c>
      <c r="BZ124" s="9">
        <v>0.0</v>
      </c>
      <c r="CA124" s="9">
        <v>0.0</v>
      </c>
      <c r="CB124" s="9">
        <v>0.0</v>
      </c>
      <c r="CC124" s="15" t="s">
        <v>92</v>
      </c>
    </row>
    <row r="125" ht="18.75" customHeight="1">
      <c r="A125" s="9">
        <v>124.0</v>
      </c>
      <c r="B125" s="31" t="s">
        <v>198</v>
      </c>
      <c r="C125" s="31" t="s">
        <v>81</v>
      </c>
      <c r="D125" s="18" t="s">
        <v>82</v>
      </c>
      <c r="E125" s="31" t="s">
        <v>96</v>
      </c>
      <c r="F125" s="55">
        <v>165.1</v>
      </c>
      <c r="G125" s="32">
        <v>91.7</v>
      </c>
      <c r="H125" s="12">
        <f t="shared" si="1"/>
        <v>33.6414874</v>
      </c>
      <c r="I125" s="9">
        <v>0.0</v>
      </c>
      <c r="J125" s="9">
        <v>2.0</v>
      </c>
      <c r="K125" s="9">
        <v>1.0</v>
      </c>
      <c r="L125" s="9">
        <v>0.0</v>
      </c>
      <c r="M125" s="9">
        <v>76.0</v>
      </c>
      <c r="N125" s="9">
        <v>0.0</v>
      </c>
      <c r="O125" s="9">
        <v>105.0</v>
      </c>
      <c r="P125" s="9">
        <v>0.0</v>
      </c>
      <c r="Q125" s="9">
        <v>24.0</v>
      </c>
      <c r="R125" s="9">
        <v>0.0</v>
      </c>
      <c r="S125" s="12">
        <v>97.8</v>
      </c>
      <c r="T125" s="9">
        <v>0.0</v>
      </c>
      <c r="U125" s="9">
        <v>97.0</v>
      </c>
      <c r="V125" s="9">
        <v>0.0</v>
      </c>
      <c r="W125" s="9">
        <v>0.0</v>
      </c>
      <c r="X125" s="9">
        <v>0.0</v>
      </c>
      <c r="Y125" s="9">
        <v>1.0</v>
      </c>
      <c r="Z125" s="9">
        <v>0.0</v>
      </c>
      <c r="AA125" s="9">
        <v>0.0</v>
      </c>
      <c r="AB125" s="9">
        <v>0.0</v>
      </c>
      <c r="AC125" s="9">
        <v>0.0</v>
      </c>
      <c r="AD125" s="9">
        <v>0.0</v>
      </c>
      <c r="AE125" s="9">
        <v>0.0</v>
      </c>
      <c r="AF125" s="9">
        <v>0.0</v>
      </c>
      <c r="AG125" s="9">
        <v>0.0</v>
      </c>
      <c r="AH125" s="9">
        <v>0.0</v>
      </c>
      <c r="AI125" s="9">
        <v>0.0</v>
      </c>
      <c r="AJ125" s="9">
        <v>0.0</v>
      </c>
      <c r="AK125" s="9">
        <v>0.0</v>
      </c>
      <c r="AL125" s="9">
        <v>0.0</v>
      </c>
      <c r="AM125" s="9">
        <v>0.0</v>
      </c>
      <c r="AN125" s="9">
        <v>0.0</v>
      </c>
      <c r="AO125" s="9">
        <v>0.0</v>
      </c>
      <c r="AP125" s="9" t="s">
        <v>84</v>
      </c>
      <c r="AQ125" s="9" t="s">
        <v>84</v>
      </c>
      <c r="AR125" s="9">
        <v>0.0</v>
      </c>
      <c r="AS125" s="9">
        <v>0.0</v>
      </c>
      <c r="AT125" s="9">
        <v>0.0</v>
      </c>
      <c r="AU125" s="9">
        <v>0.0</v>
      </c>
      <c r="AV125" s="9">
        <v>0.0</v>
      </c>
      <c r="AW125" s="9" t="s">
        <v>97</v>
      </c>
      <c r="AX125" s="33">
        <f>3.02/4.7</f>
        <v>0.6425531915</v>
      </c>
      <c r="AY125" s="34">
        <v>0.0</v>
      </c>
      <c r="AZ125" s="30">
        <v>0.0</v>
      </c>
      <c r="BA125" s="30">
        <v>0.0</v>
      </c>
      <c r="BB125" s="33">
        <f>2.68/3.09</f>
        <v>0.8673139159</v>
      </c>
      <c r="BC125" s="30">
        <v>3.0</v>
      </c>
      <c r="BD125" s="30">
        <v>0.0</v>
      </c>
      <c r="BE125" s="30">
        <v>0.0</v>
      </c>
      <c r="BF125" s="9">
        <v>0.0</v>
      </c>
      <c r="BG125" s="9" t="s">
        <v>84</v>
      </c>
      <c r="BH125" s="9">
        <v>0.0</v>
      </c>
      <c r="BI125" s="9">
        <v>0.0</v>
      </c>
      <c r="BJ125" s="9">
        <v>0.0</v>
      </c>
      <c r="BK125" s="9">
        <v>0.0</v>
      </c>
      <c r="BL125" s="9">
        <v>0.0</v>
      </c>
      <c r="BM125" s="9">
        <v>0.0</v>
      </c>
      <c r="BN125" s="9">
        <v>0.0</v>
      </c>
      <c r="BO125" s="9">
        <v>0.0</v>
      </c>
      <c r="BP125" s="9" t="s">
        <v>84</v>
      </c>
      <c r="BQ125" s="9" t="s">
        <v>84</v>
      </c>
      <c r="BR125" s="9">
        <v>0.0</v>
      </c>
      <c r="BS125" s="9">
        <v>0.0</v>
      </c>
      <c r="BT125" s="9">
        <v>0.0</v>
      </c>
      <c r="BU125" s="9">
        <v>0.0</v>
      </c>
      <c r="BV125" s="9">
        <v>0.0</v>
      </c>
      <c r="BW125" s="30">
        <v>0.0</v>
      </c>
      <c r="BX125" s="9">
        <v>0.0</v>
      </c>
      <c r="BY125" s="9">
        <v>0.0</v>
      </c>
      <c r="BZ125" s="9">
        <v>1.0</v>
      </c>
      <c r="CA125" s="9">
        <v>0.0</v>
      </c>
      <c r="CB125" s="9">
        <v>0.0</v>
      </c>
      <c r="CC125" s="15" t="s">
        <v>101</v>
      </c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57"/>
      <c r="CV125" s="57"/>
      <c r="CW125" s="57"/>
    </row>
    <row r="126" ht="18.75" customHeight="1">
      <c r="A126" s="9">
        <v>125.0</v>
      </c>
      <c r="B126" s="31" t="s">
        <v>199</v>
      </c>
      <c r="C126" s="31" t="s">
        <v>86</v>
      </c>
      <c r="D126" s="18" t="s">
        <v>88</v>
      </c>
      <c r="E126" s="31" t="s">
        <v>93</v>
      </c>
      <c r="F126" s="55">
        <v>170.2</v>
      </c>
      <c r="G126" s="32">
        <v>94.4</v>
      </c>
      <c r="H126" s="12">
        <f t="shared" si="1"/>
        <v>32.58763796</v>
      </c>
      <c r="I126" s="9">
        <v>0.0</v>
      </c>
      <c r="J126" s="9">
        <v>1.0</v>
      </c>
      <c r="K126" s="9">
        <v>1.0</v>
      </c>
      <c r="L126" s="9">
        <v>0.0</v>
      </c>
      <c r="M126" s="9">
        <v>87.0</v>
      </c>
      <c r="N126" s="9">
        <v>0.0</v>
      </c>
      <c r="O126" s="9">
        <v>121.0</v>
      </c>
      <c r="P126" s="9">
        <v>0.0</v>
      </c>
      <c r="Q126" s="9">
        <v>23.0</v>
      </c>
      <c r="R126" s="9">
        <v>0.0</v>
      </c>
      <c r="S126" s="12">
        <v>98.1</v>
      </c>
      <c r="T126" s="9">
        <v>0.0</v>
      </c>
      <c r="U126" s="9">
        <v>99.0</v>
      </c>
      <c r="V126" s="9">
        <v>0.0</v>
      </c>
      <c r="W126" s="9">
        <v>0.0</v>
      </c>
      <c r="X126" s="9">
        <v>0.0</v>
      </c>
      <c r="Y126" s="9">
        <v>0.0</v>
      </c>
      <c r="Z126" s="9">
        <v>0.0</v>
      </c>
      <c r="AA126" s="9">
        <v>0.0</v>
      </c>
      <c r="AB126" s="9">
        <v>0.0</v>
      </c>
      <c r="AC126" s="9">
        <v>0.0</v>
      </c>
      <c r="AD126" s="9">
        <v>0.0</v>
      </c>
      <c r="AE126" s="9">
        <v>0.0</v>
      </c>
      <c r="AF126" s="9">
        <v>0.0</v>
      </c>
      <c r="AG126" s="9">
        <v>0.0</v>
      </c>
      <c r="AH126" s="9">
        <v>0.0</v>
      </c>
      <c r="AI126" s="9">
        <v>0.0</v>
      </c>
      <c r="AJ126" s="9">
        <v>0.0</v>
      </c>
      <c r="AK126" s="9">
        <v>1.0</v>
      </c>
      <c r="AL126" s="9">
        <v>0.0</v>
      </c>
      <c r="AM126" s="9">
        <v>0.0</v>
      </c>
      <c r="AN126" s="9">
        <v>0.0</v>
      </c>
      <c r="AO126" s="9">
        <v>0.0</v>
      </c>
      <c r="AP126" s="9" t="s">
        <v>84</v>
      </c>
      <c r="AQ126" s="9" t="s">
        <v>84</v>
      </c>
      <c r="AR126" s="9">
        <v>0.0</v>
      </c>
      <c r="AS126" s="9">
        <v>0.0</v>
      </c>
      <c r="AT126" s="9">
        <v>0.0</v>
      </c>
      <c r="AU126" s="9">
        <v>0.0</v>
      </c>
      <c r="AV126" s="9">
        <v>0.0</v>
      </c>
      <c r="AW126" s="9">
        <v>27.0</v>
      </c>
      <c r="AX126" s="33">
        <f>3.08/3.95</f>
        <v>0.7797468354</v>
      </c>
      <c r="AY126" s="34">
        <v>0.0</v>
      </c>
      <c r="AZ126" s="30">
        <v>0.0</v>
      </c>
      <c r="BA126" s="30">
        <v>0.0</v>
      </c>
      <c r="BB126" s="33">
        <f>2.08/2.42</f>
        <v>0.8595041322</v>
      </c>
      <c r="BC126" s="30">
        <v>2.0</v>
      </c>
      <c r="BD126" s="30">
        <v>0.0</v>
      </c>
      <c r="BE126" s="30">
        <v>0.0</v>
      </c>
      <c r="BF126" s="9">
        <v>0.0</v>
      </c>
      <c r="BG126" s="9" t="s">
        <v>84</v>
      </c>
      <c r="BH126" s="9">
        <v>0.0</v>
      </c>
      <c r="BI126" s="9">
        <v>0.0</v>
      </c>
      <c r="BJ126" s="9">
        <v>0.0</v>
      </c>
      <c r="BK126" s="9">
        <v>0.0</v>
      </c>
      <c r="BL126" s="9">
        <v>0.0</v>
      </c>
      <c r="BM126" s="9">
        <v>0.0</v>
      </c>
      <c r="BN126" s="9">
        <v>0.0</v>
      </c>
      <c r="BO126" s="9">
        <v>0.0</v>
      </c>
      <c r="BP126" s="9" t="s">
        <v>84</v>
      </c>
      <c r="BQ126" s="9" t="s">
        <v>84</v>
      </c>
      <c r="BR126" s="9">
        <v>0.0</v>
      </c>
      <c r="BS126" s="9">
        <v>0.0</v>
      </c>
      <c r="BT126" s="9">
        <v>0.0</v>
      </c>
      <c r="BU126" s="9">
        <v>0.0</v>
      </c>
      <c r="BV126" s="9">
        <v>0.0</v>
      </c>
      <c r="BW126" s="30">
        <v>0.0</v>
      </c>
      <c r="BX126" s="9">
        <v>1.0</v>
      </c>
      <c r="BY126" s="9">
        <v>0.0</v>
      </c>
      <c r="BZ126" s="9">
        <v>0.0</v>
      </c>
      <c r="CA126" s="9">
        <v>0.0</v>
      </c>
      <c r="CB126" s="9">
        <v>0.0</v>
      </c>
      <c r="CC126" s="15" t="s">
        <v>200</v>
      </c>
    </row>
    <row r="127" ht="18.75" customHeight="1">
      <c r="A127" s="9">
        <v>126.0</v>
      </c>
      <c r="B127" s="30">
        <v>26.0</v>
      </c>
      <c r="C127" s="31" t="s">
        <v>86</v>
      </c>
      <c r="D127" s="18" t="s">
        <v>82</v>
      </c>
      <c r="E127" s="31" t="s">
        <v>109</v>
      </c>
      <c r="F127" s="55">
        <v>167.6</v>
      </c>
      <c r="G127" s="32">
        <v>77.6</v>
      </c>
      <c r="H127" s="12">
        <f t="shared" si="1"/>
        <v>27.62572553</v>
      </c>
      <c r="I127" s="9">
        <v>0.0</v>
      </c>
      <c r="J127" s="9">
        <v>1.0</v>
      </c>
      <c r="K127" s="9">
        <v>1.0</v>
      </c>
      <c r="L127" s="9">
        <v>0.0</v>
      </c>
      <c r="M127" s="9">
        <v>96.0</v>
      </c>
      <c r="N127" s="9">
        <v>0.0</v>
      </c>
      <c r="O127" s="9">
        <v>127.0</v>
      </c>
      <c r="P127" s="9">
        <v>0.0</v>
      </c>
      <c r="Q127" s="9">
        <v>16.0</v>
      </c>
      <c r="R127" s="9">
        <v>0.0</v>
      </c>
      <c r="S127" s="12">
        <v>97.8</v>
      </c>
      <c r="T127" s="9">
        <v>0.0</v>
      </c>
      <c r="U127" s="9">
        <v>100.0</v>
      </c>
      <c r="V127" s="9">
        <v>0.0</v>
      </c>
      <c r="W127" s="9">
        <v>0.0</v>
      </c>
      <c r="X127" s="9">
        <v>0.0</v>
      </c>
      <c r="Y127" s="9">
        <v>0.0</v>
      </c>
      <c r="Z127" s="9">
        <v>0.0</v>
      </c>
      <c r="AA127" s="9">
        <v>0.0</v>
      </c>
      <c r="AB127" s="9">
        <v>0.0</v>
      </c>
      <c r="AC127" s="9">
        <v>0.0</v>
      </c>
      <c r="AD127" s="9">
        <v>0.0</v>
      </c>
      <c r="AE127" s="9">
        <v>0.0</v>
      </c>
      <c r="AF127" s="9">
        <v>0.0</v>
      </c>
      <c r="AG127" s="9">
        <v>0.0</v>
      </c>
      <c r="AH127" s="9">
        <v>0.0</v>
      </c>
      <c r="AI127" s="9">
        <v>0.0</v>
      </c>
      <c r="AJ127" s="9">
        <v>0.0</v>
      </c>
      <c r="AK127" s="9">
        <v>1.0</v>
      </c>
      <c r="AL127" s="9">
        <v>0.0</v>
      </c>
      <c r="AM127" s="9">
        <v>0.0</v>
      </c>
      <c r="AN127" s="9">
        <v>0.0</v>
      </c>
      <c r="AO127" s="9" t="s">
        <v>84</v>
      </c>
      <c r="AP127" s="9" t="s">
        <v>84</v>
      </c>
      <c r="AQ127" s="9">
        <v>0.0</v>
      </c>
      <c r="AR127" s="9">
        <v>0.0</v>
      </c>
      <c r="AS127" s="9" t="s">
        <v>84</v>
      </c>
      <c r="AT127" s="9" t="s">
        <v>84</v>
      </c>
      <c r="AU127" s="9" t="s">
        <v>84</v>
      </c>
      <c r="AV127" s="9" t="s">
        <v>84</v>
      </c>
      <c r="AW127" s="9" t="s">
        <v>84</v>
      </c>
      <c r="AX127" s="33">
        <f>3.1/3.83</f>
        <v>0.8093994778</v>
      </c>
      <c r="AY127" s="34">
        <v>0.0</v>
      </c>
      <c r="AZ127" s="30">
        <v>0.0</v>
      </c>
      <c r="BA127" s="30">
        <v>0.0</v>
      </c>
      <c r="BB127" s="33">
        <f>2.81/2.92</f>
        <v>0.9623287671</v>
      </c>
      <c r="BC127" s="30">
        <v>1.0</v>
      </c>
      <c r="BD127" s="30">
        <v>0.0</v>
      </c>
      <c r="BE127" s="30">
        <v>0.0</v>
      </c>
      <c r="BF127" s="9">
        <v>0.0</v>
      </c>
      <c r="BG127" s="9" t="s">
        <v>84</v>
      </c>
      <c r="BH127" s="9">
        <v>0.0</v>
      </c>
      <c r="BI127" s="9">
        <v>0.0</v>
      </c>
      <c r="BJ127" s="9">
        <v>0.0</v>
      </c>
      <c r="BK127" s="9">
        <v>0.0</v>
      </c>
      <c r="BL127" s="9">
        <v>0.0</v>
      </c>
      <c r="BM127" s="9">
        <v>0.0</v>
      </c>
      <c r="BN127" s="9">
        <v>0.0</v>
      </c>
      <c r="BO127" s="9">
        <v>0.0</v>
      </c>
      <c r="BP127" s="9" t="s">
        <v>84</v>
      </c>
      <c r="BQ127" s="9" t="s">
        <v>84</v>
      </c>
      <c r="BR127" s="9">
        <v>0.0</v>
      </c>
      <c r="BS127" s="9">
        <v>0.0</v>
      </c>
      <c r="BT127" s="9">
        <v>0.0</v>
      </c>
      <c r="BU127" s="9">
        <v>0.0</v>
      </c>
      <c r="BV127" s="9">
        <v>0.0</v>
      </c>
      <c r="BW127" s="30">
        <v>0.0</v>
      </c>
      <c r="BX127" s="9">
        <v>0.0</v>
      </c>
      <c r="BY127" s="9">
        <v>0.0</v>
      </c>
      <c r="BZ127" s="9">
        <v>0.0</v>
      </c>
      <c r="CA127" s="9">
        <v>0.0</v>
      </c>
      <c r="CB127" s="9">
        <v>0.0</v>
      </c>
      <c r="CC127" s="15" t="s">
        <v>92</v>
      </c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57"/>
      <c r="CV127" s="57"/>
      <c r="CW127" s="57"/>
    </row>
    <row r="128" ht="18.75" customHeight="1">
      <c r="A128" s="9">
        <v>127.0</v>
      </c>
      <c r="B128" s="31" t="s">
        <v>195</v>
      </c>
      <c r="C128" s="31" t="s">
        <v>86</v>
      </c>
      <c r="D128" s="18" t="s">
        <v>88</v>
      </c>
      <c r="E128" s="31" t="s">
        <v>109</v>
      </c>
      <c r="F128" s="55">
        <v>167.6</v>
      </c>
      <c r="G128" s="32">
        <v>97.6</v>
      </c>
      <c r="H128" s="12">
        <f t="shared" si="1"/>
        <v>34.74575788</v>
      </c>
      <c r="I128" s="9">
        <v>0.0</v>
      </c>
      <c r="J128" s="9">
        <v>1.0</v>
      </c>
      <c r="K128" s="9">
        <v>2.0</v>
      </c>
      <c r="L128" s="9">
        <v>0.0</v>
      </c>
      <c r="M128" s="9">
        <v>100.0</v>
      </c>
      <c r="N128" s="9">
        <v>0.0</v>
      </c>
      <c r="O128" s="9">
        <v>113.0</v>
      </c>
      <c r="P128" s="9">
        <v>0.0</v>
      </c>
      <c r="Q128" s="9">
        <v>20.0</v>
      </c>
      <c r="R128" s="9">
        <v>0.0</v>
      </c>
      <c r="S128" s="12">
        <v>99.1</v>
      </c>
      <c r="T128" s="9">
        <v>0.0</v>
      </c>
      <c r="U128" s="9">
        <v>100.0</v>
      </c>
      <c r="V128" s="9">
        <v>0.0</v>
      </c>
      <c r="W128" s="9">
        <v>0.0</v>
      </c>
      <c r="X128" s="9">
        <v>0.0</v>
      </c>
      <c r="Y128" s="9">
        <v>0.0</v>
      </c>
      <c r="Z128" s="9">
        <v>0.0</v>
      </c>
      <c r="AA128" s="9">
        <v>0.0</v>
      </c>
      <c r="AB128" s="9">
        <v>0.0</v>
      </c>
      <c r="AC128" s="9">
        <v>0.0</v>
      </c>
      <c r="AD128" s="9">
        <v>0.0</v>
      </c>
      <c r="AE128" s="9">
        <v>0.0</v>
      </c>
      <c r="AF128" s="9">
        <v>0.0</v>
      </c>
      <c r="AG128" s="9">
        <v>0.0</v>
      </c>
      <c r="AH128" s="9">
        <v>0.0</v>
      </c>
      <c r="AI128" s="9">
        <v>0.0</v>
      </c>
      <c r="AJ128" s="9">
        <v>0.0</v>
      </c>
      <c r="AK128" s="9">
        <v>0.0</v>
      </c>
      <c r="AL128" s="9">
        <v>0.0</v>
      </c>
      <c r="AM128" s="9">
        <v>0.0</v>
      </c>
      <c r="AN128" s="9">
        <v>0.0</v>
      </c>
      <c r="AO128" s="9">
        <v>1.0</v>
      </c>
      <c r="AP128" s="9">
        <v>1.0</v>
      </c>
      <c r="AQ128" s="9" t="s">
        <v>84</v>
      </c>
      <c r="AR128" s="9">
        <v>0.0</v>
      </c>
      <c r="AS128" s="9">
        <v>1.0</v>
      </c>
      <c r="AT128" s="9">
        <v>0.0</v>
      </c>
      <c r="AU128" s="9">
        <v>0.0</v>
      </c>
      <c r="AV128" s="9">
        <v>0.0</v>
      </c>
      <c r="AW128" s="9">
        <v>30.0</v>
      </c>
      <c r="AX128" s="33">
        <f>3.67/4.56</f>
        <v>0.8048245614</v>
      </c>
      <c r="AY128" s="34">
        <v>0.0</v>
      </c>
      <c r="AZ128" s="30">
        <v>0.0</v>
      </c>
      <c r="BA128" s="30">
        <v>0.0</v>
      </c>
      <c r="BB128" s="33">
        <f>2.57/2.91</f>
        <v>0.883161512</v>
      </c>
      <c r="BC128" s="30">
        <v>1.0</v>
      </c>
      <c r="BD128" s="30">
        <v>0.0</v>
      </c>
      <c r="BE128" s="30">
        <v>0.0</v>
      </c>
      <c r="BF128" s="9">
        <v>0.0</v>
      </c>
      <c r="BG128" s="9" t="s">
        <v>84</v>
      </c>
      <c r="BH128" s="9">
        <v>0.0</v>
      </c>
      <c r="BI128" s="9">
        <v>0.0</v>
      </c>
      <c r="BJ128" s="9">
        <v>0.0</v>
      </c>
      <c r="BK128" s="9">
        <v>0.0</v>
      </c>
      <c r="BL128" s="9">
        <v>0.0</v>
      </c>
      <c r="BM128" s="9">
        <v>0.0</v>
      </c>
      <c r="BN128" s="9">
        <v>0.0</v>
      </c>
      <c r="BO128" s="9">
        <v>0.0</v>
      </c>
      <c r="BP128" s="9" t="s">
        <v>84</v>
      </c>
      <c r="BQ128" s="9" t="s">
        <v>84</v>
      </c>
      <c r="BR128" s="9">
        <v>0.0</v>
      </c>
      <c r="BS128" s="9">
        <v>0.0</v>
      </c>
      <c r="BT128" s="9">
        <v>0.0</v>
      </c>
      <c r="BU128" s="9">
        <v>0.0</v>
      </c>
      <c r="BV128" s="9">
        <v>0.0</v>
      </c>
      <c r="BW128" s="31" t="s">
        <v>94</v>
      </c>
      <c r="BX128" s="9" t="s">
        <v>94</v>
      </c>
      <c r="BY128" s="9">
        <v>0.0</v>
      </c>
      <c r="BZ128" s="9">
        <v>1.0</v>
      </c>
      <c r="CA128" s="9">
        <v>0.0</v>
      </c>
      <c r="CB128" s="9">
        <v>0.0</v>
      </c>
      <c r="CC128" s="15" t="s">
        <v>188</v>
      </c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57"/>
      <c r="CV128" s="57"/>
      <c r="CW128" s="57"/>
    </row>
    <row r="129" ht="18.75" customHeight="1">
      <c r="A129" s="9">
        <v>128.0</v>
      </c>
      <c r="B129" s="31" t="s">
        <v>201</v>
      </c>
      <c r="C129" s="31" t="s">
        <v>81</v>
      </c>
      <c r="D129" s="18" t="s">
        <v>88</v>
      </c>
      <c r="E129" s="31" t="s">
        <v>103</v>
      </c>
      <c r="F129" s="55">
        <v>185.4</v>
      </c>
      <c r="G129" s="32">
        <v>111.1</v>
      </c>
      <c r="H129" s="12">
        <f t="shared" si="1"/>
        <v>32.32173009</v>
      </c>
      <c r="I129" s="9">
        <v>0.0</v>
      </c>
      <c r="J129" s="9">
        <v>1.0</v>
      </c>
      <c r="K129" s="9">
        <v>2.0</v>
      </c>
      <c r="L129" s="9">
        <v>0.0</v>
      </c>
      <c r="M129" s="9">
        <v>90.0</v>
      </c>
      <c r="N129" s="9">
        <v>0.0</v>
      </c>
      <c r="O129" s="9">
        <v>128.0</v>
      </c>
      <c r="P129" s="9">
        <v>0.0</v>
      </c>
      <c r="Q129" s="9">
        <v>18.0</v>
      </c>
      <c r="R129" s="9">
        <v>0.0</v>
      </c>
      <c r="S129" s="12">
        <v>97.9</v>
      </c>
      <c r="T129" s="9">
        <v>0.0</v>
      </c>
      <c r="U129" s="9">
        <v>99.0</v>
      </c>
      <c r="V129" s="9">
        <v>0.0</v>
      </c>
      <c r="W129" s="9">
        <v>0.0</v>
      </c>
      <c r="X129" s="9">
        <v>0.0</v>
      </c>
      <c r="Y129" s="9">
        <v>1.0</v>
      </c>
      <c r="Z129" s="9">
        <v>0.0</v>
      </c>
      <c r="AA129" s="9">
        <v>0.0</v>
      </c>
      <c r="AB129" s="9">
        <v>0.0</v>
      </c>
      <c r="AC129" s="9">
        <v>1.0</v>
      </c>
      <c r="AD129" s="9">
        <v>0.0</v>
      </c>
      <c r="AE129" s="9">
        <v>0.0</v>
      </c>
      <c r="AF129" s="9">
        <v>0.0</v>
      </c>
      <c r="AG129" s="9">
        <v>1.0</v>
      </c>
      <c r="AH129" s="9">
        <v>0.0</v>
      </c>
      <c r="AI129" s="9">
        <v>0.0</v>
      </c>
      <c r="AJ129" s="9">
        <v>0.0</v>
      </c>
      <c r="AK129" s="9">
        <v>0.0</v>
      </c>
      <c r="AL129" s="9">
        <v>0.0</v>
      </c>
      <c r="AM129" s="9">
        <v>0.0</v>
      </c>
      <c r="AN129" s="9">
        <v>0.0</v>
      </c>
      <c r="AO129" s="9">
        <v>1.0</v>
      </c>
      <c r="AP129" s="9">
        <v>0.0</v>
      </c>
      <c r="AQ129" s="9" t="s">
        <v>84</v>
      </c>
      <c r="AR129" s="9">
        <v>0.0</v>
      </c>
      <c r="AS129" s="9">
        <v>1.0</v>
      </c>
      <c r="AT129" s="9">
        <v>0.0</v>
      </c>
      <c r="AU129" s="9">
        <v>0.0</v>
      </c>
      <c r="AV129" s="9">
        <v>0.0</v>
      </c>
      <c r="AW129" s="9">
        <v>29.5</v>
      </c>
      <c r="AX129" s="33">
        <f>3.77/5.43</f>
        <v>0.6942909761</v>
      </c>
      <c r="AY129" s="34">
        <v>0.0</v>
      </c>
      <c r="AZ129" s="30">
        <v>0.0</v>
      </c>
      <c r="BA129" s="30">
        <v>0.0</v>
      </c>
      <c r="BB129" s="33">
        <f>2.34/2.35</f>
        <v>0.9957446809</v>
      </c>
      <c r="BC129" s="30">
        <v>2.0</v>
      </c>
      <c r="BD129" s="30">
        <v>0.0</v>
      </c>
      <c r="BE129" s="30">
        <v>0.0</v>
      </c>
      <c r="BF129" s="9" t="s">
        <v>84</v>
      </c>
      <c r="BG129" s="9" t="s">
        <v>84</v>
      </c>
      <c r="BH129" s="9">
        <v>0.0</v>
      </c>
      <c r="BI129" s="9">
        <v>0.0</v>
      </c>
      <c r="BJ129" s="9">
        <v>0.0</v>
      </c>
      <c r="BK129" s="9">
        <v>0.0</v>
      </c>
      <c r="BL129" s="9">
        <v>0.0</v>
      </c>
      <c r="BM129" s="9">
        <v>0.0</v>
      </c>
      <c r="BN129" s="9">
        <v>0.0</v>
      </c>
      <c r="BO129" s="9">
        <v>0.0</v>
      </c>
      <c r="BP129" s="9" t="s">
        <v>84</v>
      </c>
      <c r="BQ129" s="9" t="s">
        <v>84</v>
      </c>
      <c r="BR129" s="9">
        <v>0.0</v>
      </c>
      <c r="BS129" s="9">
        <v>0.0</v>
      </c>
      <c r="BT129" s="9">
        <v>0.0</v>
      </c>
      <c r="BU129" s="9">
        <v>0.0</v>
      </c>
      <c r="BV129" s="9">
        <v>0.0</v>
      </c>
      <c r="BW129" s="30">
        <v>0.0</v>
      </c>
      <c r="BX129" s="9">
        <v>0.0</v>
      </c>
      <c r="BY129" s="9">
        <v>0.0</v>
      </c>
      <c r="BZ129" s="9">
        <v>0.0</v>
      </c>
      <c r="CA129" s="9">
        <v>0.0</v>
      </c>
      <c r="CB129" s="9">
        <v>0.0</v>
      </c>
      <c r="CC129" s="15" t="s">
        <v>113</v>
      </c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57"/>
      <c r="CV129" s="57"/>
      <c r="CW129" s="57"/>
    </row>
    <row r="130" ht="18.75" customHeight="1">
      <c r="A130" s="9">
        <v>129.0</v>
      </c>
      <c r="B130" s="31" t="s">
        <v>202</v>
      </c>
      <c r="C130" s="31" t="s">
        <v>81</v>
      </c>
      <c r="D130" s="18" t="s">
        <v>82</v>
      </c>
      <c r="E130" s="31" t="s">
        <v>99</v>
      </c>
      <c r="F130" s="55">
        <v>188.0</v>
      </c>
      <c r="G130" s="32">
        <v>117.9</v>
      </c>
      <c r="H130" s="12">
        <f t="shared" si="1"/>
        <v>33.35785423</v>
      </c>
      <c r="I130" s="9">
        <v>1.0</v>
      </c>
      <c r="J130" s="9">
        <v>3.0</v>
      </c>
      <c r="K130" s="9">
        <v>2.0</v>
      </c>
      <c r="L130" s="9">
        <v>0.0</v>
      </c>
      <c r="M130" s="9">
        <v>65.0</v>
      </c>
      <c r="N130" s="9">
        <v>0.0</v>
      </c>
      <c r="O130" s="9">
        <v>122.0</v>
      </c>
      <c r="P130" s="9">
        <v>0.0</v>
      </c>
      <c r="Q130" s="9">
        <v>20.0</v>
      </c>
      <c r="R130" s="9">
        <v>0.0</v>
      </c>
      <c r="S130" s="12">
        <v>98.2</v>
      </c>
      <c r="T130" s="9">
        <v>0.0</v>
      </c>
      <c r="U130" s="9">
        <v>97.0</v>
      </c>
      <c r="V130" s="9">
        <v>0.0</v>
      </c>
      <c r="W130" s="9">
        <v>0.0</v>
      </c>
      <c r="X130" s="9">
        <v>0.0</v>
      </c>
      <c r="Y130" s="9">
        <v>1.0</v>
      </c>
      <c r="Z130" s="9">
        <v>1.0</v>
      </c>
      <c r="AA130" s="9">
        <v>0.0</v>
      </c>
      <c r="AB130" s="9">
        <v>0.0</v>
      </c>
      <c r="AC130" s="9">
        <v>0.0</v>
      </c>
      <c r="AD130" s="9">
        <v>0.0</v>
      </c>
      <c r="AE130" s="9">
        <v>0.0</v>
      </c>
      <c r="AF130" s="9">
        <v>0.0</v>
      </c>
      <c r="AG130" s="9">
        <v>0.0</v>
      </c>
      <c r="AH130" s="9">
        <v>0.0</v>
      </c>
      <c r="AI130" s="9">
        <v>0.0</v>
      </c>
      <c r="AJ130" s="9">
        <v>0.0</v>
      </c>
      <c r="AK130" s="9">
        <v>0.0</v>
      </c>
      <c r="AL130" s="9">
        <v>0.0</v>
      </c>
      <c r="AM130" s="9">
        <v>0.0</v>
      </c>
      <c r="AN130" s="9">
        <v>0.0</v>
      </c>
      <c r="AO130" s="9">
        <v>0.0</v>
      </c>
      <c r="AP130" s="9" t="s">
        <v>84</v>
      </c>
      <c r="AQ130" s="9">
        <v>0.0</v>
      </c>
      <c r="AR130" s="9">
        <v>0.0</v>
      </c>
      <c r="AS130" s="9">
        <v>1.0</v>
      </c>
      <c r="AT130" s="9">
        <v>0.0</v>
      </c>
      <c r="AU130" s="9">
        <v>0.0</v>
      </c>
      <c r="AV130" s="9">
        <v>0.0</v>
      </c>
      <c r="AW130" s="9">
        <v>35.5</v>
      </c>
      <c r="AX130" s="33">
        <f>5.33/3.51</f>
        <v>1.518518519</v>
      </c>
      <c r="AY130" s="34">
        <v>0.0</v>
      </c>
      <c r="AZ130" s="30">
        <v>0.0</v>
      </c>
      <c r="BA130" s="30">
        <v>1.0</v>
      </c>
      <c r="BB130" s="33">
        <f>3.1/3.43</f>
        <v>0.9037900875</v>
      </c>
      <c r="BC130" s="30">
        <v>2.0</v>
      </c>
      <c r="BD130" s="30">
        <v>1.0</v>
      </c>
      <c r="BE130" s="30">
        <v>1.0</v>
      </c>
      <c r="BF130" s="9">
        <v>0.0</v>
      </c>
      <c r="BG130" s="9" t="s">
        <v>84</v>
      </c>
      <c r="BH130" s="9">
        <v>0.0</v>
      </c>
      <c r="BI130" s="9">
        <v>0.0</v>
      </c>
      <c r="BJ130" s="9">
        <v>0.0</v>
      </c>
      <c r="BK130" s="9">
        <v>0.0</v>
      </c>
      <c r="BL130" s="9">
        <v>0.0</v>
      </c>
      <c r="BM130" s="9">
        <v>0.0</v>
      </c>
      <c r="BN130" s="9">
        <v>0.0</v>
      </c>
      <c r="BO130" s="9">
        <v>0.0</v>
      </c>
      <c r="BP130" s="9" t="s">
        <v>84</v>
      </c>
      <c r="BQ130" s="9" t="s">
        <v>84</v>
      </c>
      <c r="BR130" s="9">
        <v>0.0</v>
      </c>
      <c r="BS130" s="9">
        <v>0.0</v>
      </c>
      <c r="BT130" s="9">
        <v>0.0</v>
      </c>
      <c r="BU130" s="9">
        <v>0.0</v>
      </c>
      <c r="BV130" s="9">
        <v>0.0</v>
      </c>
      <c r="BW130" s="30">
        <v>0.0</v>
      </c>
      <c r="BX130" s="9">
        <v>0.0</v>
      </c>
      <c r="BY130" s="9">
        <v>0.0</v>
      </c>
      <c r="BZ130" s="9">
        <v>0.0</v>
      </c>
      <c r="CA130" s="9">
        <v>0.0</v>
      </c>
      <c r="CB130" s="9">
        <v>0.0</v>
      </c>
      <c r="CC130" s="15" t="s">
        <v>104</v>
      </c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57"/>
      <c r="CV130" s="57"/>
      <c r="CW130" s="57"/>
    </row>
    <row r="131" ht="18.75" customHeight="1">
      <c r="A131" s="9">
        <v>130.0</v>
      </c>
      <c r="B131" s="30">
        <v>64.0</v>
      </c>
      <c r="C131" s="31" t="s">
        <v>81</v>
      </c>
      <c r="D131" s="18" t="s">
        <v>88</v>
      </c>
      <c r="E131" s="31" t="s">
        <v>93</v>
      </c>
      <c r="F131" s="55">
        <v>167.6</v>
      </c>
      <c r="G131" s="32">
        <v>59.0</v>
      </c>
      <c r="H131" s="12">
        <f t="shared" si="1"/>
        <v>21.00409544</v>
      </c>
      <c r="I131" s="9">
        <v>0.0</v>
      </c>
      <c r="J131" s="9">
        <v>2.0</v>
      </c>
      <c r="K131" s="9">
        <v>1.0</v>
      </c>
      <c r="L131" s="9">
        <v>0.0</v>
      </c>
      <c r="M131" s="9">
        <v>84.0</v>
      </c>
      <c r="N131" s="9">
        <v>0.0</v>
      </c>
      <c r="O131" s="9">
        <v>137.0</v>
      </c>
      <c r="P131" s="9">
        <v>0.0</v>
      </c>
      <c r="Q131" s="9">
        <v>17.0</v>
      </c>
      <c r="R131" s="9">
        <v>0.0</v>
      </c>
      <c r="S131" s="12">
        <v>97.9</v>
      </c>
      <c r="T131" s="9">
        <v>0.0</v>
      </c>
      <c r="U131" s="9">
        <v>96.0</v>
      </c>
      <c r="V131" s="9">
        <v>0.0</v>
      </c>
      <c r="W131" s="9">
        <v>0.0</v>
      </c>
      <c r="X131" s="9">
        <v>0.0</v>
      </c>
      <c r="Y131" s="9">
        <v>1.0</v>
      </c>
      <c r="Z131" s="9">
        <v>0.0</v>
      </c>
      <c r="AA131" s="9">
        <v>0.0</v>
      </c>
      <c r="AB131" s="9">
        <v>0.0</v>
      </c>
      <c r="AC131" s="9">
        <v>0.0</v>
      </c>
      <c r="AD131" s="9">
        <v>0.0</v>
      </c>
      <c r="AE131" s="9">
        <v>0.0</v>
      </c>
      <c r="AF131" s="9">
        <v>0.0</v>
      </c>
      <c r="AG131" s="9">
        <v>0.0</v>
      </c>
      <c r="AH131" s="9">
        <v>0.0</v>
      </c>
      <c r="AI131" s="9">
        <v>0.0</v>
      </c>
      <c r="AJ131" s="9">
        <v>0.0</v>
      </c>
      <c r="AK131" s="9">
        <v>0.0</v>
      </c>
      <c r="AL131" s="9">
        <v>0.0</v>
      </c>
      <c r="AM131" s="9">
        <v>0.0</v>
      </c>
      <c r="AN131" s="9">
        <v>0.0</v>
      </c>
      <c r="AO131" s="9">
        <v>1.0</v>
      </c>
      <c r="AP131" s="9">
        <v>0.0</v>
      </c>
      <c r="AQ131" s="9" t="s">
        <v>84</v>
      </c>
      <c r="AR131" s="9">
        <v>0.0</v>
      </c>
      <c r="AS131" s="9">
        <v>0.0</v>
      </c>
      <c r="AT131" s="9">
        <v>0.0</v>
      </c>
      <c r="AU131" s="9">
        <v>0.0</v>
      </c>
      <c r="AV131" s="9">
        <v>0.0</v>
      </c>
      <c r="AW131" s="9" t="s">
        <v>97</v>
      </c>
      <c r="AX131" s="33">
        <f>4.66/4.44</f>
        <v>1.04954955</v>
      </c>
      <c r="AY131" s="34">
        <v>0.0</v>
      </c>
      <c r="AZ131" s="30">
        <v>0.0</v>
      </c>
      <c r="BA131" s="30">
        <v>1.0</v>
      </c>
      <c r="BB131" s="33">
        <f>2.76/3.5</f>
        <v>0.7885714286</v>
      </c>
      <c r="BC131" s="30">
        <v>1.0</v>
      </c>
      <c r="BD131" s="30">
        <v>0.0</v>
      </c>
      <c r="BE131" s="30">
        <v>0.0</v>
      </c>
      <c r="BF131" s="9">
        <v>0.0</v>
      </c>
      <c r="BG131" s="9" t="s">
        <v>84</v>
      </c>
      <c r="BH131" s="9">
        <v>0.0</v>
      </c>
      <c r="BI131" s="9">
        <v>0.0</v>
      </c>
      <c r="BJ131" s="9">
        <v>0.0</v>
      </c>
      <c r="BK131" s="9">
        <v>0.0</v>
      </c>
      <c r="BL131" s="9">
        <v>0.0</v>
      </c>
      <c r="BM131" s="9">
        <v>0.0</v>
      </c>
      <c r="BN131" s="9">
        <v>0.0</v>
      </c>
      <c r="BO131" s="9">
        <v>0.0</v>
      </c>
      <c r="BP131" s="9" t="s">
        <v>84</v>
      </c>
      <c r="BQ131" s="9" t="s">
        <v>84</v>
      </c>
      <c r="BR131" s="9">
        <v>0.0</v>
      </c>
      <c r="BS131" s="9">
        <v>0.0</v>
      </c>
      <c r="BT131" s="9">
        <v>0.0</v>
      </c>
      <c r="BU131" s="9">
        <v>0.0</v>
      </c>
      <c r="BV131" s="9">
        <v>0.0</v>
      </c>
      <c r="BW131" s="31" t="s">
        <v>94</v>
      </c>
      <c r="BX131" s="9" t="s">
        <v>94</v>
      </c>
      <c r="BY131" s="9">
        <v>0.0</v>
      </c>
      <c r="BZ131" s="9">
        <v>1.0</v>
      </c>
      <c r="CA131" s="9">
        <v>0.0</v>
      </c>
      <c r="CB131" s="9">
        <v>0.0</v>
      </c>
      <c r="CC131" s="15" t="s">
        <v>101</v>
      </c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57"/>
      <c r="CV131" s="57"/>
      <c r="CW131" s="57"/>
    </row>
    <row r="132" ht="18.75" customHeight="1">
      <c r="A132" s="9">
        <v>131.0</v>
      </c>
      <c r="B132" s="31" t="s">
        <v>203</v>
      </c>
      <c r="C132" s="31" t="s">
        <v>81</v>
      </c>
      <c r="D132" s="18" t="s">
        <v>88</v>
      </c>
      <c r="E132" s="30">
        <v>14.0</v>
      </c>
      <c r="F132" s="55">
        <v>188.0</v>
      </c>
      <c r="G132" s="32">
        <v>122.4</v>
      </c>
      <c r="H132" s="12">
        <f t="shared" si="1"/>
        <v>34.63105478</v>
      </c>
      <c r="I132" s="9">
        <v>1.0</v>
      </c>
      <c r="J132" s="9">
        <v>1.0</v>
      </c>
      <c r="K132" s="9">
        <v>3.0</v>
      </c>
      <c r="L132" s="9">
        <v>1.0</v>
      </c>
      <c r="M132" s="9">
        <v>110.0</v>
      </c>
      <c r="N132" s="9">
        <v>0.0</v>
      </c>
      <c r="O132" s="9">
        <v>148.0</v>
      </c>
      <c r="P132" s="9">
        <v>0.0</v>
      </c>
      <c r="Q132" s="9">
        <v>20.0</v>
      </c>
      <c r="R132" s="9">
        <v>0.0</v>
      </c>
      <c r="S132" s="12">
        <v>99.0</v>
      </c>
      <c r="T132" s="9">
        <v>0.0</v>
      </c>
      <c r="U132" s="9">
        <v>96.0</v>
      </c>
      <c r="V132" s="9">
        <v>0.0</v>
      </c>
      <c r="W132" s="9">
        <v>0.0</v>
      </c>
      <c r="X132" s="9">
        <v>0.0</v>
      </c>
      <c r="Y132" s="9">
        <v>0.0</v>
      </c>
      <c r="Z132" s="9">
        <v>0.0</v>
      </c>
      <c r="AA132" s="9">
        <v>0.0</v>
      </c>
      <c r="AB132" s="9">
        <v>0.0</v>
      </c>
      <c r="AC132" s="9">
        <v>0.0</v>
      </c>
      <c r="AD132" s="9">
        <v>0.0</v>
      </c>
      <c r="AE132" s="9">
        <v>0.0</v>
      </c>
      <c r="AF132" s="9">
        <v>0.0</v>
      </c>
      <c r="AG132" s="9">
        <v>0.0</v>
      </c>
      <c r="AH132" s="9">
        <v>0.0</v>
      </c>
      <c r="AI132" s="9">
        <v>0.0</v>
      </c>
      <c r="AJ132" s="9">
        <v>0.0</v>
      </c>
      <c r="AK132" s="9">
        <v>0.0</v>
      </c>
      <c r="AL132" s="9">
        <v>0.0</v>
      </c>
      <c r="AM132" s="9">
        <v>0.0</v>
      </c>
      <c r="AN132" s="9">
        <v>0.0</v>
      </c>
      <c r="AO132" s="9">
        <v>1.0</v>
      </c>
      <c r="AP132" s="9">
        <v>1.0</v>
      </c>
      <c r="AQ132" s="9">
        <v>1.0</v>
      </c>
      <c r="AR132" s="9">
        <v>1.0</v>
      </c>
      <c r="AS132" s="9">
        <v>1.0</v>
      </c>
      <c r="AT132" s="9">
        <v>1.0</v>
      </c>
      <c r="AU132" s="9">
        <v>1.0</v>
      </c>
      <c r="AV132" s="9">
        <v>0.0</v>
      </c>
      <c r="AW132" s="9">
        <v>58.8</v>
      </c>
      <c r="AX132" s="33">
        <f>5.46/3.52</f>
        <v>1.551136364</v>
      </c>
      <c r="AY132" s="34">
        <v>0.0</v>
      </c>
      <c r="AZ132" s="30">
        <v>0.0</v>
      </c>
      <c r="BA132" s="30">
        <v>1.0</v>
      </c>
      <c r="BB132" s="33">
        <f>3.12/2.49</f>
        <v>1.253012048</v>
      </c>
      <c r="BC132" s="30">
        <v>2.0</v>
      </c>
      <c r="BD132" s="30">
        <v>1.0</v>
      </c>
      <c r="BE132" s="30">
        <v>1.0</v>
      </c>
      <c r="BF132" s="9" t="s">
        <v>84</v>
      </c>
      <c r="BG132" s="9" t="s">
        <v>84</v>
      </c>
      <c r="BH132" s="9">
        <v>1.0</v>
      </c>
      <c r="BI132" s="9">
        <v>0.0</v>
      </c>
      <c r="BJ132" s="9">
        <v>1.0</v>
      </c>
      <c r="BK132" s="9">
        <v>1.0</v>
      </c>
      <c r="BL132" s="9">
        <v>0.0</v>
      </c>
      <c r="BM132" s="9">
        <v>1.0</v>
      </c>
      <c r="BN132" s="9">
        <v>0.0</v>
      </c>
      <c r="BO132" s="9">
        <v>1.0</v>
      </c>
      <c r="BP132" s="9">
        <v>0.0</v>
      </c>
      <c r="BQ132" s="9">
        <v>0.0</v>
      </c>
      <c r="BR132" s="9">
        <v>0.0</v>
      </c>
      <c r="BS132" s="9">
        <v>0.0</v>
      </c>
      <c r="BT132" s="9">
        <v>0.0</v>
      </c>
      <c r="BU132" s="9">
        <v>0.0</v>
      </c>
      <c r="BV132" s="9">
        <v>1.0</v>
      </c>
      <c r="BW132" s="31" t="s">
        <v>84</v>
      </c>
      <c r="BX132" s="9" t="s">
        <v>84</v>
      </c>
      <c r="BY132" s="9" t="s">
        <v>84</v>
      </c>
      <c r="BZ132" s="9" t="s">
        <v>84</v>
      </c>
      <c r="CA132" s="9" t="s">
        <v>84</v>
      </c>
      <c r="CB132" s="9">
        <v>1.0</v>
      </c>
      <c r="CC132" s="15" t="s">
        <v>101</v>
      </c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57"/>
      <c r="CV132" s="57"/>
      <c r="CW132" s="57"/>
    </row>
    <row r="133" ht="18.75" customHeight="1">
      <c r="A133" s="9">
        <v>132.0</v>
      </c>
      <c r="B133" s="30">
        <v>46.0</v>
      </c>
      <c r="C133" s="31" t="s">
        <v>81</v>
      </c>
      <c r="D133" s="18" t="s">
        <v>88</v>
      </c>
      <c r="E133" s="31" t="s">
        <v>116</v>
      </c>
      <c r="F133" s="55">
        <v>172.7</v>
      </c>
      <c r="G133" s="32">
        <v>72.6</v>
      </c>
      <c r="H133" s="12">
        <f t="shared" si="1"/>
        <v>24.34175829</v>
      </c>
      <c r="I133" s="9">
        <v>1.0</v>
      </c>
      <c r="J133" s="9">
        <v>2.0</v>
      </c>
      <c r="K133" s="9">
        <v>2.0</v>
      </c>
      <c r="L133" s="9">
        <v>0.0</v>
      </c>
      <c r="M133" s="9">
        <v>98.0</v>
      </c>
      <c r="N133" s="9">
        <v>0.0</v>
      </c>
      <c r="O133" s="9">
        <v>109.0</v>
      </c>
      <c r="P133" s="9">
        <v>0.0</v>
      </c>
      <c r="Q133" s="9">
        <v>20.0</v>
      </c>
      <c r="R133" s="9">
        <v>0.0</v>
      </c>
      <c r="S133" s="12">
        <v>98.6</v>
      </c>
      <c r="T133" s="9">
        <v>0.0</v>
      </c>
      <c r="U133" s="9">
        <v>97.0</v>
      </c>
      <c r="V133" s="9">
        <v>0.0</v>
      </c>
      <c r="W133" s="9">
        <v>0.0</v>
      </c>
      <c r="X133" s="9">
        <v>0.0</v>
      </c>
      <c r="Y133" s="9">
        <v>1.0</v>
      </c>
      <c r="Z133" s="9">
        <v>0.0</v>
      </c>
      <c r="AA133" s="9">
        <v>0.0</v>
      </c>
      <c r="AB133" s="9">
        <v>1.0</v>
      </c>
      <c r="AC133" s="9">
        <v>0.0</v>
      </c>
      <c r="AD133" s="9">
        <v>0.0</v>
      </c>
      <c r="AE133" s="9">
        <v>1.0</v>
      </c>
      <c r="AF133" s="9">
        <v>0.0</v>
      </c>
      <c r="AG133" s="9">
        <v>0.0</v>
      </c>
      <c r="AH133" s="9">
        <v>0.0</v>
      </c>
      <c r="AI133" s="9">
        <v>0.0</v>
      </c>
      <c r="AJ133" s="9">
        <v>0.0</v>
      </c>
      <c r="AK133" s="9">
        <v>0.0</v>
      </c>
      <c r="AL133" s="9">
        <v>0.0</v>
      </c>
      <c r="AM133" s="9">
        <v>0.0</v>
      </c>
      <c r="AN133" s="9">
        <v>0.0</v>
      </c>
      <c r="AO133" s="9">
        <v>0.0</v>
      </c>
      <c r="AP133" s="9" t="s">
        <v>84</v>
      </c>
      <c r="AQ133" s="9" t="s">
        <v>84</v>
      </c>
      <c r="AR133" s="9">
        <v>0.0</v>
      </c>
      <c r="AS133" s="9">
        <v>1.0</v>
      </c>
      <c r="AT133" s="9">
        <v>1.0</v>
      </c>
      <c r="AU133" s="9">
        <v>1.0</v>
      </c>
      <c r="AV133" s="9">
        <v>0.0</v>
      </c>
      <c r="AW133" s="9">
        <v>57.5</v>
      </c>
      <c r="AX133" s="33">
        <f>3.91/6.48</f>
        <v>0.6033950617</v>
      </c>
      <c r="AY133" s="34">
        <v>0.0</v>
      </c>
      <c r="AZ133" s="30">
        <v>0.0</v>
      </c>
      <c r="BA133" s="30">
        <v>0.0</v>
      </c>
      <c r="BB133" s="33">
        <f>2.74/2.73</f>
        <v>1.003663004</v>
      </c>
      <c r="BC133" s="30">
        <v>5.0</v>
      </c>
      <c r="BD133" s="30">
        <v>0.0</v>
      </c>
      <c r="BE133" s="30">
        <v>0.0</v>
      </c>
      <c r="BF133" s="9">
        <v>0.0</v>
      </c>
      <c r="BG133" s="9" t="s">
        <v>84</v>
      </c>
      <c r="BH133" s="9">
        <v>0.0</v>
      </c>
      <c r="BI133" s="9">
        <v>0.0</v>
      </c>
      <c r="BJ133" s="9">
        <v>0.0</v>
      </c>
      <c r="BK133" s="9">
        <v>0.0</v>
      </c>
      <c r="BL133" s="9">
        <v>0.0</v>
      </c>
      <c r="BM133" s="9">
        <v>0.0</v>
      </c>
      <c r="BN133" s="9">
        <v>0.0</v>
      </c>
      <c r="BO133" s="9">
        <v>0.0</v>
      </c>
      <c r="BP133" s="9" t="s">
        <v>84</v>
      </c>
      <c r="BQ133" s="9" t="s">
        <v>84</v>
      </c>
      <c r="BR133" s="9">
        <v>0.0</v>
      </c>
      <c r="BS133" s="9">
        <v>0.0</v>
      </c>
      <c r="BT133" s="9">
        <v>0.0</v>
      </c>
      <c r="BU133" s="9">
        <v>0.0</v>
      </c>
      <c r="BV133" s="9">
        <v>0.0</v>
      </c>
      <c r="BW133" s="31" t="s">
        <v>94</v>
      </c>
      <c r="BX133" s="9" t="s">
        <v>94</v>
      </c>
      <c r="BY133" s="9">
        <v>0.0</v>
      </c>
      <c r="BZ133" s="9">
        <v>0.0</v>
      </c>
      <c r="CA133" s="9">
        <v>0.0</v>
      </c>
      <c r="CB133" s="9">
        <v>0.0</v>
      </c>
      <c r="CC133" s="15" t="s">
        <v>101</v>
      </c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57"/>
      <c r="CV133" s="57"/>
      <c r="CW133" s="57"/>
    </row>
    <row r="134" ht="18.75" customHeight="1">
      <c r="A134" s="9">
        <v>133.0</v>
      </c>
      <c r="B134" s="31" t="s">
        <v>204</v>
      </c>
      <c r="C134" s="31" t="s">
        <v>86</v>
      </c>
      <c r="D134" s="18" t="s">
        <v>88</v>
      </c>
      <c r="E134" s="31" t="s">
        <v>96</v>
      </c>
      <c r="F134" s="55">
        <v>160.0</v>
      </c>
      <c r="G134" s="32">
        <v>97.1</v>
      </c>
      <c r="H134" s="12">
        <f t="shared" si="1"/>
        <v>37.9296875</v>
      </c>
      <c r="I134" s="9">
        <v>0.0</v>
      </c>
      <c r="J134" s="9">
        <v>1.0</v>
      </c>
      <c r="K134" s="9">
        <v>1.0</v>
      </c>
      <c r="L134" s="9">
        <v>0.0</v>
      </c>
      <c r="M134" s="9">
        <v>91.0</v>
      </c>
      <c r="N134" s="9">
        <v>0.0</v>
      </c>
      <c r="O134" s="9">
        <v>109.0</v>
      </c>
      <c r="P134" s="9">
        <v>0.0</v>
      </c>
      <c r="Q134" s="9">
        <v>27.0</v>
      </c>
      <c r="R134" s="9">
        <v>0.0</v>
      </c>
      <c r="S134" s="12">
        <v>98.2</v>
      </c>
      <c r="T134" s="9">
        <v>0.0</v>
      </c>
      <c r="U134" s="9">
        <v>99.0</v>
      </c>
      <c r="V134" s="9">
        <v>0.0</v>
      </c>
      <c r="W134" s="9">
        <v>0.0</v>
      </c>
      <c r="X134" s="9">
        <v>0.0</v>
      </c>
      <c r="Y134" s="9">
        <v>0.0</v>
      </c>
      <c r="Z134" s="9">
        <v>0.0</v>
      </c>
      <c r="AA134" s="9">
        <v>0.0</v>
      </c>
      <c r="AB134" s="9">
        <v>0.0</v>
      </c>
      <c r="AC134" s="9">
        <v>0.0</v>
      </c>
      <c r="AD134" s="9">
        <v>0.0</v>
      </c>
      <c r="AE134" s="9">
        <v>0.0</v>
      </c>
      <c r="AF134" s="9">
        <v>1.0</v>
      </c>
      <c r="AG134" s="9">
        <v>0.0</v>
      </c>
      <c r="AH134" s="9">
        <v>0.0</v>
      </c>
      <c r="AI134" s="9">
        <v>0.0</v>
      </c>
      <c r="AJ134" s="9">
        <v>0.0</v>
      </c>
      <c r="AK134" s="9">
        <v>0.0</v>
      </c>
      <c r="AL134" s="9">
        <v>0.0</v>
      </c>
      <c r="AM134" s="9">
        <v>0.0</v>
      </c>
      <c r="AN134" s="9">
        <v>0.0</v>
      </c>
      <c r="AO134" s="9">
        <v>0.0</v>
      </c>
      <c r="AP134" s="9" t="s">
        <v>84</v>
      </c>
      <c r="AQ134" s="9" t="s">
        <v>84</v>
      </c>
      <c r="AR134" s="9" t="s">
        <v>84</v>
      </c>
      <c r="AS134" s="9">
        <v>0.0</v>
      </c>
      <c r="AT134" s="9">
        <v>0.0</v>
      </c>
      <c r="AU134" s="9">
        <v>0.0</v>
      </c>
      <c r="AV134" s="9">
        <v>0.0</v>
      </c>
      <c r="AW134" s="9">
        <v>17.9</v>
      </c>
      <c r="AX134" s="33">
        <f>4.04/4.12</f>
        <v>0.9805825243</v>
      </c>
      <c r="AY134" s="34">
        <v>0.0</v>
      </c>
      <c r="AZ134" s="30">
        <v>0.0</v>
      </c>
      <c r="BA134" s="30">
        <v>1.0</v>
      </c>
      <c r="BB134" s="33">
        <f>2.18/2.83</f>
        <v>0.7703180212</v>
      </c>
      <c r="BC134" s="30">
        <v>2.0</v>
      </c>
      <c r="BD134" s="30">
        <v>0.0</v>
      </c>
      <c r="BE134" s="30">
        <v>0.0</v>
      </c>
      <c r="BF134" s="9">
        <v>0.0</v>
      </c>
      <c r="BG134" s="9" t="s">
        <v>84</v>
      </c>
      <c r="BH134" s="9">
        <v>0.0</v>
      </c>
      <c r="BI134" s="9">
        <v>0.0</v>
      </c>
      <c r="BJ134" s="9">
        <v>0.0</v>
      </c>
      <c r="BK134" s="9">
        <v>0.0</v>
      </c>
      <c r="BL134" s="9">
        <v>0.0</v>
      </c>
      <c r="BM134" s="9">
        <v>0.0</v>
      </c>
      <c r="BN134" s="9">
        <v>0.0</v>
      </c>
      <c r="BO134" s="9">
        <v>0.0</v>
      </c>
      <c r="BP134" s="9" t="s">
        <v>84</v>
      </c>
      <c r="BQ134" s="9" t="s">
        <v>84</v>
      </c>
      <c r="BR134" s="9">
        <v>0.0</v>
      </c>
      <c r="BS134" s="9">
        <v>0.0</v>
      </c>
      <c r="BT134" s="9">
        <v>0.0</v>
      </c>
      <c r="BU134" s="9">
        <v>0.0</v>
      </c>
      <c r="BV134" s="9">
        <v>0.0</v>
      </c>
      <c r="BW134" s="30">
        <v>0.0</v>
      </c>
      <c r="BX134" s="9">
        <v>0.0</v>
      </c>
      <c r="BY134" s="9">
        <v>0.0</v>
      </c>
      <c r="BZ134" s="9">
        <v>1.0</v>
      </c>
      <c r="CA134" s="9">
        <v>0.0</v>
      </c>
      <c r="CB134" s="9">
        <v>0.0</v>
      </c>
      <c r="CC134" s="15" t="s">
        <v>104</v>
      </c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57"/>
      <c r="CV134" s="57"/>
      <c r="CW134" s="57"/>
    </row>
    <row r="135" ht="18.75" customHeight="1">
      <c r="A135" s="9">
        <v>134.0</v>
      </c>
      <c r="B135" s="30">
        <v>86.0</v>
      </c>
      <c r="C135" s="31" t="s">
        <v>86</v>
      </c>
      <c r="D135" s="31" t="s">
        <v>82</v>
      </c>
      <c r="E135" s="31" t="s">
        <v>109</v>
      </c>
      <c r="F135" s="55">
        <v>152.4</v>
      </c>
      <c r="G135" s="12">
        <v>50.3</v>
      </c>
      <c r="H135" s="12">
        <f t="shared" si="1"/>
        <v>21.65698776</v>
      </c>
      <c r="I135" s="9">
        <v>1.0</v>
      </c>
      <c r="J135" s="9">
        <v>4.0</v>
      </c>
      <c r="K135" s="9">
        <v>1.0</v>
      </c>
      <c r="L135" s="9">
        <v>0.0</v>
      </c>
      <c r="M135" s="9">
        <v>59.0</v>
      </c>
      <c r="N135" s="9">
        <v>0.0</v>
      </c>
      <c r="O135" s="9">
        <v>130.0</v>
      </c>
      <c r="P135" s="9">
        <v>0.0</v>
      </c>
      <c r="Q135" s="9">
        <v>18.0</v>
      </c>
      <c r="R135" s="9" t="s">
        <v>84</v>
      </c>
      <c r="S135" s="12" t="s">
        <v>84</v>
      </c>
      <c r="T135" s="9">
        <v>0.0</v>
      </c>
      <c r="U135" s="9">
        <v>96.0</v>
      </c>
      <c r="V135" s="9">
        <v>0.0</v>
      </c>
      <c r="W135" s="9">
        <v>0.0</v>
      </c>
      <c r="X135" s="9">
        <v>0.0</v>
      </c>
      <c r="Y135" s="9">
        <v>0.0</v>
      </c>
      <c r="Z135" s="9">
        <v>1.0</v>
      </c>
      <c r="AA135" s="9">
        <v>0.0</v>
      </c>
      <c r="AB135" s="9">
        <v>0.0</v>
      </c>
      <c r="AC135" s="9">
        <v>0.0</v>
      </c>
      <c r="AD135" s="9">
        <v>0.0</v>
      </c>
      <c r="AE135" s="9">
        <v>0.0</v>
      </c>
      <c r="AF135" s="9">
        <v>0.0</v>
      </c>
      <c r="AG135" s="9">
        <v>0.0</v>
      </c>
      <c r="AH135" s="9">
        <v>0.0</v>
      </c>
      <c r="AI135" s="9">
        <v>0.0</v>
      </c>
      <c r="AJ135" s="9">
        <v>0.0</v>
      </c>
      <c r="AK135" s="9">
        <v>0.0</v>
      </c>
      <c r="AL135" s="9">
        <v>0.0</v>
      </c>
      <c r="AM135" s="9">
        <v>0.0</v>
      </c>
      <c r="AN135" s="9">
        <v>0.0</v>
      </c>
      <c r="AO135" s="9" t="s">
        <v>84</v>
      </c>
      <c r="AP135" s="9" t="s">
        <v>84</v>
      </c>
      <c r="AQ135" s="9" t="s">
        <v>84</v>
      </c>
      <c r="AR135" s="9">
        <v>0.0</v>
      </c>
      <c r="AS135" s="9" t="s">
        <v>84</v>
      </c>
      <c r="AT135" s="9" t="s">
        <v>84</v>
      </c>
      <c r="AU135" s="9" t="s">
        <v>84</v>
      </c>
      <c r="AV135" s="9" t="s">
        <v>84</v>
      </c>
      <c r="AW135" s="9" t="s">
        <v>84</v>
      </c>
      <c r="AX135" s="33">
        <f>3.45/4.52</f>
        <v>0.7632743363</v>
      </c>
      <c r="AY135" s="34">
        <v>0.0</v>
      </c>
      <c r="AZ135" s="30">
        <v>0.0</v>
      </c>
      <c r="BA135" s="30">
        <v>0.0</v>
      </c>
      <c r="BB135" s="33">
        <f>2.67/2.73</f>
        <v>0.978021978</v>
      </c>
      <c r="BC135" s="30">
        <v>2.0</v>
      </c>
      <c r="BD135" s="30">
        <v>0.0</v>
      </c>
      <c r="BE135" s="30">
        <v>0.0</v>
      </c>
      <c r="BF135" s="9">
        <v>0.0</v>
      </c>
      <c r="BG135" s="9" t="s">
        <v>84</v>
      </c>
      <c r="BH135" s="9">
        <v>0.0</v>
      </c>
      <c r="BI135" s="9">
        <v>0.0</v>
      </c>
      <c r="BJ135" s="9">
        <v>0.0</v>
      </c>
      <c r="BK135" s="9">
        <v>0.0</v>
      </c>
      <c r="BL135" s="9">
        <v>0.0</v>
      </c>
      <c r="BM135" s="9">
        <v>0.0</v>
      </c>
      <c r="BN135" s="9">
        <v>0.0</v>
      </c>
      <c r="BO135" s="9">
        <v>0.0</v>
      </c>
      <c r="BP135" s="9" t="s">
        <v>84</v>
      </c>
      <c r="BQ135" s="9" t="s">
        <v>84</v>
      </c>
      <c r="BR135" s="9">
        <v>0.0</v>
      </c>
      <c r="BS135" s="9">
        <v>0.0</v>
      </c>
      <c r="BT135" s="9">
        <v>0.0</v>
      </c>
      <c r="BU135" s="9">
        <v>0.0</v>
      </c>
      <c r="BV135" s="9">
        <v>0.0</v>
      </c>
      <c r="BW135" s="30">
        <v>0.0</v>
      </c>
      <c r="BX135" s="9">
        <v>0.0</v>
      </c>
      <c r="BY135" s="9">
        <v>0.0</v>
      </c>
      <c r="BZ135" s="9">
        <v>0.0</v>
      </c>
      <c r="CA135" s="9">
        <v>0.0</v>
      </c>
      <c r="CB135" s="9">
        <v>0.0</v>
      </c>
      <c r="CC135" s="15" t="s">
        <v>104</v>
      </c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57"/>
      <c r="CV135" s="57"/>
      <c r="CW135" s="57"/>
    </row>
    <row r="136" ht="18.75" customHeight="1">
      <c r="A136" s="9">
        <v>135.0</v>
      </c>
      <c r="B136" s="30">
        <v>52.0</v>
      </c>
      <c r="C136" s="31" t="s">
        <v>81</v>
      </c>
      <c r="D136" s="31" t="s">
        <v>88</v>
      </c>
      <c r="E136" s="31" t="s">
        <v>99</v>
      </c>
      <c r="F136" s="55">
        <v>170.2</v>
      </c>
      <c r="G136" s="12">
        <v>126.6</v>
      </c>
      <c r="H136" s="12">
        <f t="shared" si="1"/>
        <v>43.7033365</v>
      </c>
      <c r="I136" s="9">
        <v>0.0</v>
      </c>
      <c r="J136" s="9">
        <v>1.0</v>
      </c>
      <c r="K136" s="9">
        <v>1.0</v>
      </c>
      <c r="L136" s="9">
        <v>0.0</v>
      </c>
      <c r="M136" s="9">
        <v>83.0</v>
      </c>
      <c r="N136" s="9">
        <v>0.0</v>
      </c>
      <c r="O136" s="9">
        <v>143.0</v>
      </c>
      <c r="P136" s="9">
        <v>0.0</v>
      </c>
      <c r="Q136" s="9">
        <v>24.0</v>
      </c>
      <c r="R136" s="9">
        <v>0.0</v>
      </c>
      <c r="S136" s="12">
        <v>98.2</v>
      </c>
      <c r="T136" s="9">
        <v>0.0</v>
      </c>
      <c r="U136" s="9">
        <v>96.0</v>
      </c>
      <c r="V136" s="9">
        <v>0.0</v>
      </c>
      <c r="W136" s="9">
        <v>0.0</v>
      </c>
      <c r="X136" s="9">
        <v>0.0</v>
      </c>
      <c r="Y136" s="9">
        <v>0.0</v>
      </c>
      <c r="Z136" s="9">
        <v>0.0</v>
      </c>
      <c r="AA136" s="9">
        <v>0.0</v>
      </c>
      <c r="AB136" s="9">
        <v>0.0</v>
      </c>
      <c r="AC136" s="9">
        <v>0.0</v>
      </c>
      <c r="AD136" s="9">
        <v>0.0</v>
      </c>
      <c r="AE136" s="9">
        <v>0.0</v>
      </c>
      <c r="AF136" s="9">
        <v>0.0</v>
      </c>
      <c r="AG136" s="9">
        <v>0.0</v>
      </c>
      <c r="AH136" s="9">
        <v>0.0</v>
      </c>
      <c r="AI136" s="9">
        <v>0.0</v>
      </c>
      <c r="AJ136" s="9">
        <v>0.0</v>
      </c>
      <c r="AK136" s="9">
        <v>0.0</v>
      </c>
      <c r="AL136" s="9">
        <v>0.0</v>
      </c>
      <c r="AM136" s="9">
        <v>0.0</v>
      </c>
      <c r="AN136" s="9">
        <v>0.0</v>
      </c>
      <c r="AO136" s="9" t="s">
        <v>84</v>
      </c>
      <c r="AP136" s="9" t="s">
        <v>84</v>
      </c>
      <c r="AQ136" s="9">
        <v>0.0</v>
      </c>
      <c r="AR136" s="9">
        <v>0.0</v>
      </c>
      <c r="AS136" s="9" t="s">
        <v>84</v>
      </c>
      <c r="AT136" s="9" t="s">
        <v>84</v>
      </c>
      <c r="AU136" s="9" t="s">
        <v>84</v>
      </c>
      <c r="AV136" s="9" t="s">
        <v>84</v>
      </c>
      <c r="AW136" s="9" t="s">
        <v>84</v>
      </c>
      <c r="AX136" s="33">
        <f>5.06/4.47</f>
        <v>1.131991051</v>
      </c>
      <c r="AY136" s="34">
        <v>0.0</v>
      </c>
      <c r="AZ136" s="30">
        <v>0.0</v>
      </c>
      <c r="BA136" s="30">
        <v>1.0</v>
      </c>
      <c r="BB136" s="33">
        <f>2.8/3.42</f>
        <v>0.8187134503</v>
      </c>
      <c r="BC136" s="30">
        <v>3.0</v>
      </c>
      <c r="BD136" s="30">
        <v>0.0</v>
      </c>
      <c r="BE136" s="30">
        <v>0.0</v>
      </c>
      <c r="BF136" s="9">
        <v>0.0</v>
      </c>
      <c r="BG136" s="9" t="s">
        <v>84</v>
      </c>
      <c r="BH136" s="9">
        <v>0.0</v>
      </c>
      <c r="BI136" s="9">
        <v>0.0</v>
      </c>
      <c r="BJ136" s="9">
        <v>0.0</v>
      </c>
      <c r="BK136" s="9">
        <v>0.0</v>
      </c>
      <c r="BL136" s="9">
        <v>0.0</v>
      </c>
      <c r="BM136" s="9">
        <v>0.0</v>
      </c>
      <c r="BN136" s="9">
        <v>0.0</v>
      </c>
      <c r="BO136" s="9">
        <v>0.0</v>
      </c>
      <c r="BP136" s="9" t="s">
        <v>84</v>
      </c>
      <c r="BQ136" s="9" t="s">
        <v>84</v>
      </c>
      <c r="BR136" s="9">
        <v>1.0</v>
      </c>
      <c r="BS136" s="15" t="s">
        <v>205</v>
      </c>
      <c r="BT136" s="9">
        <v>0.0</v>
      </c>
      <c r="BU136" s="9">
        <v>0.0</v>
      </c>
      <c r="BV136" s="9">
        <v>0.0</v>
      </c>
      <c r="BW136" s="30">
        <v>0.0</v>
      </c>
      <c r="BX136" s="9">
        <v>0.0</v>
      </c>
      <c r="BY136" s="9">
        <v>0.0</v>
      </c>
      <c r="BZ136" s="9">
        <v>1.0</v>
      </c>
      <c r="CA136" s="9">
        <v>0.0</v>
      </c>
      <c r="CB136" s="9">
        <v>0.0</v>
      </c>
      <c r="CC136" s="15" t="s">
        <v>101</v>
      </c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57"/>
      <c r="CV136" s="57"/>
      <c r="CW136" s="57"/>
    </row>
    <row r="137" ht="18.75" customHeight="1">
      <c r="A137" s="9">
        <v>136.0</v>
      </c>
      <c r="B137" s="30">
        <v>50.0</v>
      </c>
      <c r="C137" s="31" t="s">
        <v>81</v>
      </c>
      <c r="D137" s="31" t="s">
        <v>82</v>
      </c>
      <c r="E137" s="31" t="s">
        <v>96</v>
      </c>
      <c r="F137" s="55">
        <v>177.8</v>
      </c>
      <c r="G137" s="12">
        <v>159.9</v>
      </c>
      <c r="H137" s="12">
        <f t="shared" si="1"/>
        <v>50.58071341</v>
      </c>
      <c r="I137" s="9">
        <v>1.0</v>
      </c>
      <c r="J137" s="9">
        <v>2.0</v>
      </c>
      <c r="K137" s="9">
        <v>1.0</v>
      </c>
      <c r="L137" s="9">
        <v>1.0</v>
      </c>
      <c r="M137" s="9">
        <v>118.0</v>
      </c>
      <c r="N137" s="9">
        <v>0.0</v>
      </c>
      <c r="O137" s="9">
        <v>133.0</v>
      </c>
      <c r="P137" s="9">
        <v>0.0</v>
      </c>
      <c r="Q137" s="9">
        <v>17.0</v>
      </c>
      <c r="R137" s="9">
        <v>0.0</v>
      </c>
      <c r="S137" s="12">
        <v>100.1</v>
      </c>
      <c r="T137" s="9">
        <v>0.0</v>
      </c>
      <c r="U137" s="9">
        <v>98.0</v>
      </c>
      <c r="V137" s="9">
        <v>0.0</v>
      </c>
      <c r="W137" s="9">
        <v>0.0</v>
      </c>
      <c r="X137" s="9">
        <v>0.0</v>
      </c>
      <c r="Y137" s="9">
        <v>0.0</v>
      </c>
      <c r="Z137" s="9">
        <v>0.0</v>
      </c>
      <c r="AA137" s="9">
        <v>0.0</v>
      </c>
      <c r="AB137" s="9">
        <v>0.0</v>
      </c>
      <c r="AC137" s="9">
        <v>0.0</v>
      </c>
      <c r="AD137" s="9">
        <v>0.0</v>
      </c>
      <c r="AE137" s="9">
        <v>1.0</v>
      </c>
      <c r="AF137" s="9">
        <v>0.0</v>
      </c>
      <c r="AG137" s="9">
        <v>0.0</v>
      </c>
      <c r="AH137" s="9">
        <v>0.0</v>
      </c>
      <c r="AI137" s="9">
        <v>0.0</v>
      </c>
      <c r="AJ137" s="9">
        <v>0.0</v>
      </c>
      <c r="AK137" s="9">
        <v>0.0</v>
      </c>
      <c r="AL137" s="9">
        <v>0.0</v>
      </c>
      <c r="AM137" s="9">
        <v>0.0</v>
      </c>
      <c r="AN137" s="9">
        <v>0.0</v>
      </c>
      <c r="AO137" s="9">
        <v>1.0</v>
      </c>
      <c r="AP137" s="9">
        <v>1.0</v>
      </c>
      <c r="AQ137" s="9">
        <v>0.0</v>
      </c>
      <c r="AR137" s="9">
        <v>0.0</v>
      </c>
      <c r="AS137" s="9">
        <v>0.0</v>
      </c>
      <c r="AT137" s="9">
        <v>0.0</v>
      </c>
      <c r="AU137" s="9">
        <v>0.0</v>
      </c>
      <c r="AV137" s="9">
        <v>1.0</v>
      </c>
      <c r="AW137" s="9">
        <v>22.7</v>
      </c>
      <c r="AX137" s="33">
        <f>4.06/4.07</f>
        <v>0.9975429975</v>
      </c>
      <c r="AY137" s="34">
        <v>0.0</v>
      </c>
      <c r="AZ137" s="30">
        <v>0.0</v>
      </c>
      <c r="BA137" s="30">
        <v>1.0</v>
      </c>
      <c r="BB137" s="33">
        <f>3/3.14</f>
        <v>0.9554140127</v>
      </c>
      <c r="BC137" s="30">
        <v>2.0</v>
      </c>
      <c r="BD137" s="30">
        <v>0.0</v>
      </c>
      <c r="BE137" s="30">
        <v>0.0</v>
      </c>
      <c r="BF137" s="9">
        <v>0.0</v>
      </c>
      <c r="BG137" s="9" t="s">
        <v>84</v>
      </c>
      <c r="BH137" s="9">
        <v>0.0</v>
      </c>
      <c r="BI137" s="9">
        <v>0.0</v>
      </c>
      <c r="BJ137" s="9">
        <v>0.0</v>
      </c>
      <c r="BK137" s="9">
        <v>0.0</v>
      </c>
      <c r="BL137" s="9">
        <v>0.0</v>
      </c>
      <c r="BM137" s="9">
        <v>0.0</v>
      </c>
      <c r="BN137" s="9">
        <v>0.0</v>
      </c>
      <c r="BO137" s="9">
        <v>0.0</v>
      </c>
      <c r="BP137" s="9" t="s">
        <v>84</v>
      </c>
      <c r="BQ137" s="9" t="s">
        <v>84</v>
      </c>
      <c r="BR137" s="9">
        <v>0.0</v>
      </c>
      <c r="BS137" s="9">
        <v>0.0</v>
      </c>
      <c r="BT137" s="9">
        <v>0.0</v>
      </c>
      <c r="BU137" s="9">
        <v>0.0</v>
      </c>
      <c r="BV137" s="9">
        <v>0.0</v>
      </c>
      <c r="BW137" s="30">
        <v>0.0</v>
      </c>
      <c r="BX137" s="9">
        <v>0.0</v>
      </c>
      <c r="BY137" s="9">
        <v>0.0</v>
      </c>
      <c r="BZ137" s="9">
        <v>1.0</v>
      </c>
      <c r="CA137" s="9">
        <v>0.0</v>
      </c>
      <c r="CB137" s="9">
        <v>0.0</v>
      </c>
      <c r="CC137" s="15" t="s">
        <v>101</v>
      </c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57"/>
      <c r="CV137" s="57"/>
      <c r="CW137" s="57"/>
    </row>
    <row r="138" ht="18.75" customHeight="1">
      <c r="A138" s="9">
        <v>137.0</v>
      </c>
      <c r="B138" s="30">
        <v>77.0</v>
      </c>
      <c r="C138" s="31" t="s">
        <v>86</v>
      </c>
      <c r="D138" s="31" t="s">
        <v>88</v>
      </c>
      <c r="E138" s="31" t="s">
        <v>132</v>
      </c>
      <c r="F138" s="55">
        <v>147.3</v>
      </c>
      <c r="G138" s="12">
        <v>90.7</v>
      </c>
      <c r="H138" s="12">
        <f t="shared" si="1"/>
        <v>41.80245551</v>
      </c>
      <c r="I138" s="9">
        <v>0.0</v>
      </c>
      <c r="J138" s="9">
        <v>2.0</v>
      </c>
      <c r="K138" s="9">
        <v>1.0</v>
      </c>
      <c r="L138" s="9">
        <v>0.0</v>
      </c>
      <c r="M138" s="9">
        <v>73.0</v>
      </c>
      <c r="N138" s="9">
        <v>0.0</v>
      </c>
      <c r="O138" s="9">
        <v>115.0</v>
      </c>
      <c r="P138" s="9">
        <v>0.0</v>
      </c>
      <c r="Q138" s="9">
        <v>20.0</v>
      </c>
      <c r="R138" s="9" t="s">
        <v>84</v>
      </c>
      <c r="S138" s="12" t="s">
        <v>84</v>
      </c>
      <c r="T138" s="9">
        <v>0.0</v>
      </c>
      <c r="U138" s="9">
        <v>97.0</v>
      </c>
      <c r="V138" s="9">
        <v>0.0</v>
      </c>
      <c r="W138" s="9">
        <v>0.0</v>
      </c>
      <c r="X138" s="9">
        <v>0.0</v>
      </c>
      <c r="Y138" s="9">
        <v>0.0</v>
      </c>
      <c r="Z138" s="9">
        <v>0.0</v>
      </c>
      <c r="AA138" s="9">
        <v>0.0</v>
      </c>
      <c r="AB138" s="9">
        <v>0.0</v>
      </c>
      <c r="AC138" s="9">
        <v>0.0</v>
      </c>
      <c r="AD138" s="9">
        <v>0.0</v>
      </c>
      <c r="AE138" s="9">
        <v>0.0</v>
      </c>
      <c r="AF138" s="9">
        <v>1.0</v>
      </c>
      <c r="AG138" s="9">
        <v>0.0</v>
      </c>
      <c r="AH138" s="9">
        <v>0.0</v>
      </c>
      <c r="AI138" s="9">
        <v>0.0</v>
      </c>
      <c r="AJ138" s="9">
        <v>0.0</v>
      </c>
      <c r="AK138" s="9">
        <v>1.0</v>
      </c>
      <c r="AL138" s="9">
        <v>0.0</v>
      </c>
      <c r="AM138" s="9">
        <v>0.0</v>
      </c>
      <c r="AN138" s="9">
        <v>0.0</v>
      </c>
      <c r="AO138" s="9">
        <v>1.0</v>
      </c>
      <c r="AP138" s="9">
        <v>0.0</v>
      </c>
      <c r="AQ138" s="9">
        <v>0.0</v>
      </c>
      <c r="AR138" s="9">
        <v>0.0</v>
      </c>
      <c r="AS138" s="9">
        <v>0.0</v>
      </c>
      <c r="AT138" s="9">
        <v>0.0</v>
      </c>
      <c r="AU138" s="9">
        <v>0.0</v>
      </c>
      <c r="AV138" s="9">
        <v>0.0</v>
      </c>
      <c r="AW138" s="9" t="s">
        <v>97</v>
      </c>
      <c r="AX138" s="33">
        <f>3.85/4.67</f>
        <v>0.8244111349</v>
      </c>
      <c r="AY138" s="34">
        <v>0.0</v>
      </c>
      <c r="AZ138" s="30">
        <v>0.0</v>
      </c>
      <c r="BA138" s="30">
        <v>0.0</v>
      </c>
      <c r="BB138" s="33">
        <f>2.87/3.68</f>
        <v>0.7798913043</v>
      </c>
      <c r="BC138" s="30">
        <v>1.0</v>
      </c>
      <c r="BD138" s="30">
        <v>0.0</v>
      </c>
      <c r="BE138" s="30">
        <v>0.0</v>
      </c>
      <c r="BF138" s="9">
        <v>0.0</v>
      </c>
      <c r="BG138" s="9" t="s">
        <v>84</v>
      </c>
      <c r="BH138" s="9">
        <v>0.0</v>
      </c>
      <c r="BI138" s="9">
        <v>0.0</v>
      </c>
      <c r="BJ138" s="9">
        <v>0.0</v>
      </c>
      <c r="BK138" s="9">
        <v>0.0</v>
      </c>
      <c r="BL138" s="9">
        <v>0.0</v>
      </c>
      <c r="BM138" s="9">
        <v>0.0</v>
      </c>
      <c r="BN138" s="9">
        <v>0.0</v>
      </c>
      <c r="BO138" s="9">
        <v>0.0</v>
      </c>
      <c r="BP138" s="9" t="s">
        <v>84</v>
      </c>
      <c r="BQ138" s="9" t="s">
        <v>84</v>
      </c>
      <c r="BR138" s="9">
        <v>0.0</v>
      </c>
      <c r="BS138" s="9">
        <v>0.0</v>
      </c>
      <c r="BT138" s="9">
        <v>0.0</v>
      </c>
      <c r="BU138" s="9" t="s">
        <v>91</v>
      </c>
      <c r="BV138" s="9">
        <v>0.0</v>
      </c>
      <c r="BW138" s="30">
        <v>0.0</v>
      </c>
      <c r="BX138" s="9">
        <v>0.0</v>
      </c>
      <c r="BY138" s="9">
        <v>0.0</v>
      </c>
      <c r="BZ138" s="9">
        <v>0.0</v>
      </c>
      <c r="CA138" s="9">
        <v>0.0</v>
      </c>
      <c r="CB138" s="9">
        <v>0.0</v>
      </c>
      <c r="CC138" s="15" t="s">
        <v>92</v>
      </c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57"/>
      <c r="CV138" s="57"/>
      <c r="CW138" s="57"/>
    </row>
    <row r="139" ht="18.75" customHeight="1">
      <c r="A139" s="9">
        <v>138.0</v>
      </c>
      <c r="B139" s="30">
        <v>64.0</v>
      </c>
      <c r="C139" s="31" t="s">
        <v>86</v>
      </c>
      <c r="D139" s="31" t="s">
        <v>82</v>
      </c>
      <c r="E139" s="31" t="s">
        <v>103</v>
      </c>
      <c r="F139" s="55">
        <v>165.1</v>
      </c>
      <c r="G139" s="12">
        <v>104.3</v>
      </c>
      <c r="H139" s="12">
        <f t="shared" si="1"/>
        <v>38.26398185</v>
      </c>
      <c r="I139" s="9">
        <v>0.0</v>
      </c>
      <c r="J139" s="9">
        <v>1.0</v>
      </c>
      <c r="K139" s="9">
        <v>1.0</v>
      </c>
      <c r="L139" s="9">
        <v>0.0</v>
      </c>
      <c r="M139" s="9">
        <v>67.0</v>
      </c>
      <c r="N139" s="9">
        <v>0.0</v>
      </c>
      <c r="O139" s="9">
        <v>138.0</v>
      </c>
      <c r="P139" s="9">
        <v>0.0</v>
      </c>
      <c r="Q139" s="9">
        <v>16.0</v>
      </c>
      <c r="R139" s="9">
        <v>0.0</v>
      </c>
      <c r="S139" s="12">
        <v>97.9</v>
      </c>
      <c r="T139" s="9">
        <v>0.0</v>
      </c>
      <c r="U139" s="9">
        <v>97.0</v>
      </c>
      <c r="V139" s="9">
        <v>0.0</v>
      </c>
      <c r="W139" s="9">
        <v>0.0</v>
      </c>
      <c r="X139" s="9">
        <v>0.0</v>
      </c>
      <c r="Y139" s="9">
        <v>0.0</v>
      </c>
      <c r="Z139" s="9">
        <v>0.0</v>
      </c>
      <c r="AA139" s="9">
        <v>0.0</v>
      </c>
      <c r="AB139" s="9">
        <v>0.0</v>
      </c>
      <c r="AC139" s="9">
        <v>0.0</v>
      </c>
      <c r="AD139" s="9">
        <v>0.0</v>
      </c>
      <c r="AE139" s="9">
        <v>0.0</v>
      </c>
      <c r="AF139" s="9">
        <v>0.0</v>
      </c>
      <c r="AG139" s="9">
        <v>1.0</v>
      </c>
      <c r="AH139" s="9">
        <v>0.0</v>
      </c>
      <c r="AI139" s="9">
        <v>1.0</v>
      </c>
      <c r="AJ139" s="9">
        <v>1.0</v>
      </c>
      <c r="AK139" s="9">
        <v>0.0</v>
      </c>
      <c r="AL139" s="9">
        <v>0.0</v>
      </c>
      <c r="AM139" s="9">
        <v>0.0</v>
      </c>
      <c r="AN139" s="9">
        <v>0.0</v>
      </c>
      <c r="AO139" s="9">
        <v>1.0</v>
      </c>
      <c r="AP139" s="9">
        <v>0.0</v>
      </c>
      <c r="AQ139" s="9" t="s">
        <v>84</v>
      </c>
      <c r="AR139" s="9">
        <v>0.0</v>
      </c>
      <c r="AS139" s="9">
        <v>0.0</v>
      </c>
      <c r="AT139" s="9">
        <v>0.0</v>
      </c>
      <c r="AU139" s="9">
        <v>0.0</v>
      </c>
      <c r="AV139" s="9">
        <v>0.0</v>
      </c>
      <c r="AW139" s="9" t="s">
        <v>97</v>
      </c>
      <c r="AX139" s="33">
        <f>3.95/4.84</f>
        <v>0.8161157025</v>
      </c>
      <c r="AY139" s="34">
        <v>0.0</v>
      </c>
      <c r="AZ139" s="30">
        <v>0.0</v>
      </c>
      <c r="BA139" s="30">
        <v>0.0</v>
      </c>
      <c r="BB139" s="33">
        <f>2.91/3.42</f>
        <v>0.850877193</v>
      </c>
      <c r="BC139" s="30">
        <v>1.0</v>
      </c>
      <c r="BD139" s="30">
        <v>0.0</v>
      </c>
      <c r="BE139" s="30">
        <v>0.0</v>
      </c>
      <c r="BF139" s="9">
        <v>0.0</v>
      </c>
      <c r="BG139" s="9" t="s">
        <v>84</v>
      </c>
      <c r="BH139" s="9">
        <v>0.0</v>
      </c>
      <c r="BI139" s="9">
        <v>0.0</v>
      </c>
      <c r="BJ139" s="9">
        <v>0.0</v>
      </c>
      <c r="BK139" s="9">
        <v>0.0</v>
      </c>
      <c r="BL139" s="9">
        <v>0.0</v>
      </c>
      <c r="BM139" s="9">
        <v>0.0</v>
      </c>
      <c r="BN139" s="9">
        <v>0.0</v>
      </c>
      <c r="BO139" s="9">
        <v>0.0</v>
      </c>
      <c r="BP139" s="9" t="s">
        <v>84</v>
      </c>
      <c r="BQ139" s="9" t="s">
        <v>84</v>
      </c>
      <c r="BR139" s="9">
        <v>0.0</v>
      </c>
      <c r="BS139" s="9">
        <v>0.0</v>
      </c>
      <c r="BT139" s="9">
        <v>0.0</v>
      </c>
      <c r="BU139" s="9">
        <v>0.0</v>
      </c>
      <c r="BV139" s="9">
        <v>0.0</v>
      </c>
      <c r="BW139" s="30">
        <v>0.0</v>
      </c>
      <c r="BX139" s="9">
        <v>0.0</v>
      </c>
      <c r="BY139" s="9">
        <v>0.0</v>
      </c>
      <c r="BZ139" s="9">
        <v>1.0</v>
      </c>
      <c r="CA139" s="9">
        <v>0.0</v>
      </c>
      <c r="CB139" s="9">
        <v>0.0</v>
      </c>
      <c r="CC139" s="15" t="s">
        <v>87</v>
      </c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57"/>
      <c r="CV139" s="57"/>
      <c r="CW139" s="57"/>
    </row>
    <row r="140" ht="18.75" customHeight="1">
      <c r="A140" s="9">
        <v>139.0</v>
      </c>
      <c r="B140" s="30">
        <v>70.0</v>
      </c>
      <c r="C140" s="31" t="s">
        <v>86</v>
      </c>
      <c r="D140" s="31" t="s">
        <v>88</v>
      </c>
      <c r="E140" s="31" t="s">
        <v>93</v>
      </c>
      <c r="F140" s="55">
        <v>160.0</v>
      </c>
      <c r="G140" s="12">
        <v>64.4</v>
      </c>
      <c r="H140" s="12">
        <f t="shared" si="1"/>
        <v>25.15625</v>
      </c>
      <c r="I140" s="9">
        <v>0.0</v>
      </c>
      <c r="J140" s="9">
        <v>2.0</v>
      </c>
      <c r="K140" s="9">
        <v>2.0</v>
      </c>
      <c r="L140" s="9">
        <v>0.0</v>
      </c>
      <c r="M140" s="9">
        <v>80.0</v>
      </c>
      <c r="N140" s="9">
        <v>0.0</v>
      </c>
      <c r="O140" s="9">
        <v>127.0</v>
      </c>
      <c r="P140" s="9">
        <v>0.0</v>
      </c>
      <c r="Q140" s="9">
        <v>16.0</v>
      </c>
      <c r="R140" s="9">
        <v>0.0</v>
      </c>
      <c r="S140" s="12">
        <v>98.1</v>
      </c>
      <c r="T140" s="9">
        <v>0.0</v>
      </c>
      <c r="U140" s="9">
        <v>100.0</v>
      </c>
      <c r="V140" s="9">
        <v>0.0</v>
      </c>
      <c r="W140" s="9">
        <v>0.0</v>
      </c>
      <c r="X140" s="9">
        <v>0.0</v>
      </c>
      <c r="Y140" s="9">
        <v>0.0</v>
      </c>
      <c r="Z140" s="9">
        <v>0.0</v>
      </c>
      <c r="AA140" s="9">
        <v>0.0</v>
      </c>
      <c r="AB140" s="9">
        <v>0.0</v>
      </c>
      <c r="AC140" s="9">
        <v>0.0</v>
      </c>
      <c r="AD140" s="9">
        <v>1.0</v>
      </c>
      <c r="AE140" s="9">
        <v>0.0</v>
      </c>
      <c r="AF140" s="9">
        <v>0.0</v>
      </c>
      <c r="AG140" s="9">
        <v>0.0</v>
      </c>
      <c r="AH140" s="9">
        <v>0.0</v>
      </c>
      <c r="AI140" s="9">
        <v>0.0</v>
      </c>
      <c r="AJ140" s="9">
        <v>0.0</v>
      </c>
      <c r="AK140" s="9">
        <v>0.0</v>
      </c>
      <c r="AL140" s="9">
        <v>0.0</v>
      </c>
      <c r="AM140" s="9">
        <v>0.0</v>
      </c>
      <c r="AN140" s="9">
        <v>0.0</v>
      </c>
      <c r="AO140" s="9">
        <v>0.0</v>
      </c>
      <c r="AP140" s="9" t="s">
        <v>84</v>
      </c>
      <c r="AQ140" s="9">
        <v>1.0</v>
      </c>
      <c r="AR140" s="9">
        <v>0.0</v>
      </c>
      <c r="AS140" s="9">
        <v>0.0</v>
      </c>
      <c r="AT140" s="9">
        <v>0.0</v>
      </c>
      <c r="AU140" s="9">
        <v>0.0</v>
      </c>
      <c r="AV140" s="9">
        <v>0.0</v>
      </c>
      <c r="AW140" s="9">
        <v>25.0</v>
      </c>
      <c r="AX140" s="33">
        <f>3.62/3.99</f>
        <v>0.9072681704</v>
      </c>
      <c r="AY140" s="34">
        <v>0.0</v>
      </c>
      <c r="AZ140" s="30">
        <v>1.0</v>
      </c>
      <c r="BA140" s="30">
        <v>0.0</v>
      </c>
      <c r="BB140" s="33">
        <f>2.13/3.1</f>
        <v>0.6870967742</v>
      </c>
      <c r="BC140" s="30">
        <v>2.0</v>
      </c>
      <c r="BD140" s="30">
        <v>0.0</v>
      </c>
      <c r="BE140" s="30">
        <v>0.0</v>
      </c>
      <c r="BF140" s="9">
        <v>0.0</v>
      </c>
      <c r="BG140" s="9" t="s">
        <v>84</v>
      </c>
      <c r="BH140" s="9">
        <v>0.0</v>
      </c>
      <c r="BI140" s="9">
        <v>0.0</v>
      </c>
      <c r="BJ140" s="9">
        <v>0.0</v>
      </c>
      <c r="BK140" s="9">
        <v>0.0</v>
      </c>
      <c r="BL140" s="9">
        <v>0.0</v>
      </c>
      <c r="BM140" s="9">
        <v>0.0</v>
      </c>
      <c r="BN140" s="9">
        <v>0.0</v>
      </c>
      <c r="BO140" s="9">
        <v>0.0</v>
      </c>
      <c r="BP140" s="9" t="s">
        <v>84</v>
      </c>
      <c r="BQ140" s="9" t="s">
        <v>84</v>
      </c>
      <c r="BR140" s="9">
        <v>0.0</v>
      </c>
      <c r="BS140" s="9">
        <v>0.0</v>
      </c>
      <c r="BT140" s="9">
        <v>0.0</v>
      </c>
      <c r="BU140" s="9">
        <v>0.0</v>
      </c>
      <c r="BV140" s="9">
        <v>0.0</v>
      </c>
      <c r="BW140" s="30">
        <v>0.0</v>
      </c>
      <c r="BX140" s="9">
        <v>0.0</v>
      </c>
      <c r="BY140" s="9">
        <v>0.0</v>
      </c>
      <c r="BZ140" s="9">
        <v>1.0</v>
      </c>
      <c r="CA140" s="9">
        <v>0.0</v>
      </c>
      <c r="CB140" s="9">
        <v>0.0</v>
      </c>
      <c r="CC140" s="15" t="s">
        <v>101</v>
      </c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57"/>
      <c r="CV140" s="57"/>
      <c r="CW140" s="57"/>
    </row>
    <row r="141" ht="18.75" customHeight="1">
      <c r="A141" s="9">
        <v>140.0</v>
      </c>
      <c r="B141" s="30">
        <v>62.0</v>
      </c>
      <c r="C141" s="31" t="s">
        <v>81</v>
      </c>
      <c r="D141" s="31" t="s">
        <v>82</v>
      </c>
      <c r="E141" s="31" t="s">
        <v>93</v>
      </c>
      <c r="F141" s="55">
        <v>177.8</v>
      </c>
      <c r="G141" s="12">
        <v>117.9</v>
      </c>
      <c r="H141" s="12">
        <f t="shared" si="1"/>
        <v>37.29497255</v>
      </c>
      <c r="I141" s="9">
        <v>1.0</v>
      </c>
      <c r="J141" s="9">
        <v>5.0</v>
      </c>
      <c r="K141" s="9">
        <v>1.0</v>
      </c>
      <c r="L141" s="9">
        <v>0.0</v>
      </c>
      <c r="M141" s="9">
        <v>86.0</v>
      </c>
      <c r="N141" s="9">
        <v>0.0</v>
      </c>
      <c r="O141" s="9">
        <v>104.0</v>
      </c>
      <c r="P141" s="9">
        <v>0.0</v>
      </c>
      <c r="Q141" s="9">
        <v>16.0</v>
      </c>
      <c r="R141" s="9">
        <v>0.0</v>
      </c>
      <c r="S141" s="12">
        <v>97.6</v>
      </c>
      <c r="T141" s="9">
        <v>0.0</v>
      </c>
      <c r="U141" s="9">
        <v>98.0</v>
      </c>
      <c r="V141" s="9">
        <v>0.0</v>
      </c>
      <c r="W141" s="9">
        <v>0.0</v>
      </c>
      <c r="X141" s="9">
        <v>0.0</v>
      </c>
      <c r="Y141" s="9">
        <v>0.0</v>
      </c>
      <c r="Z141" s="9">
        <v>1.0</v>
      </c>
      <c r="AA141" s="9">
        <v>0.0</v>
      </c>
      <c r="AB141" s="9">
        <v>0.0</v>
      </c>
      <c r="AC141" s="9">
        <v>1.0</v>
      </c>
      <c r="AD141" s="9">
        <v>0.0</v>
      </c>
      <c r="AE141" s="9">
        <v>1.0</v>
      </c>
      <c r="AF141" s="9">
        <v>0.0</v>
      </c>
      <c r="AG141" s="9">
        <v>0.0</v>
      </c>
      <c r="AH141" s="9">
        <v>0.0</v>
      </c>
      <c r="AI141" s="9">
        <v>0.0</v>
      </c>
      <c r="AJ141" s="9">
        <v>1.0</v>
      </c>
      <c r="AK141" s="9">
        <v>0.0</v>
      </c>
      <c r="AL141" s="9">
        <v>0.0</v>
      </c>
      <c r="AM141" s="9">
        <v>0.0</v>
      </c>
      <c r="AN141" s="9">
        <v>0.0</v>
      </c>
      <c r="AO141" s="9">
        <v>0.0</v>
      </c>
      <c r="AP141" s="9" t="s">
        <v>84</v>
      </c>
      <c r="AQ141" s="9">
        <v>0.0</v>
      </c>
      <c r="AR141" s="9">
        <v>0.0</v>
      </c>
      <c r="AS141" s="9" t="s">
        <v>84</v>
      </c>
      <c r="AT141" s="9" t="s">
        <v>84</v>
      </c>
      <c r="AU141" s="9" t="s">
        <v>84</v>
      </c>
      <c r="AV141" s="9" t="s">
        <v>84</v>
      </c>
      <c r="AW141" s="9" t="s">
        <v>84</v>
      </c>
      <c r="AX141" s="33">
        <f>4.06/3.42</f>
        <v>1.187134503</v>
      </c>
      <c r="AY141" s="34">
        <v>0.0</v>
      </c>
      <c r="AZ141" s="30">
        <v>0.0</v>
      </c>
      <c r="BA141" s="30">
        <v>1.0</v>
      </c>
      <c r="BB141" s="33">
        <f>3.43/3.98</f>
        <v>0.8618090452</v>
      </c>
      <c r="BC141" s="30">
        <v>1.0</v>
      </c>
      <c r="BD141" s="30">
        <v>0.0</v>
      </c>
      <c r="BE141" s="30">
        <v>0.0</v>
      </c>
      <c r="BF141" s="9">
        <v>0.0</v>
      </c>
      <c r="BG141" s="9" t="s">
        <v>84</v>
      </c>
      <c r="BH141" s="9">
        <v>0.0</v>
      </c>
      <c r="BI141" s="9">
        <v>0.0</v>
      </c>
      <c r="BJ141" s="9">
        <v>0.0</v>
      </c>
      <c r="BK141" s="9">
        <v>0.0</v>
      </c>
      <c r="BL141" s="9">
        <v>0.0</v>
      </c>
      <c r="BM141" s="9">
        <v>0.0</v>
      </c>
      <c r="BN141" s="9">
        <v>0.0</v>
      </c>
      <c r="BO141" s="9">
        <v>0.0</v>
      </c>
      <c r="BP141" s="9" t="s">
        <v>84</v>
      </c>
      <c r="BQ141" s="9" t="s">
        <v>84</v>
      </c>
      <c r="BR141" s="9">
        <v>0.0</v>
      </c>
      <c r="BS141" s="9">
        <v>0.0</v>
      </c>
      <c r="BT141" s="9">
        <v>0.0</v>
      </c>
      <c r="BU141" s="9">
        <v>0.0</v>
      </c>
      <c r="BV141" s="9">
        <v>0.0</v>
      </c>
      <c r="BW141" s="30">
        <v>0.0</v>
      </c>
      <c r="BX141" s="9">
        <v>0.0</v>
      </c>
      <c r="BY141" s="9">
        <v>0.0</v>
      </c>
      <c r="BZ141" s="9">
        <v>0.0</v>
      </c>
      <c r="CA141" s="9">
        <v>0.0</v>
      </c>
      <c r="CB141" s="9">
        <v>0.0</v>
      </c>
      <c r="CC141" s="15" t="s">
        <v>104</v>
      </c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57"/>
      <c r="CV141" s="57"/>
      <c r="CW141" s="57"/>
    </row>
    <row r="142" ht="18.75" customHeight="1">
      <c r="A142" s="9">
        <v>141.0</v>
      </c>
      <c r="B142" s="30">
        <v>72.0</v>
      </c>
      <c r="C142" s="31" t="s">
        <v>86</v>
      </c>
      <c r="D142" s="31" t="s">
        <v>82</v>
      </c>
      <c r="E142" s="30">
        <v>7.0</v>
      </c>
      <c r="F142" s="55">
        <v>167.6</v>
      </c>
      <c r="G142" s="12">
        <v>108.8</v>
      </c>
      <c r="H142" s="12">
        <f t="shared" si="1"/>
        <v>38.732976</v>
      </c>
      <c r="I142" s="9">
        <v>1.0</v>
      </c>
      <c r="J142" s="9">
        <v>4.0</v>
      </c>
      <c r="K142" s="9">
        <v>2.0</v>
      </c>
      <c r="L142" s="9">
        <v>1.0</v>
      </c>
      <c r="M142" s="9">
        <v>130.0</v>
      </c>
      <c r="N142" s="9">
        <v>0.0</v>
      </c>
      <c r="O142" s="9">
        <v>169.0</v>
      </c>
      <c r="P142" s="9">
        <v>0.0</v>
      </c>
      <c r="Q142" s="9">
        <v>28.0</v>
      </c>
      <c r="R142" s="9">
        <v>0.0</v>
      </c>
      <c r="S142" s="12">
        <v>98.8</v>
      </c>
      <c r="T142" s="9">
        <v>1.0</v>
      </c>
      <c r="U142" s="9">
        <v>50.0</v>
      </c>
      <c r="V142" s="9">
        <v>1.0</v>
      </c>
      <c r="W142" s="9">
        <v>1.0</v>
      </c>
      <c r="X142" s="9">
        <v>0.0</v>
      </c>
      <c r="Y142" s="9">
        <v>0.0</v>
      </c>
      <c r="Z142" s="9">
        <v>0.0</v>
      </c>
      <c r="AA142" s="9">
        <v>0.0</v>
      </c>
      <c r="AB142" s="9">
        <v>0.0</v>
      </c>
      <c r="AC142" s="9">
        <v>0.0</v>
      </c>
      <c r="AD142" s="9">
        <v>1.0</v>
      </c>
      <c r="AE142" s="9">
        <v>1.0</v>
      </c>
      <c r="AF142" s="9">
        <v>0.0</v>
      </c>
      <c r="AG142" s="9">
        <v>1.0</v>
      </c>
      <c r="AH142" s="9">
        <v>1.0</v>
      </c>
      <c r="AI142" s="9">
        <v>0.0</v>
      </c>
      <c r="AJ142" s="9">
        <v>0.0</v>
      </c>
      <c r="AK142" s="9">
        <v>1.0</v>
      </c>
      <c r="AL142" s="9">
        <v>0.0</v>
      </c>
      <c r="AM142" s="9">
        <v>0.0</v>
      </c>
      <c r="AN142" s="9">
        <v>0.0</v>
      </c>
      <c r="AO142" s="9">
        <v>1.0</v>
      </c>
      <c r="AP142" s="9">
        <v>1.0</v>
      </c>
      <c r="AQ142" s="9">
        <v>1.0</v>
      </c>
      <c r="AR142" s="9">
        <v>1.0</v>
      </c>
      <c r="AS142" s="9">
        <v>1.0</v>
      </c>
      <c r="AT142" s="9">
        <v>1.0</v>
      </c>
      <c r="AU142" s="9">
        <v>1.0</v>
      </c>
      <c r="AV142" s="9">
        <v>0.0</v>
      </c>
      <c r="AW142" s="9">
        <v>47.0</v>
      </c>
      <c r="AX142" s="33">
        <f>4.94/3.44</f>
        <v>1.436046512</v>
      </c>
      <c r="AY142" s="34">
        <v>0.0</v>
      </c>
      <c r="AZ142" s="30">
        <v>0.0</v>
      </c>
      <c r="BA142" s="30">
        <v>1.0</v>
      </c>
      <c r="BB142" s="33">
        <f>3.37/3</f>
        <v>1.123333333</v>
      </c>
      <c r="BC142" s="30">
        <v>5.0</v>
      </c>
      <c r="BD142" s="30">
        <v>1.0</v>
      </c>
      <c r="BE142" s="30">
        <v>1.0</v>
      </c>
      <c r="BF142" s="9">
        <v>0.0</v>
      </c>
      <c r="BG142" s="9" t="s">
        <v>84</v>
      </c>
      <c r="BH142" s="9">
        <v>1.0</v>
      </c>
      <c r="BI142" s="9">
        <v>0.0</v>
      </c>
      <c r="BJ142" s="9">
        <v>0.0</v>
      </c>
      <c r="BK142" s="9">
        <v>0.0</v>
      </c>
      <c r="BL142" s="9">
        <v>0.0</v>
      </c>
      <c r="BM142" s="9">
        <v>0.0</v>
      </c>
      <c r="BN142" s="9">
        <v>0.0</v>
      </c>
      <c r="BO142" s="9">
        <v>1.0</v>
      </c>
      <c r="BP142" s="9">
        <v>0.0</v>
      </c>
      <c r="BQ142" s="9">
        <v>0.0</v>
      </c>
      <c r="BR142" s="9">
        <v>0.0</v>
      </c>
      <c r="BS142" s="9">
        <v>0.0</v>
      </c>
      <c r="BT142" s="9">
        <v>0.0</v>
      </c>
      <c r="BU142" s="9">
        <v>0.0</v>
      </c>
      <c r="BV142" s="9">
        <v>0.0</v>
      </c>
      <c r="BW142" s="30">
        <v>0.0</v>
      </c>
      <c r="BX142" s="9">
        <v>1.0</v>
      </c>
      <c r="BY142" s="9">
        <v>0.0</v>
      </c>
      <c r="BZ142" s="9">
        <v>1.0</v>
      </c>
      <c r="CA142" s="9">
        <v>0.0</v>
      </c>
      <c r="CB142" s="9">
        <v>0.0</v>
      </c>
      <c r="CC142" s="15" t="s">
        <v>206</v>
      </c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57"/>
      <c r="CV142" s="57"/>
      <c r="CW142" s="57"/>
    </row>
    <row r="143" ht="18.75" customHeight="1">
      <c r="A143" s="9">
        <v>142.0</v>
      </c>
      <c r="B143" s="30">
        <v>68.0</v>
      </c>
      <c r="C143" s="31" t="s">
        <v>81</v>
      </c>
      <c r="D143" s="31" t="s">
        <v>82</v>
      </c>
      <c r="E143" s="31" t="s">
        <v>83</v>
      </c>
      <c r="F143" s="55">
        <v>172.7</v>
      </c>
      <c r="G143" s="56">
        <v>90.0</v>
      </c>
      <c r="H143" s="12">
        <f t="shared" si="1"/>
        <v>30.17573341</v>
      </c>
      <c r="I143" s="9">
        <v>1.0</v>
      </c>
      <c r="J143" s="9">
        <v>5.0</v>
      </c>
      <c r="K143" s="9">
        <v>1.0</v>
      </c>
      <c r="L143" s="30">
        <v>0.0</v>
      </c>
      <c r="M143" s="9">
        <v>99.0</v>
      </c>
      <c r="N143" s="9">
        <v>0.0</v>
      </c>
      <c r="O143" s="9">
        <v>121.0</v>
      </c>
      <c r="P143" s="9">
        <v>0.0</v>
      </c>
      <c r="Q143" s="9">
        <v>20.0</v>
      </c>
      <c r="R143" s="9">
        <v>0.0</v>
      </c>
      <c r="S143" s="12">
        <v>97.3</v>
      </c>
      <c r="T143" s="9">
        <v>0.0</v>
      </c>
      <c r="U143" s="9">
        <v>96.0</v>
      </c>
      <c r="V143" s="9">
        <v>0.0</v>
      </c>
      <c r="W143" s="9">
        <v>0.0</v>
      </c>
      <c r="X143" s="9">
        <v>0.0</v>
      </c>
      <c r="Y143" s="9">
        <v>0.0</v>
      </c>
      <c r="Z143" s="9">
        <v>1.0</v>
      </c>
      <c r="AA143" s="9">
        <v>0.0</v>
      </c>
      <c r="AB143" s="9">
        <v>0.0</v>
      </c>
      <c r="AC143" s="9">
        <v>0.0</v>
      </c>
      <c r="AD143" s="9">
        <v>0.0</v>
      </c>
      <c r="AE143" s="9">
        <v>0.0</v>
      </c>
      <c r="AF143" s="9">
        <v>0.0</v>
      </c>
      <c r="AG143" s="9">
        <v>0.0</v>
      </c>
      <c r="AH143" s="9">
        <v>0.0</v>
      </c>
      <c r="AI143" s="9">
        <v>0.0</v>
      </c>
      <c r="AJ143" s="9">
        <v>0.0</v>
      </c>
      <c r="AK143" s="9">
        <v>0.0</v>
      </c>
      <c r="AL143" s="9">
        <v>0.0</v>
      </c>
      <c r="AM143" s="9">
        <v>0.0</v>
      </c>
      <c r="AN143" s="9">
        <v>0.0</v>
      </c>
      <c r="AO143" s="9">
        <v>1.0</v>
      </c>
      <c r="AP143" s="9">
        <v>1.0</v>
      </c>
      <c r="AQ143" s="9">
        <v>0.0</v>
      </c>
      <c r="AR143" s="9">
        <v>0.0</v>
      </c>
      <c r="AS143" s="9">
        <v>0.0</v>
      </c>
      <c r="AT143" s="9">
        <v>0.0</v>
      </c>
      <c r="AU143" s="9">
        <v>0.0</v>
      </c>
      <c r="AV143" s="9">
        <v>0.0</v>
      </c>
      <c r="AW143" s="9" t="s">
        <v>97</v>
      </c>
      <c r="AX143" s="33">
        <f>4.19/4.24</f>
        <v>0.9882075472</v>
      </c>
      <c r="AY143" s="34">
        <v>0.0</v>
      </c>
      <c r="AZ143" s="30">
        <v>0.0</v>
      </c>
      <c r="BA143" s="30">
        <v>1.0</v>
      </c>
      <c r="BB143" s="33">
        <f>2.93/3.34</f>
        <v>0.877245509</v>
      </c>
      <c r="BC143" s="30">
        <v>3.0</v>
      </c>
      <c r="BD143" s="30">
        <v>0.0</v>
      </c>
      <c r="BE143" s="30">
        <v>1.0</v>
      </c>
      <c r="BF143" s="9">
        <v>0.0</v>
      </c>
      <c r="BG143" s="9" t="s">
        <v>84</v>
      </c>
      <c r="BH143" s="9">
        <v>0.0</v>
      </c>
      <c r="BI143" s="9">
        <v>0.0</v>
      </c>
      <c r="BJ143" s="9">
        <v>0.0</v>
      </c>
      <c r="BK143" s="9">
        <v>0.0</v>
      </c>
      <c r="BL143" s="9">
        <v>0.0</v>
      </c>
      <c r="BM143" s="9">
        <v>0.0</v>
      </c>
      <c r="BN143" s="9">
        <v>0.0</v>
      </c>
      <c r="BO143" s="9">
        <v>0.0</v>
      </c>
      <c r="BP143" s="9" t="s">
        <v>84</v>
      </c>
      <c r="BQ143" s="9" t="s">
        <v>84</v>
      </c>
      <c r="BR143" s="9">
        <v>0.0</v>
      </c>
      <c r="BS143" s="9">
        <v>0.0</v>
      </c>
      <c r="BT143" s="9">
        <v>0.0</v>
      </c>
      <c r="BU143" s="9">
        <v>0.0</v>
      </c>
      <c r="BV143" s="9">
        <v>0.0</v>
      </c>
      <c r="BW143" s="31" t="s">
        <v>94</v>
      </c>
      <c r="BX143" s="9" t="s">
        <v>94</v>
      </c>
      <c r="BY143" s="9">
        <v>0.0</v>
      </c>
      <c r="BZ143" s="9">
        <v>0.0</v>
      </c>
      <c r="CA143" s="9">
        <v>0.0</v>
      </c>
      <c r="CB143" s="9">
        <v>1.0</v>
      </c>
      <c r="CC143" s="16" t="s">
        <v>104</v>
      </c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57"/>
      <c r="CV143" s="57"/>
      <c r="CW143" s="57"/>
    </row>
    <row r="144" ht="18.75" customHeight="1">
      <c r="A144" s="9">
        <v>143.0</v>
      </c>
      <c r="B144" s="30">
        <v>70.0</v>
      </c>
      <c r="C144" s="31" t="s">
        <v>81</v>
      </c>
      <c r="D144" s="31" t="s">
        <v>175</v>
      </c>
      <c r="E144" s="30">
        <v>1.0</v>
      </c>
      <c r="F144" s="55">
        <v>182.9</v>
      </c>
      <c r="G144" s="56">
        <v>113.3</v>
      </c>
      <c r="H144" s="12">
        <f t="shared" si="1"/>
        <v>33.86900974</v>
      </c>
      <c r="I144" s="9">
        <v>1.0</v>
      </c>
      <c r="J144" s="9">
        <v>4.0</v>
      </c>
      <c r="K144" s="9">
        <v>3.0</v>
      </c>
      <c r="L144" s="30">
        <v>1.0</v>
      </c>
      <c r="M144" s="9">
        <v>119.0</v>
      </c>
      <c r="N144" s="9">
        <v>0.0</v>
      </c>
      <c r="O144" s="9">
        <v>105.0</v>
      </c>
      <c r="P144" s="9">
        <v>0.0</v>
      </c>
      <c r="Q144" s="9">
        <v>20.0</v>
      </c>
      <c r="R144" s="9">
        <v>0.0</v>
      </c>
      <c r="S144" s="12">
        <v>97.8</v>
      </c>
      <c r="T144" s="9">
        <v>0.0</v>
      </c>
      <c r="U144" s="9">
        <v>99.0</v>
      </c>
      <c r="V144" s="9">
        <v>0.0</v>
      </c>
      <c r="W144" s="9">
        <v>0.0</v>
      </c>
      <c r="X144" s="9">
        <v>0.0</v>
      </c>
      <c r="Y144" s="9">
        <v>0.0</v>
      </c>
      <c r="Z144" s="9">
        <v>0.0</v>
      </c>
      <c r="AA144" s="9">
        <v>0.0</v>
      </c>
      <c r="AB144" s="9">
        <v>0.0</v>
      </c>
      <c r="AC144" s="9">
        <v>0.0</v>
      </c>
      <c r="AD144" s="9">
        <v>1.0</v>
      </c>
      <c r="AE144" s="9">
        <v>1.0</v>
      </c>
      <c r="AF144" s="9">
        <v>0.0</v>
      </c>
      <c r="AG144" s="9">
        <v>0.0</v>
      </c>
      <c r="AH144" s="9">
        <v>0.0</v>
      </c>
      <c r="AI144" s="9">
        <v>0.0</v>
      </c>
      <c r="AJ144" s="9">
        <v>0.0</v>
      </c>
      <c r="AK144" s="9">
        <v>0.0</v>
      </c>
      <c r="AL144" s="9">
        <v>0.0</v>
      </c>
      <c r="AM144" s="9">
        <v>0.0</v>
      </c>
      <c r="AN144" s="9">
        <v>0.0</v>
      </c>
      <c r="AO144" s="9" t="s">
        <v>84</v>
      </c>
      <c r="AP144" s="9" t="s">
        <v>84</v>
      </c>
      <c r="AQ144" s="9">
        <v>1.0</v>
      </c>
      <c r="AR144" s="9">
        <v>1.0</v>
      </c>
      <c r="AS144" s="9">
        <v>1.0</v>
      </c>
      <c r="AT144" s="9">
        <v>1.0</v>
      </c>
      <c r="AU144" s="9">
        <v>1.0</v>
      </c>
      <c r="AV144" s="9">
        <v>0.0</v>
      </c>
      <c r="AW144" s="9" t="s">
        <v>97</v>
      </c>
      <c r="AX144" s="33">
        <f>5.68/4</f>
        <v>1.42</v>
      </c>
      <c r="AY144" s="34">
        <v>0.0</v>
      </c>
      <c r="AZ144" s="30">
        <v>0.0</v>
      </c>
      <c r="BA144" s="30">
        <v>1.0</v>
      </c>
      <c r="BB144" s="33">
        <f>3.56/3.51</f>
        <v>1.014245014</v>
      </c>
      <c r="BC144" s="30">
        <v>5.0</v>
      </c>
      <c r="BD144" s="30">
        <v>1.0</v>
      </c>
      <c r="BE144" s="30">
        <v>1.0</v>
      </c>
      <c r="BF144" s="9">
        <v>0.0</v>
      </c>
      <c r="BG144" s="9" t="s">
        <v>84</v>
      </c>
      <c r="BH144" s="9">
        <v>1.0</v>
      </c>
      <c r="BI144" s="9">
        <v>0.0</v>
      </c>
      <c r="BJ144" s="9">
        <v>1.0</v>
      </c>
      <c r="BK144" s="9">
        <v>1.0</v>
      </c>
      <c r="BL144" s="9">
        <v>0.0</v>
      </c>
      <c r="BM144" s="9">
        <v>1.0</v>
      </c>
      <c r="BN144" s="9">
        <v>0.0</v>
      </c>
      <c r="BO144" s="9">
        <v>0.0</v>
      </c>
      <c r="BP144" s="9" t="s">
        <v>84</v>
      </c>
      <c r="BQ144" s="9" t="s">
        <v>84</v>
      </c>
      <c r="BR144" s="9">
        <v>0.0</v>
      </c>
      <c r="BS144" s="9">
        <v>0.0</v>
      </c>
      <c r="BT144" s="9">
        <v>0.0</v>
      </c>
      <c r="BU144" s="9">
        <v>0.0</v>
      </c>
      <c r="BV144" s="9">
        <v>1.0</v>
      </c>
      <c r="BW144" s="31" t="s">
        <v>84</v>
      </c>
      <c r="BX144" s="9" t="s">
        <v>84</v>
      </c>
      <c r="BY144" s="9" t="s">
        <v>84</v>
      </c>
      <c r="BZ144" s="9" t="s">
        <v>84</v>
      </c>
      <c r="CA144" s="9" t="s">
        <v>84</v>
      </c>
      <c r="CB144" s="9" t="s">
        <v>84</v>
      </c>
      <c r="CC144" s="16" t="s">
        <v>101</v>
      </c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</row>
    <row r="145" ht="18.75" customHeight="1">
      <c r="A145" s="9">
        <v>144.0</v>
      </c>
      <c r="B145" s="30">
        <v>61.0</v>
      </c>
      <c r="C145" s="31" t="s">
        <v>81</v>
      </c>
      <c r="D145" s="31" t="s">
        <v>82</v>
      </c>
      <c r="E145" s="31" t="s">
        <v>93</v>
      </c>
      <c r="F145" s="55">
        <v>172.7</v>
      </c>
      <c r="G145" s="56">
        <v>70.3</v>
      </c>
      <c r="H145" s="12">
        <f t="shared" si="1"/>
        <v>23.57060065</v>
      </c>
      <c r="I145" s="9">
        <v>0.0</v>
      </c>
      <c r="J145" s="9">
        <v>2.0</v>
      </c>
      <c r="K145" s="9">
        <v>1.0</v>
      </c>
      <c r="L145" s="30">
        <v>0.0</v>
      </c>
      <c r="M145" s="9">
        <v>79.0</v>
      </c>
      <c r="N145" s="9">
        <v>0.0</v>
      </c>
      <c r="O145" s="9">
        <v>129.0</v>
      </c>
      <c r="P145" s="9">
        <v>0.0</v>
      </c>
      <c r="Q145" s="9">
        <v>16.0</v>
      </c>
      <c r="R145" s="9">
        <v>0.0</v>
      </c>
      <c r="S145" s="12">
        <v>98.9</v>
      </c>
      <c r="T145" s="9">
        <v>0.0</v>
      </c>
      <c r="U145" s="9">
        <v>100.0</v>
      </c>
      <c r="V145" s="9">
        <v>0.0</v>
      </c>
      <c r="W145" s="9">
        <v>0.0</v>
      </c>
      <c r="X145" s="9">
        <v>0.0</v>
      </c>
      <c r="Y145" s="9">
        <v>0.0</v>
      </c>
      <c r="Z145" s="9">
        <v>0.0</v>
      </c>
      <c r="AA145" s="9">
        <v>0.0</v>
      </c>
      <c r="AB145" s="9">
        <v>0.0</v>
      </c>
      <c r="AC145" s="9">
        <v>0.0</v>
      </c>
      <c r="AD145" s="9">
        <v>0.0</v>
      </c>
      <c r="AE145" s="9">
        <v>0.0</v>
      </c>
      <c r="AF145" s="9">
        <v>0.0</v>
      </c>
      <c r="AG145" s="9">
        <v>0.0</v>
      </c>
      <c r="AH145" s="9">
        <v>0.0</v>
      </c>
      <c r="AI145" s="9">
        <v>0.0</v>
      </c>
      <c r="AJ145" s="9">
        <v>0.0</v>
      </c>
      <c r="AK145" s="9">
        <v>0.0</v>
      </c>
      <c r="AL145" s="9">
        <v>1.0</v>
      </c>
      <c r="AM145" s="9">
        <v>0.0</v>
      </c>
      <c r="AN145" s="9">
        <v>0.0</v>
      </c>
      <c r="AO145" s="9">
        <v>0.0</v>
      </c>
      <c r="AP145" s="9" t="s">
        <v>84</v>
      </c>
      <c r="AQ145" s="9" t="s">
        <v>84</v>
      </c>
      <c r="AR145" s="9">
        <v>0.0</v>
      </c>
      <c r="AS145" s="9" t="s">
        <v>84</v>
      </c>
      <c r="AT145" s="9" t="s">
        <v>84</v>
      </c>
      <c r="AU145" s="9" t="s">
        <v>84</v>
      </c>
      <c r="AV145" s="9" t="s">
        <v>84</v>
      </c>
      <c r="AW145" s="9" t="s">
        <v>84</v>
      </c>
      <c r="AX145" s="33">
        <f>3.47/4.03</f>
        <v>0.8610421836</v>
      </c>
      <c r="AY145" s="34">
        <v>1.0</v>
      </c>
      <c r="AZ145" s="30">
        <v>0.0</v>
      </c>
      <c r="BA145" s="30">
        <v>0.0</v>
      </c>
      <c r="BB145" s="33">
        <f>2.32/2.77</f>
        <v>0.8375451264</v>
      </c>
      <c r="BC145" s="30">
        <v>2.0</v>
      </c>
      <c r="BD145" s="30">
        <v>0.0</v>
      </c>
      <c r="BE145" s="30">
        <v>0.0</v>
      </c>
      <c r="BF145" s="9">
        <v>0.0</v>
      </c>
      <c r="BG145" s="9" t="s">
        <v>84</v>
      </c>
      <c r="BH145" s="9">
        <v>0.0</v>
      </c>
      <c r="BI145" s="9">
        <v>0.0</v>
      </c>
      <c r="BJ145" s="9">
        <v>0.0</v>
      </c>
      <c r="BK145" s="9">
        <v>0.0</v>
      </c>
      <c r="BL145" s="9">
        <v>0.0</v>
      </c>
      <c r="BM145" s="9">
        <v>0.0</v>
      </c>
      <c r="BN145" s="9">
        <v>0.0</v>
      </c>
      <c r="BO145" s="9">
        <v>0.0</v>
      </c>
      <c r="BP145" s="9" t="s">
        <v>84</v>
      </c>
      <c r="BQ145" s="9" t="s">
        <v>84</v>
      </c>
      <c r="BR145" s="9">
        <v>0.0</v>
      </c>
      <c r="BS145" s="9">
        <v>0.0</v>
      </c>
      <c r="BT145" s="9">
        <v>0.0</v>
      </c>
      <c r="BU145" s="9">
        <v>0.0</v>
      </c>
      <c r="BV145" s="9">
        <v>0.0</v>
      </c>
      <c r="BW145" s="31" t="s">
        <v>94</v>
      </c>
      <c r="BX145" s="9" t="s">
        <v>94</v>
      </c>
      <c r="BY145" s="9">
        <v>0.0</v>
      </c>
      <c r="BZ145" s="9">
        <v>0.0</v>
      </c>
      <c r="CA145" s="9">
        <v>0.0</v>
      </c>
      <c r="CB145" s="9">
        <v>0.0</v>
      </c>
      <c r="CC145" s="16" t="s">
        <v>101</v>
      </c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</row>
    <row r="146" ht="18.75" customHeight="1">
      <c r="A146" s="9">
        <v>145.0</v>
      </c>
      <c r="B146" s="30">
        <v>90.0</v>
      </c>
      <c r="C146" s="31" t="s">
        <v>81</v>
      </c>
      <c r="D146" s="31" t="s">
        <v>82</v>
      </c>
      <c r="E146" s="31" t="s">
        <v>99</v>
      </c>
      <c r="F146" s="55">
        <v>175.3</v>
      </c>
      <c r="G146" s="56">
        <v>77.8</v>
      </c>
      <c r="H146" s="12">
        <f t="shared" si="1"/>
        <v>25.31720538</v>
      </c>
      <c r="I146" s="9">
        <v>1.0</v>
      </c>
      <c r="J146" s="9">
        <v>4.0</v>
      </c>
      <c r="K146" s="9">
        <v>2.0</v>
      </c>
      <c r="L146" s="30">
        <v>0.0</v>
      </c>
      <c r="M146" s="9">
        <v>96.0</v>
      </c>
      <c r="N146" s="9">
        <v>0.0</v>
      </c>
      <c r="O146" s="9">
        <v>168.0</v>
      </c>
      <c r="P146" s="9">
        <v>0.0</v>
      </c>
      <c r="Q146" s="9">
        <v>18.0</v>
      </c>
      <c r="R146" s="9">
        <v>0.0</v>
      </c>
      <c r="S146" s="12">
        <v>97.3</v>
      </c>
      <c r="T146" s="9">
        <v>1.0</v>
      </c>
      <c r="U146" s="9">
        <v>80.0</v>
      </c>
      <c r="V146" s="9">
        <v>1.0</v>
      </c>
      <c r="W146" s="9">
        <v>0.0</v>
      </c>
      <c r="X146" s="9">
        <v>0.0</v>
      </c>
      <c r="Y146" s="9">
        <v>0.0</v>
      </c>
      <c r="Z146" s="9">
        <v>0.0</v>
      </c>
      <c r="AA146" s="9">
        <v>0.0</v>
      </c>
      <c r="AB146" s="9">
        <v>0.0</v>
      </c>
      <c r="AC146" s="9">
        <v>0.0</v>
      </c>
      <c r="AD146" s="9">
        <v>0.0</v>
      </c>
      <c r="AE146" s="9">
        <v>1.0</v>
      </c>
      <c r="AF146" s="9">
        <v>0.0</v>
      </c>
      <c r="AG146" s="9">
        <v>1.0</v>
      </c>
      <c r="AH146" s="9">
        <v>0.0</v>
      </c>
      <c r="AI146" s="9">
        <v>0.0</v>
      </c>
      <c r="AJ146" s="9">
        <v>0.0</v>
      </c>
      <c r="AK146" s="9">
        <v>0.0</v>
      </c>
      <c r="AL146" s="9">
        <v>0.0</v>
      </c>
      <c r="AM146" s="9">
        <v>1.0</v>
      </c>
      <c r="AN146" s="9">
        <v>0.0</v>
      </c>
      <c r="AO146" s="9">
        <v>0.0</v>
      </c>
      <c r="AP146" s="9" t="s">
        <v>84</v>
      </c>
      <c r="AQ146" s="9">
        <v>0.0</v>
      </c>
      <c r="AR146" s="9">
        <v>1.0</v>
      </c>
      <c r="AS146" s="9" t="s">
        <v>84</v>
      </c>
      <c r="AT146" s="9" t="s">
        <v>84</v>
      </c>
      <c r="AU146" s="9" t="s">
        <v>84</v>
      </c>
      <c r="AV146" s="9" t="s">
        <v>84</v>
      </c>
      <c r="AW146" s="9" t="s">
        <v>84</v>
      </c>
      <c r="AX146" s="33">
        <f>3.5/4.48</f>
        <v>0.78125</v>
      </c>
      <c r="AY146" s="34">
        <v>0.0</v>
      </c>
      <c r="AZ146" s="30">
        <v>0.0</v>
      </c>
      <c r="BA146" s="30">
        <v>0.0</v>
      </c>
      <c r="BB146" s="33">
        <f>2.76/3.5</f>
        <v>0.7885714286</v>
      </c>
      <c r="BC146" s="30">
        <v>1.0</v>
      </c>
      <c r="BD146" s="30">
        <v>1.0</v>
      </c>
      <c r="BE146" s="30">
        <v>1.0</v>
      </c>
      <c r="BF146" s="9">
        <v>0.0</v>
      </c>
      <c r="BG146" s="9" t="s">
        <v>84</v>
      </c>
      <c r="BH146" s="9">
        <v>0.0</v>
      </c>
      <c r="BI146" s="9">
        <v>0.0</v>
      </c>
      <c r="BJ146" s="9">
        <v>0.0</v>
      </c>
      <c r="BK146" s="9">
        <v>0.0</v>
      </c>
      <c r="BL146" s="9">
        <v>0.0</v>
      </c>
      <c r="BM146" s="9">
        <v>0.0</v>
      </c>
      <c r="BN146" s="9">
        <v>0.0</v>
      </c>
      <c r="BO146" s="9">
        <v>0.0</v>
      </c>
      <c r="BP146" s="9" t="s">
        <v>84</v>
      </c>
      <c r="BQ146" s="9" t="s">
        <v>84</v>
      </c>
      <c r="BR146" s="9">
        <v>0.0</v>
      </c>
      <c r="BS146" s="9">
        <v>0.0</v>
      </c>
      <c r="BT146" s="9">
        <v>0.0</v>
      </c>
      <c r="BU146" s="9">
        <v>0.0</v>
      </c>
      <c r="BV146" s="9">
        <v>0.0</v>
      </c>
      <c r="BW146" s="30">
        <v>0.0</v>
      </c>
      <c r="BX146" s="9">
        <v>1.0</v>
      </c>
      <c r="BY146" s="9">
        <v>0.0</v>
      </c>
      <c r="BZ146" s="9">
        <v>0.0</v>
      </c>
      <c r="CA146" s="9">
        <v>0.0</v>
      </c>
      <c r="CB146" s="9">
        <v>0.0</v>
      </c>
      <c r="CC146" s="16" t="s">
        <v>113</v>
      </c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</row>
    <row r="147" ht="18.75" customHeight="1">
      <c r="A147" s="9">
        <v>146.0</v>
      </c>
      <c r="B147" s="30">
        <v>55.0</v>
      </c>
      <c r="C147" s="31" t="s">
        <v>81</v>
      </c>
      <c r="D147" s="31" t="s">
        <v>82</v>
      </c>
      <c r="E147" s="31" t="s">
        <v>109</v>
      </c>
      <c r="F147" s="55">
        <v>188.0</v>
      </c>
      <c r="G147" s="56">
        <v>129.3</v>
      </c>
      <c r="H147" s="12">
        <f t="shared" si="1"/>
        <v>36.58329561</v>
      </c>
      <c r="I147" s="9">
        <v>0.0</v>
      </c>
      <c r="J147" s="9">
        <v>1.0</v>
      </c>
      <c r="K147" s="9">
        <v>1.0</v>
      </c>
      <c r="L147" s="30">
        <v>0.0</v>
      </c>
      <c r="M147" s="9">
        <v>75.0</v>
      </c>
      <c r="N147" s="9">
        <v>0.0</v>
      </c>
      <c r="O147" s="9">
        <v>133.0</v>
      </c>
      <c r="P147" s="9">
        <v>0.0</v>
      </c>
      <c r="Q147" s="9">
        <v>18.0</v>
      </c>
      <c r="R147" s="9">
        <v>0.0</v>
      </c>
      <c r="S147" s="12">
        <v>97.8</v>
      </c>
      <c r="T147" s="9">
        <v>0.0</v>
      </c>
      <c r="U147" s="9">
        <v>96.0</v>
      </c>
      <c r="V147" s="9">
        <v>0.0</v>
      </c>
      <c r="W147" s="9">
        <v>0.0</v>
      </c>
      <c r="X147" s="9">
        <v>0.0</v>
      </c>
      <c r="Y147" s="9">
        <v>1.0</v>
      </c>
      <c r="Z147" s="9">
        <v>0.0</v>
      </c>
      <c r="AA147" s="9">
        <v>0.0</v>
      </c>
      <c r="AB147" s="9">
        <v>0.0</v>
      </c>
      <c r="AC147" s="9">
        <v>0.0</v>
      </c>
      <c r="AD147" s="9">
        <v>0.0</v>
      </c>
      <c r="AE147" s="9">
        <v>0.0</v>
      </c>
      <c r="AF147" s="9">
        <v>1.0</v>
      </c>
      <c r="AG147" s="9">
        <v>0.0</v>
      </c>
      <c r="AH147" s="9">
        <v>0.0</v>
      </c>
      <c r="AI147" s="9">
        <v>0.0</v>
      </c>
      <c r="AJ147" s="9">
        <v>0.0</v>
      </c>
      <c r="AK147" s="9">
        <v>1.0</v>
      </c>
      <c r="AL147" s="9">
        <v>0.0</v>
      </c>
      <c r="AM147" s="9">
        <v>0.0</v>
      </c>
      <c r="AN147" s="9">
        <v>0.0</v>
      </c>
      <c r="AO147" s="9">
        <v>1.0</v>
      </c>
      <c r="AP147" s="9">
        <v>1.0</v>
      </c>
      <c r="AQ147" s="9">
        <v>0.0</v>
      </c>
      <c r="AR147" s="9">
        <v>0.0</v>
      </c>
      <c r="AS147" s="9" t="s">
        <v>84</v>
      </c>
      <c r="AT147" s="9" t="s">
        <v>84</v>
      </c>
      <c r="AU147" s="9" t="s">
        <v>84</v>
      </c>
      <c r="AV147" s="9" t="s">
        <v>84</v>
      </c>
      <c r="AW147" s="9" t="s">
        <v>84</v>
      </c>
      <c r="AX147" s="60">
        <f>4.57/4.71</f>
        <v>0.9702760085</v>
      </c>
      <c r="AY147" s="61">
        <v>0.0</v>
      </c>
      <c r="AZ147" s="30">
        <v>0.0</v>
      </c>
      <c r="BA147" s="30">
        <v>1.0</v>
      </c>
      <c r="BB147" s="60">
        <f>3.12/3.8</f>
        <v>0.8210526316</v>
      </c>
      <c r="BC147" s="62">
        <v>2.0</v>
      </c>
      <c r="BD147" s="62">
        <v>0.0</v>
      </c>
      <c r="BE147" s="62">
        <v>0.0</v>
      </c>
      <c r="BF147" s="9">
        <v>0.0</v>
      </c>
      <c r="BG147" s="9" t="s">
        <v>84</v>
      </c>
      <c r="BH147" s="9">
        <v>0.0</v>
      </c>
      <c r="BI147" s="9">
        <v>0.0</v>
      </c>
      <c r="BJ147" s="9">
        <v>0.0</v>
      </c>
      <c r="BK147" s="9">
        <v>0.0</v>
      </c>
      <c r="BL147" s="9">
        <v>0.0</v>
      </c>
      <c r="BM147" s="9">
        <v>0.0</v>
      </c>
      <c r="BN147" s="9">
        <v>0.0</v>
      </c>
      <c r="BO147" s="9">
        <v>0.0</v>
      </c>
      <c r="BP147" s="9" t="s">
        <v>84</v>
      </c>
      <c r="BQ147" s="9" t="s">
        <v>84</v>
      </c>
      <c r="BR147" s="9">
        <v>0.0</v>
      </c>
      <c r="BS147" s="9">
        <v>0.0</v>
      </c>
      <c r="BT147" s="9">
        <v>0.0</v>
      </c>
      <c r="BU147" s="9">
        <v>0.0</v>
      </c>
      <c r="BV147" s="9">
        <v>0.0</v>
      </c>
      <c r="BW147" s="30">
        <v>0.0</v>
      </c>
      <c r="BX147" s="9">
        <v>0.0</v>
      </c>
      <c r="BY147" s="9" t="s">
        <v>84</v>
      </c>
      <c r="BZ147" s="9" t="s">
        <v>84</v>
      </c>
      <c r="CA147" s="9">
        <v>0.0</v>
      </c>
      <c r="CB147" s="9">
        <v>0.0</v>
      </c>
      <c r="CC147" s="16" t="s">
        <v>92</v>
      </c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</row>
    <row r="148" ht="18.75" customHeight="1">
      <c r="A148" s="9">
        <v>147.0</v>
      </c>
      <c r="B148" s="30">
        <v>60.0</v>
      </c>
      <c r="C148" s="31" t="s">
        <v>86</v>
      </c>
      <c r="D148" s="31" t="s">
        <v>88</v>
      </c>
      <c r="E148" s="31" t="s">
        <v>99</v>
      </c>
      <c r="F148" s="55">
        <v>165.1</v>
      </c>
      <c r="G148" s="56">
        <v>78.1</v>
      </c>
      <c r="H148" s="12">
        <f t="shared" si="1"/>
        <v>28.65212831</v>
      </c>
      <c r="I148" s="9">
        <v>0.0</v>
      </c>
      <c r="J148" s="9">
        <v>1.0</v>
      </c>
      <c r="K148" s="9">
        <v>1.0</v>
      </c>
      <c r="L148" s="30">
        <v>0.0</v>
      </c>
      <c r="M148" s="9">
        <v>100.0</v>
      </c>
      <c r="N148" s="9">
        <v>0.0</v>
      </c>
      <c r="O148" s="9">
        <v>213.0</v>
      </c>
      <c r="P148" s="9">
        <v>0.0</v>
      </c>
      <c r="Q148" s="9">
        <v>23.0</v>
      </c>
      <c r="R148" s="9">
        <v>0.0</v>
      </c>
      <c r="S148" s="12">
        <v>97.7</v>
      </c>
      <c r="T148" s="9">
        <v>0.0</v>
      </c>
      <c r="U148" s="9">
        <v>100.0</v>
      </c>
      <c r="V148" s="9">
        <v>0.0</v>
      </c>
      <c r="W148" s="9">
        <v>0.0</v>
      </c>
      <c r="X148" s="9">
        <v>0.0</v>
      </c>
      <c r="Y148" s="9">
        <v>0.0</v>
      </c>
      <c r="Z148" s="9">
        <v>0.0</v>
      </c>
      <c r="AA148" s="9">
        <v>0.0</v>
      </c>
      <c r="AB148" s="9">
        <v>0.0</v>
      </c>
      <c r="AC148" s="9">
        <v>0.0</v>
      </c>
      <c r="AD148" s="9">
        <v>0.0</v>
      </c>
      <c r="AE148" s="9">
        <v>1.0</v>
      </c>
      <c r="AF148" s="9">
        <v>0.0</v>
      </c>
      <c r="AG148" s="9">
        <v>0.0</v>
      </c>
      <c r="AH148" s="9">
        <v>0.0</v>
      </c>
      <c r="AI148" s="9">
        <v>0.0</v>
      </c>
      <c r="AJ148" s="9">
        <v>0.0</v>
      </c>
      <c r="AK148" s="9">
        <v>0.0</v>
      </c>
      <c r="AL148" s="9">
        <v>0.0</v>
      </c>
      <c r="AM148" s="9">
        <v>0.0</v>
      </c>
      <c r="AN148" s="9">
        <v>0.0</v>
      </c>
      <c r="AO148" s="9" t="s">
        <v>84</v>
      </c>
      <c r="AP148" s="9" t="s">
        <v>84</v>
      </c>
      <c r="AQ148" s="9" t="s">
        <v>84</v>
      </c>
      <c r="AR148" s="9">
        <v>0.0</v>
      </c>
      <c r="AS148" s="9" t="s">
        <v>84</v>
      </c>
      <c r="AT148" s="9" t="s">
        <v>84</v>
      </c>
      <c r="AU148" s="9" t="s">
        <v>84</v>
      </c>
      <c r="AV148" s="9" t="s">
        <v>84</v>
      </c>
      <c r="AW148" s="9" t="s">
        <v>84</v>
      </c>
      <c r="AX148" s="33">
        <f>5.77/4.1</f>
        <v>1.407317073</v>
      </c>
      <c r="AY148" s="34">
        <v>0.0</v>
      </c>
      <c r="AZ148" s="30">
        <v>0.0</v>
      </c>
      <c r="BA148" s="30">
        <v>1.0</v>
      </c>
      <c r="BB148" s="33">
        <f>2.68/3.21</f>
        <v>0.8348909657</v>
      </c>
      <c r="BC148" s="30">
        <v>4.0</v>
      </c>
      <c r="BD148" s="30">
        <v>1.0</v>
      </c>
      <c r="BE148" s="30">
        <v>1.0</v>
      </c>
      <c r="BF148" s="9">
        <v>0.0</v>
      </c>
      <c r="BG148" s="9" t="s">
        <v>84</v>
      </c>
      <c r="BH148" s="9">
        <v>0.0</v>
      </c>
      <c r="BI148" s="9">
        <v>0.0</v>
      </c>
      <c r="BJ148" s="9">
        <v>0.0</v>
      </c>
      <c r="BK148" s="9">
        <v>0.0</v>
      </c>
      <c r="BL148" s="9">
        <v>0.0</v>
      </c>
      <c r="BM148" s="9">
        <v>0.0</v>
      </c>
      <c r="BN148" s="9">
        <v>0.0</v>
      </c>
      <c r="BO148" s="9">
        <v>0.0</v>
      </c>
      <c r="BP148" s="9" t="s">
        <v>84</v>
      </c>
      <c r="BQ148" s="9" t="s">
        <v>84</v>
      </c>
      <c r="BR148" s="9">
        <v>0.0</v>
      </c>
      <c r="BS148" s="9">
        <v>0.0</v>
      </c>
      <c r="BT148" s="9">
        <v>0.0</v>
      </c>
      <c r="BU148" s="9">
        <v>0.0</v>
      </c>
      <c r="BV148" s="9">
        <v>0.0</v>
      </c>
      <c r="BW148" s="30">
        <v>0.0</v>
      </c>
      <c r="BX148" s="9">
        <v>0.0</v>
      </c>
      <c r="BY148" s="9">
        <v>0.0</v>
      </c>
      <c r="BZ148" s="9">
        <v>0.0</v>
      </c>
      <c r="CA148" s="9">
        <v>0.0</v>
      </c>
      <c r="CB148" s="9">
        <v>0.0</v>
      </c>
      <c r="CC148" s="16" t="s">
        <v>101</v>
      </c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</row>
    <row r="149" ht="18.75" customHeight="1">
      <c r="A149" s="9">
        <v>148.0</v>
      </c>
      <c r="B149" s="30">
        <v>42.0</v>
      </c>
      <c r="C149" s="31" t="s">
        <v>86</v>
      </c>
      <c r="D149" s="31" t="s">
        <v>82</v>
      </c>
      <c r="E149" s="31" t="s">
        <v>93</v>
      </c>
      <c r="F149" s="55">
        <v>157.5</v>
      </c>
      <c r="G149" s="56">
        <v>63.0</v>
      </c>
      <c r="H149" s="12">
        <f t="shared" si="1"/>
        <v>25.3968254</v>
      </c>
      <c r="I149" s="9">
        <v>0.0</v>
      </c>
      <c r="J149" s="9">
        <v>1.0</v>
      </c>
      <c r="K149" s="9">
        <v>1.0</v>
      </c>
      <c r="L149" s="30">
        <v>0.0</v>
      </c>
      <c r="M149" s="9">
        <v>96.0</v>
      </c>
      <c r="N149" s="9">
        <v>0.0</v>
      </c>
      <c r="O149" s="9">
        <v>130.0</v>
      </c>
      <c r="P149" s="9">
        <v>0.0</v>
      </c>
      <c r="Q149" s="9">
        <v>19.0</v>
      </c>
      <c r="R149" s="9">
        <v>0.0</v>
      </c>
      <c r="S149" s="12">
        <v>98.0</v>
      </c>
      <c r="T149" s="9">
        <v>0.0</v>
      </c>
      <c r="U149" s="9">
        <v>97.0</v>
      </c>
      <c r="V149" s="9">
        <v>0.0</v>
      </c>
      <c r="W149" s="9">
        <v>0.0</v>
      </c>
      <c r="X149" s="9">
        <v>0.0</v>
      </c>
      <c r="Y149" s="9">
        <v>0.0</v>
      </c>
      <c r="Z149" s="9">
        <v>0.0</v>
      </c>
      <c r="AA149" s="9">
        <v>0.0</v>
      </c>
      <c r="AB149" s="9">
        <v>0.0</v>
      </c>
      <c r="AC149" s="9">
        <v>0.0</v>
      </c>
      <c r="AD149" s="9">
        <v>0.0</v>
      </c>
      <c r="AE149" s="9">
        <v>0.0</v>
      </c>
      <c r="AF149" s="9">
        <v>0.0</v>
      </c>
      <c r="AG149" s="9">
        <v>0.0</v>
      </c>
      <c r="AH149" s="9">
        <v>0.0</v>
      </c>
      <c r="AI149" s="9">
        <v>0.0</v>
      </c>
      <c r="AJ149" s="9">
        <v>0.0</v>
      </c>
      <c r="AK149" s="9">
        <v>0.0</v>
      </c>
      <c r="AL149" s="9">
        <v>0.0</v>
      </c>
      <c r="AM149" s="9">
        <v>0.0</v>
      </c>
      <c r="AN149" s="9">
        <v>0.0</v>
      </c>
      <c r="AO149" s="9">
        <v>0.0</v>
      </c>
      <c r="AP149" s="9" t="s">
        <v>84</v>
      </c>
      <c r="AQ149" s="9">
        <v>0.0</v>
      </c>
      <c r="AR149" s="9">
        <v>0.0</v>
      </c>
      <c r="AS149" s="9">
        <v>0.0</v>
      </c>
      <c r="AT149" s="9">
        <v>0.0</v>
      </c>
      <c r="AU149" s="9">
        <v>0.0</v>
      </c>
      <c r="AV149" s="9">
        <v>0.0</v>
      </c>
      <c r="AW149" s="9" t="s">
        <v>97</v>
      </c>
      <c r="AX149" s="33">
        <f>3.85/4.49</f>
        <v>0.8574610245</v>
      </c>
      <c r="AY149" s="34">
        <v>1.0</v>
      </c>
      <c r="AZ149" s="30">
        <v>0.0</v>
      </c>
      <c r="BA149" s="30">
        <v>0.0</v>
      </c>
      <c r="BB149" s="33">
        <f>2.57/3.24</f>
        <v>0.7932098765</v>
      </c>
      <c r="BC149" s="30">
        <v>1.0</v>
      </c>
      <c r="BD149" s="30">
        <v>0.0</v>
      </c>
      <c r="BE149" s="30">
        <v>1.0</v>
      </c>
      <c r="BF149" s="9">
        <v>0.0</v>
      </c>
      <c r="BG149" s="9" t="s">
        <v>84</v>
      </c>
      <c r="BH149" s="9">
        <v>0.0</v>
      </c>
      <c r="BI149" s="9">
        <v>0.0</v>
      </c>
      <c r="BJ149" s="9">
        <v>0.0</v>
      </c>
      <c r="BK149" s="9">
        <v>0.0</v>
      </c>
      <c r="BL149" s="9">
        <v>0.0</v>
      </c>
      <c r="BM149" s="9">
        <v>0.0</v>
      </c>
      <c r="BN149" s="9">
        <v>0.0</v>
      </c>
      <c r="BO149" s="9">
        <v>0.0</v>
      </c>
      <c r="BP149" s="9" t="s">
        <v>84</v>
      </c>
      <c r="BQ149" s="9" t="s">
        <v>84</v>
      </c>
      <c r="BR149" s="9">
        <v>0.0</v>
      </c>
      <c r="BS149" s="9">
        <v>0.0</v>
      </c>
      <c r="BT149" s="9">
        <v>0.0</v>
      </c>
      <c r="BU149" s="9">
        <v>0.0</v>
      </c>
      <c r="BV149" s="9">
        <v>0.0</v>
      </c>
      <c r="BW149" s="30">
        <v>0.0</v>
      </c>
      <c r="BX149" s="9">
        <v>0.0</v>
      </c>
      <c r="BY149" s="9">
        <v>0.0</v>
      </c>
      <c r="BZ149" s="9">
        <v>0.0</v>
      </c>
      <c r="CA149" s="9">
        <v>0.0</v>
      </c>
      <c r="CB149" s="9">
        <v>0.0</v>
      </c>
      <c r="CC149" s="16" t="s">
        <v>188</v>
      </c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</row>
    <row r="150" ht="18.75" customHeight="1">
      <c r="A150" s="9">
        <v>149.0</v>
      </c>
      <c r="B150" s="30">
        <v>55.0</v>
      </c>
      <c r="C150" s="31" t="s">
        <v>81</v>
      </c>
      <c r="D150" s="31" t="s">
        <v>82</v>
      </c>
      <c r="E150" s="31" t="s">
        <v>119</v>
      </c>
      <c r="F150" s="55">
        <v>182.9</v>
      </c>
      <c r="G150" s="56">
        <v>135.5</v>
      </c>
      <c r="H150" s="12">
        <f t="shared" si="1"/>
        <v>40.50530291</v>
      </c>
      <c r="I150" s="9">
        <v>1.0</v>
      </c>
      <c r="J150" s="9">
        <v>3.0</v>
      </c>
      <c r="K150" s="9">
        <v>1.0</v>
      </c>
      <c r="L150" s="30">
        <v>1.0</v>
      </c>
      <c r="M150" s="9">
        <v>123.0</v>
      </c>
      <c r="N150" s="9">
        <v>0.0</v>
      </c>
      <c r="O150" s="9">
        <v>126.0</v>
      </c>
      <c r="P150" s="9">
        <v>0.0</v>
      </c>
      <c r="Q150" s="9">
        <v>20.0</v>
      </c>
      <c r="R150" s="9">
        <v>0.0</v>
      </c>
      <c r="S150" s="12">
        <v>98.7</v>
      </c>
      <c r="T150" s="9">
        <v>1.0</v>
      </c>
      <c r="U150" s="9">
        <v>84.0</v>
      </c>
      <c r="V150" s="9">
        <v>1.0</v>
      </c>
      <c r="W150" s="9">
        <v>0.0</v>
      </c>
      <c r="X150" s="9">
        <v>0.0</v>
      </c>
      <c r="Y150" s="9">
        <v>0.0</v>
      </c>
      <c r="Z150" s="9">
        <v>0.0</v>
      </c>
      <c r="AA150" s="9">
        <v>0.0</v>
      </c>
      <c r="AB150" s="9">
        <v>0.0</v>
      </c>
      <c r="AC150" s="9">
        <v>0.0</v>
      </c>
      <c r="AD150" s="9">
        <v>1.0</v>
      </c>
      <c r="AE150" s="9">
        <v>0.0</v>
      </c>
      <c r="AF150" s="9">
        <v>0.0</v>
      </c>
      <c r="AG150" s="9">
        <v>0.0</v>
      </c>
      <c r="AH150" s="9">
        <v>0.0</v>
      </c>
      <c r="AI150" s="9">
        <v>0.0</v>
      </c>
      <c r="AJ150" s="9">
        <v>0.0</v>
      </c>
      <c r="AK150" s="9">
        <v>0.0</v>
      </c>
      <c r="AL150" s="9">
        <v>0.0</v>
      </c>
      <c r="AM150" s="9">
        <v>0.0</v>
      </c>
      <c r="AN150" s="9">
        <v>0.0</v>
      </c>
      <c r="AO150" s="9">
        <v>1.0</v>
      </c>
      <c r="AP150" s="9">
        <v>1.0</v>
      </c>
      <c r="AQ150" s="9">
        <v>0.0</v>
      </c>
      <c r="AR150" s="9">
        <v>0.0</v>
      </c>
      <c r="AS150" s="9">
        <v>0.0</v>
      </c>
      <c r="AT150" s="9">
        <v>0.0</v>
      </c>
      <c r="AU150" s="9">
        <v>0.0</v>
      </c>
      <c r="AV150" s="9">
        <v>0.0</v>
      </c>
      <c r="AW150" s="9">
        <v>30.4</v>
      </c>
      <c r="AX150" s="33">
        <f>5.56/4.37</f>
        <v>1.272311213</v>
      </c>
      <c r="AY150" s="34">
        <v>0.0</v>
      </c>
      <c r="AZ150" s="30">
        <v>0.0</v>
      </c>
      <c r="BA150" s="30">
        <v>1.0</v>
      </c>
      <c r="BB150" s="33">
        <f>3.9/3.46</f>
        <v>1.12716763</v>
      </c>
      <c r="BC150" s="30">
        <v>2.0</v>
      </c>
      <c r="BD150" s="30">
        <v>1.0</v>
      </c>
      <c r="BE150" s="30">
        <v>1.0</v>
      </c>
      <c r="BF150" s="9">
        <v>0.0</v>
      </c>
      <c r="BG150" s="9" t="s">
        <v>84</v>
      </c>
      <c r="BH150" s="9">
        <v>1.0</v>
      </c>
      <c r="BI150" s="9">
        <v>0.0</v>
      </c>
      <c r="BJ150" s="9">
        <v>0.0</v>
      </c>
      <c r="BK150" s="9">
        <v>0.0</v>
      </c>
      <c r="BL150" s="9">
        <v>0.0</v>
      </c>
      <c r="BM150" s="9">
        <v>0.0</v>
      </c>
      <c r="BN150" s="9">
        <v>0.0</v>
      </c>
      <c r="BO150" s="9">
        <v>1.0</v>
      </c>
      <c r="BP150" s="9">
        <v>0.0</v>
      </c>
      <c r="BQ150" s="9">
        <v>0.0</v>
      </c>
      <c r="BR150" s="9">
        <v>0.0</v>
      </c>
      <c r="BS150" s="9">
        <v>0.0</v>
      </c>
      <c r="BT150" s="9">
        <v>0.0</v>
      </c>
      <c r="BU150" s="9">
        <v>0.0</v>
      </c>
      <c r="BV150" s="9">
        <v>0.0</v>
      </c>
      <c r="BW150" s="30">
        <v>0.0</v>
      </c>
      <c r="BX150" s="9">
        <v>0.0</v>
      </c>
      <c r="BY150" s="9">
        <v>0.0</v>
      </c>
      <c r="BZ150" s="9">
        <v>1.0</v>
      </c>
      <c r="CA150" s="9">
        <v>0.0</v>
      </c>
      <c r="CB150" s="9">
        <v>0.0</v>
      </c>
      <c r="CC150" s="16" t="s">
        <v>101</v>
      </c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</row>
    <row r="151" ht="18.75" customHeight="1">
      <c r="A151" s="9">
        <v>150.0</v>
      </c>
      <c r="B151" s="30">
        <v>69.0</v>
      </c>
      <c r="C151" s="31" t="s">
        <v>86</v>
      </c>
      <c r="D151" s="31" t="s">
        <v>82</v>
      </c>
      <c r="E151" s="31" t="s">
        <v>83</v>
      </c>
      <c r="F151" s="55">
        <v>167.6</v>
      </c>
      <c r="G151" s="56">
        <v>117.9</v>
      </c>
      <c r="H151" s="12">
        <f t="shared" si="1"/>
        <v>41.97259072</v>
      </c>
      <c r="I151" s="9">
        <v>1.0</v>
      </c>
      <c r="J151" s="9">
        <v>4.0</v>
      </c>
      <c r="K151" s="9">
        <v>1.0</v>
      </c>
      <c r="L151" s="30">
        <v>0.0</v>
      </c>
      <c r="M151" s="9">
        <v>104.0</v>
      </c>
      <c r="N151" s="9">
        <v>0.0</v>
      </c>
      <c r="O151" s="9">
        <v>207.0</v>
      </c>
      <c r="P151" s="9">
        <v>0.0</v>
      </c>
      <c r="Q151" s="9">
        <v>20.0</v>
      </c>
      <c r="R151" s="9">
        <v>0.0</v>
      </c>
      <c r="S151" s="12">
        <v>97.2</v>
      </c>
      <c r="T151" s="9">
        <v>0.0</v>
      </c>
      <c r="U151" s="9">
        <v>97.0</v>
      </c>
      <c r="V151" s="9">
        <v>0.0</v>
      </c>
      <c r="W151" s="9">
        <v>0.0</v>
      </c>
      <c r="X151" s="9">
        <v>0.0</v>
      </c>
      <c r="Y151" s="9">
        <v>0.0</v>
      </c>
      <c r="Z151" s="9">
        <v>0.0</v>
      </c>
      <c r="AA151" s="9">
        <v>1.0</v>
      </c>
      <c r="AB151" s="9">
        <v>1.0</v>
      </c>
      <c r="AC151" s="9">
        <v>0.0</v>
      </c>
      <c r="AD151" s="9">
        <v>1.0</v>
      </c>
      <c r="AE151" s="9">
        <v>1.0</v>
      </c>
      <c r="AF151" s="9">
        <v>0.0</v>
      </c>
      <c r="AG151" s="9">
        <v>0.0</v>
      </c>
      <c r="AH151" s="9">
        <v>0.0</v>
      </c>
      <c r="AI151" s="9">
        <v>1.0</v>
      </c>
      <c r="AJ151" s="9">
        <v>0.0</v>
      </c>
      <c r="AK151" s="9">
        <v>1.0</v>
      </c>
      <c r="AL151" s="9">
        <v>0.0</v>
      </c>
      <c r="AM151" s="9">
        <v>0.0</v>
      </c>
      <c r="AN151" s="9">
        <v>0.0</v>
      </c>
      <c r="AO151" s="9">
        <v>0.0</v>
      </c>
      <c r="AP151" s="9" t="s">
        <v>84</v>
      </c>
      <c r="AQ151" s="9" t="s">
        <v>84</v>
      </c>
      <c r="AR151" s="9">
        <v>0.0</v>
      </c>
      <c r="AS151" s="9">
        <v>0.0</v>
      </c>
      <c r="AT151" s="9">
        <v>0.0</v>
      </c>
      <c r="AU151" s="9">
        <v>0.0</v>
      </c>
      <c r="AV151" s="9">
        <v>0.0</v>
      </c>
      <c r="AW151" s="9" t="s">
        <v>97</v>
      </c>
      <c r="AX151" s="33">
        <f>2.91/4.93</f>
        <v>0.5902636917</v>
      </c>
      <c r="AY151" s="34">
        <v>0.0</v>
      </c>
      <c r="AZ151" s="30">
        <v>0.0</v>
      </c>
      <c r="BA151" s="30">
        <v>0.0</v>
      </c>
      <c r="BB151" s="33">
        <f>3/3.18</f>
        <v>0.9433962264</v>
      </c>
      <c r="BC151" s="30">
        <v>1.0</v>
      </c>
      <c r="BD151" s="30">
        <v>0.0</v>
      </c>
      <c r="BE151" s="30">
        <v>0.0</v>
      </c>
      <c r="BF151" s="9">
        <v>0.0</v>
      </c>
      <c r="BG151" s="9" t="s">
        <v>84</v>
      </c>
      <c r="BH151" s="9">
        <v>0.0</v>
      </c>
      <c r="BI151" s="9">
        <v>0.0</v>
      </c>
      <c r="BJ151" s="9">
        <v>0.0</v>
      </c>
      <c r="BK151" s="9">
        <v>0.0</v>
      </c>
      <c r="BL151" s="9">
        <v>0.0</v>
      </c>
      <c r="BM151" s="9">
        <v>0.0</v>
      </c>
      <c r="BN151" s="9">
        <v>0.0</v>
      </c>
      <c r="BO151" s="9">
        <v>0.0</v>
      </c>
      <c r="BP151" s="9" t="s">
        <v>84</v>
      </c>
      <c r="BQ151" s="9" t="s">
        <v>84</v>
      </c>
      <c r="BR151" s="9">
        <v>0.0</v>
      </c>
      <c r="BS151" s="9">
        <v>0.0</v>
      </c>
      <c r="BT151" s="9">
        <v>0.0</v>
      </c>
      <c r="BU151" s="9">
        <v>0.0</v>
      </c>
      <c r="BV151" s="9">
        <v>0.0</v>
      </c>
      <c r="BW151" s="30">
        <v>0.0</v>
      </c>
      <c r="BX151" s="9">
        <v>0.0</v>
      </c>
      <c r="BY151" s="9">
        <v>0.0</v>
      </c>
      <c r="BZ151" s="9">
        <v>0.0</v>
      </c>
      <c r="CA151" s="9">
        <v>0.0</v>
      </c>
      <c r="CB151" s="9">
        <v>0.0</v>
      </c>
      <c r="CC151" s="16" t="s">
        <v>87</v>
      </c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57"/>
      <c r="CV151" s="57"/>
      <c r="CW151" s="57"/>
    </row>
    <row r="152" ht="18.75" customHeight="1">
      <c r="A152" s="9">
        <v>151.0</v>
      </c>
      <c r="B152" s="63" t="s">
        <v>207</v>
      </c>
      <c r="C152" s="31" t="s">
        <v>86</v>
      </c>
      <c r="D152" s="31" t="s">
        <v>88</v>
      </c>
      <c r="E152" s="31" t="s">
        <v>93</v>
      </c>
      <c r="F152" s="55">
        <v>175.3</v>
      </c>
      <c r="G152" s="56">
        <v>95.7</v>
      </c>
      <c r="H152" s="12">
        <f t="shared" si="1"/>
        <v>31.14211511</v>
      </c>
      <c r="I152" s="9">
        <v>1.0</v>
      </c>
      <c r="J152" s="9">
        <v>3.0</v>
      </c>
      <c r="K152" s="9">
        <v>1.0</v>
      </c>
      <c r="L152" s="30">
        <v>0.0</v>
      </c>
      <c r="M152" s="9">
        <v>73.0</v>
      </c>
      <c r="N152" s="18">
        <v>0.0</v>
      </c>
      <c r="O152" s="9">
        <v>147.0</v>
      </c>
      <c r="P152" s="9">
        <v>0.0</v>
      </c>
      <c r="Q152" s="9">
        <v>18.0</v>
      </c>
      <c r="R152" s="9">
        <v>0.0</v>
      </c>
      <c r="S152" s="12">
        <v>98.5</v>
      </c>
      <c r="T152" s="9">
        <v>0.0</v>
      </c>
      <c r="U152" s="9">
        <v>99.0</v>
      </c>
      <c r="V152" s="9">
        <v>0.0</v>
      </c>
      <c r="W152" s="9">
        <v>0.0</v>
      </c>
      <c r="X152" s="9">
        <v>0.0</v>
      </c>
      <c r="Y152" s="9">
        <v>0.0</v>
      </c>
      <c r="Z152" s="9">
        <v>1.0</v>
      </c>
      <c r="AA152" s="9">
        <v>0.0</v>
      </c>
      <c r="AB152" s="9">
        <v>0.0</v>
      </c>
      <c r="AC152" s="9">
        <v>1.0</v>
      </c>
      <c r="AD152" s="9">
        <v>0.0</v>
      </c>
      <c r="AE152" s="9">
        <v>0.0</v>
      </c>
      <c r="AF152" s="9">
        <v>0.0</v>
      </c>
      <c r="AG152" s="9">
        <v>1.0</v>
      </c>
      <c r="AH152" s="9">
        <v>0.0</v>
      </c>
      <c r="AI152" s="9">
        <v>1.0</v>
      </c>
      <c r="AJ152" s="9">
        <v>1.0</v>
      </c>
      <c r="AK152" s="9">
        <v>0.0</v>
      </c>
      <c r="AL152" s="9">
        <v>0.0</v>
      </c>
      <c r="AM152" s="9">
        <v>0.0</v>
      </c>
      <c r="AN152" s="9">
        <v>0.0</v>
      </c>
      <c r="AO152" s="9">
        <v>1.0</v>
      </c>
      <c r="AP152" s="9">
        <v>1.0</v>
      </c>
      <c r="AQ152" s="9">
        <v>0.0</v>
      </c>
      <c r="AR152" s="9">
        <v>0.0</v>
      </c>
      <c r="AS152" s="9">
        <v>0.0</v>
      </c>
      <c r="AT152" s="9">
        <v>0.0</v>
      </c>
      <c r="AU152" s="9">
        <v>0.0</v>
      </c>
      <c r="AV152" s="9">
        <v>0.0</v>
      </c>
      <c r="AW152" s="9" t="s">
        <v>97</v>
      </c>
      <c r="AX152" s="33">
        <f>2.97/3.86</f>
        <v>0.7694300518</v>
      </c>
      <c r="AY152" s="34">
        <v>0.0</v>
      </c>
      <c r="AZ152" s="30">
        <v>0.0</v>
      </c>
      <c r="BA152" s="30">
        <v>0.0</v>
      </c>
      <c r="BB152" s="33">
        <f>3.3/3.61</f>
        <v>0.9141274238</v>
      </c>
      <c r="BC152" s="30">
        <v>2.0</v>
      </c>
      <c r="BD152" s="30">
        <v>0.0</v>
      </c>
      <c r="BE152" s="30">
        <v>0.0</v>
      </c>
      <c r="BF152" s="9">
        <v>0.0</v>
      </c>
      <c r="BG152" s="9" t="s">
        <v>84</v>
      </c>
      <c r="BH152" s="9">
        <v>0.0</v>
      </c>
      <c r="BI152" s="9">
        <v>0.0</v>
      </c>
      <c r="BJ152" s="9">
        <v>0.0</v>
      </c>
      <c r="BK152" s="9">
        <v>0.0</v>
      </c>
      <c r="BL152" s="9">
        <v>0.0</v>
      </c>
      <c r="BM152" s="9">
        <v>0.0</v>
      </c>
      <c r="BN152" s="9">
        <v>0.0</v>
      </c>
      <c r="BO152" s="9">
        <v>0.0</v>
      </c>
      <c r="BP152" s="9" t="s">
        <v>84</v>
      </c>
      <c r="BQ152" s="9" t="s">
        <v>84</v>
      </c>
      <c r="BR152" s="9">
        <v>0.0</v>
      </c>
      <c r="BS152" s="9">
        <v>0.0</v>
      </c>
      <c r="BT152" s="9">
        <v>0.0</v>
      </c>
      <c r="BU152" s="9">
        <v>0.0</v>
      </c>
      <c r="BV152" s="9">
        <v>0.0</v>
      </c>
      <c r="BW152" s="30">
        <v>0.0</v>
      </c>
      <c r="BX152" s="9">
        <v>0.0</v>
      </c>
      <c r="BY152" s="9">
        <v>0.0</v>
      </c>
      <c r="BZ152" s="9">
        <v>0.0</v>
      </c>
      <c r="CA152" s="9">
        <v>0.0</v>
      </c>
      <c r="CB152" s="9">
        <v>0.0</v>
      </c>
      <c r="CC152" s="16" t="s">
        <v>87</v>
      </c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57"/>
      <c r="CV152" s="57"/>
      <c r="CW152" s="57"/>
    </row>
    <row r="153" ht="18.75" customHeight="1">
      <c r="A153" s="9">
        <v>152.0</v>
      </c>
      <c r="B153" s="30">
        <v>27.0</v>
      </c>
      <c r="C153" s="31" t="s">
        <v>86</v>
      </c>
      <c r="D153" s="31" t="s">
        <v>82</v>
      </c>
      <c r="E153" s="31" t="s">
        <v>93</v>
      </c>
      <c r="F153" s="55">
        <v>190.5</v>
      </c>
      <c r="G153" s="56">
        <v>76.9</v>
      </c>
      <c r="H153" s="12">
        <f t="shared" si="1"/>
        <v>21.1902646</v>
      </c>
      <c r="I153" s="9">
        <v>1.0</v>
      </c>
      <c r="J153" s="9">
        <v>2.0</v>
      </c>
      <c r="K153" s="9">
        <v>1.0</v>
      </c>
      <c r="L153" s="30">
        <v>0.0</v>
      </c>
      <c r="M153" s="9">
        <v>53.0</v>
      </c>
      <c r="N153" s="18">
        <v>0.0</v>
      </c>
      <c r="O153" s="9">
        <v>106.0</v>
      </c>
      <c r="P153" s="9">
        <v>0.0</v>
      </c>
      <c r="Q153" s="9">
        <v>17.0</v>
      </c>
      <c r="R153" s="9">
        <v>0.0</v>
      </c>
      <c r="S153" s="12">
        <v>98.8</v>
      </c>
      <c r="T153" s="9">
        <v>0.0</v>
      </c>
      <c r="U153" s="9">
        <v>98.0</v>
      </c>
      <c r="V153" s="9">
        <v>0.0</v>
      </c>
      <c r="W153" s="9">
        <v>0.0</v>
      </c>
      <c r="X153" s="9">
        <v>1.0</v>
      </c>
      <c r="Y153" s="9">
        <v>0.0</v>
      </c>
      <c r="Z153" s="9">
        <v>1.0</v>
      </c>
      <c r="AA153" s="9">
        <v>1.0</v>
      </c>
      <c r="AB153" s="9">
        <v>0.0</v>
      </c>
      <c r="AC153" s="9">
        <v>0.0</v>
      </c>
      <c r="AD153" s="9">
        <v>0.0</v>
      </c>
      <c r="AE153" s="9">
        <v>0.0</v>
      </c>
      <c r="AF153" s="9">
        <v>1.0</v>
      </c>
      <c r="AG153" s="9">
        <v>0.0</v>
      </c>
      <c r="AH153" s="9">
        <v>0.0</v>
      </c>
      <c r="AI153" s="9">
        <v>0.0</v>
      </c>
      <c r="AJ153" s="9">
        <v>0.0</v>
      </c>
      <c r="AK153" s="9">
        <v>0.0</v>
      </c>
      <c r="AL153" s="9">
        <v>0.0</v>
      </c>
      <c r="AM153" s="9">
        <v>0.0</v>
      </c>
      <c r="AN153" s="9">
        <v>0.0</v>
      </c>
      <c r="AO153" s="9">
        <v>0.0</v>
      </c>
      <c r="AP153" s="9" t="s">
        <v>84</v>
      </c>
      <c r="AQ153" s="9">
        <v>0.0</v>
      </c>
      <c r="AR153" s="9">
        <v>0.0</v>
      </c>
      <c r="AS153" s="9">
        <v>0.0</v>
      </c>
      <c r="AT153" s="9">
        <v>0.0</v>
      </c>
      <c r="AU153" s="9">
        <v>0.0</v>
      </c>
      <c r="AV153" s="9">
        <v>0.0</v>
      </c>
      <c r="AW153" s="9">
        <v>25.6</v>
      </c>
      <c r="AX153" s="33">
        <f>3.25/5.12</f>
        <v>0.634765625</v>
      </c>
      <c r="AY153" s="34">
        <v>0.0</v>
      </c>
      <c r="AZ153" s="30">
        <v>0.0</v>
      </c>
      <c r="BA153" s="30">
        <v>0.0</v>
      </c>
      <c r="BB153" s="33">
        <f>2.55/2.6</f>
        <v>0.9807692308</v>
      </c>
      <c r="BC153" s="30">
        <v>2.0</v>
      </c>
      <c r="BD153" s="30">
        <v>0.0</v>
      </c>
      <c r="BE153" s="30">
        <v>0.0</v>
      </c>
      <c r="BF153" s="9">
        <v>0.0</v>
      </c>
      <c r="BG153" s="9" t="s">
        <v>84</v>
      </c>
      <c r="BH153" s="9">
        <v>0.0</v>
      </c>
      <c r="BI153" s="9">
        <v>0.0</v>
      </c>
      <c r="BJ153" s="9">
        <v>0.0</v>
      </c>
      <c r="BK153" s="9">
        <v>0.0</v>
      </c>
      <c r="BL153" s="9">
        <v>0.0</v>
      </c>
      <c r="BM153" s="9">
        <v>0.0</v>
      </c>
      <c r="BN153" s="9">
        <v>0.0</v>
      </c>
      <c r="BO153" s="9">
        <v>0.0</v>
      </c>
      <c r="BP153" s="9" t="s">
        <v>84</v>
      </c>
      <c r="BQ153" s="9" t="s">
        <v>84</v>
      </c>
      <c r="BR153" s="9">
        <v>0.0</v>
      </c>
      <c r="BS153" s="9">
        <v>0.0</v>
      </c>
      <c r="BT153" s="9">
        <v>0.0</v>
      </c>
      <c r="BU153" s="9">
        <v>0.0</v>
      </c>
      <c r="BV153" s="9">
        <v>0.0</v>
      </c>
      <c r="BW153" s="31" t="s">
        <v>94</v>
      </c>
      <c r="BX153" s="9" t="s">
        <v>94</v>
      </c>
      <c r="BY153" s="9">
        <v>0.0</v>
      </c>
      <c r="BZ153" s="9">
        <v>0.0</v>
      </c>
      <c r="CA153" s="9">
        <v>0.0</v>
      </c>
      <c r="CB153" s="9">
        <v>0.0</v>
      </c>
      <c r="CC153" s="16" t="s">
        <v>101</v>
      </c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57"/>
      <c r="CV153" s="57"/>
      <c r="CW153" s="57"/>
    </row>
    <row r="154" ht="18.75" customHeight="1">
      <c r="A154" s="9">
        <v>153.0</v>
      </c>
      <c r="B154" s="31" t="s">
        <v>135</v>
      </c>
      <c r="C154" s="31" t="s">
        <v>86</v>
      </c>
      <c r="D154" s="31" t="s">
        <v>88</v>
      </c>
      <c r="E154" s="31" t="s">
        <v>103</v>
      </c>
      <c r="F154" s="55">
        <v>165.1</v>
      </c>
      <c r="G154" s="56">
        <v>95.3</v>
      </c>
      <c r="H154" s="12">
        <f t="shared" si="1"/>
        <v>34.9622001</v>
      </c>
      <c r="I154" s="9">
        <v>0.0</v>
      </c>
      <c r="J154" s="9">
        <v>1.0</v>
      </c>
      <c r="K154" s="9">
        <v>1.0</v>
      </c>
      <c r="L154" s="30">
        <v>0.0</v>
      </c>
      <c r="M154" s="9">
        <v>53.0</v>
      </c>
      <c r="N154" s="18">
        <v>0.0</v>
      </c>
      <c r="O154" s="9">
        <v>133.0</v>
      </c>
      <c r="P154" s="9">
        <v>0.0</v>
      </c>
      <c r="Q154" s="9">
        <v>18.0</v>
      </c>
      <c r="R154" s="9">
        <v>0.0</v>
      </c>
      <c r="S154" s="12">
        <v>97.9</v>
      </c>
      <c r="T154" s="9">
        <v>0.0</v>
      </c>
      <c r="U154" s="9">
        <v>100.0</v>
      </c>
      <c r="V154" s="9">
        <v>0.0</v>
      </c>
      <c r="W154" s="9">
        <v>0.0</v>
      </c>
      <c r="X154" s="9">
        <v>0.0</v>
      </c>
      <c r="Y154" s="9" t="s">
        <v>84</v>
      </c>
      <c r="Z154" s="9">
        <v>0.0</v>
      </c>
      <c r="AA154" s="9">
        <v>0.0</v>
      </c>
      <c r="AB154" s="9">
        <v>0.0</v>
      </c>
      <c r="AC154" s="9">
        <v>0.0</v>
      </c>
      <c r="AD154" s="9">
        <v>0.0</v>
      </c>
      <c r="AE154" s="9">
        <v>0.0</v>
      </c>
      <c r="AF154" s="9">
        <v>0.0</v>
      </c>
      <c r="AG154" s="9">
        <v>0.0</v>
      </c>
      <c r="AH154" s="9">
        <v>0.0</v>
      </c>
      <c r="AI154" s="9">
        <v>0.0</v>
      </c>
      <c r="AJ154" s="9">
        <v>0.0</v>
      </c>
      <c r="AK154" s="9">
        <v>0.0</v>
      </c>
      <c r="AL154" s="9">
        <v>0.0</v>
      </c>
      <c r="AM154" s="9">
        <v>0.0</v>
      </c>
      <c r="AN154" s="9">
        <v>0.0</v>
      </c>
      <c r="AO154" s="9" t="s">
        <v>84</v>
      </c>
      <c r="AP154" s="9" t="s">
        <v>84</v>
      </c>
      <c r="AQ154" s="9" t="s">
        <v>84</v>
      </c>
      <c r="AR154" s="9">
        <v>0.0</v>
      </c>
      <c r="AS154" s="9" t="s">
        <v>84</v>
      </c>
      <c r="AT154" s="9" t="s">
        <v>84</v>
      </c>
      <c r="AU154" s="9" t="s">
        <v>84</v>
      </c>
      <c r="AV154" s="9" t="s">
        <v>84</v>
      </c>
      <c r="AW154" s="9" t="s">
        <v>84</v>
      </c>
      <c r="AX154" s="33">
        <f>3.93/4.64</f>
        <v>0.8469827586</v>
      </c>
      <c r="AY154" s="34">
        <v>1.0</v>
      </c>
      <c r="AZ154" s="30">
        <v>0.0</v>
      </c>
      <c r="BA154" s="30">
        <v>0.0</v>
      </c>
      <c r="BB154" s="33">
        <f>2.44/2.9</f>
        <v>0.8413793103</v>
      </c>
      <c r="BC154" s="30">
        <v>3.0</v>
      </c>
      <c r="BD154" s="30">
        <v>0.0</v>
      </c>
      <c r="BE154" s="30">
        <v>0.0</v>
      </c>
      <c r="BF154" s="9" t="s">
        <v>84</v>
      </c>
      <c r="BG154" s="9" t="s">
        <v>84</v>
      </c>
      <c r="BH154" s="9">
        <v>0.0</v>
      </c>
      <c r="BI154" s="9">
        <v>0.0</v>
      </c>
      <c r="BJ154" s="9">
        <v>0.0</v>
      </c>
      <c r="BK154" s="9">
        <v>0.0</v>
      </c>
      <c r="BL154" s="9">
        <v>0.0</v>
      </c>
      <c r="BM154" s="9">
        <v>0.0</v>
      </c>
      <c r="BN154" s="9">
        <v>0.0</v>
      </c>
      <c r="BO154" s="9">
        <v>0.0</v>
      </c>
      <c r="BP154" s="9" t="s">
        <v>84</v>
      </c>
      <c r="BQ154" s="9" t="s">
        <v>84</v>
      </c>
      <c r="BR154" s="9">
        <v>0.0</v>
      </c>
      <c r="BS154" s="9">
        <v>0.0</v>
      </c>
      <c r="BT154" s="9">
        <v>0.0</v>
      </c>
      <c r="BU154" s="9">
        <v>0.0</v>
      </c>
      <c r="BV154" s="9">
        <v>0.0</v>
      </c>
      <c r="BW154" s="31" t="s">
        <v>94</v>
      </c>
      <c r="BX154" s="9" t="s">
        <v>94</v>
      </c>
      <c r="BY154" s="9">
        <v>0.0</v>
      </c>
      <c r="BZ154" s="9">
        <v>0.0</v>
      </c>
      <c r="CA154" s="9">
        <v>0.0</v>
      </c>
      <c r="CB154" s="9">
        <v>0.0</v>
      </c>
      <c r="CC154" s="16" t="s">
        <v>188</v>
      </c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</row>
    <row r="155" ht="18.75" customHeight="1">
      <c r="A155" s="9">
        <v>154.0</v>
      </c>
      <c r="B155" s="31" t="s">
        <v>208</v>
      </c>
      <c r="C155" s="31" t="s">
        <v>81</v>
      </c>
      <c r="D155" s="31" t="s">
        <v>88</v>
      </c>
      <c r="E155" s="31" t="s">
        <v>99</v>
      </c>
      <c r="F155" s="55">
        <v>188.0</v>
      </c>
      <c r="G155" s="56">
        <v>68.5</v>
      </c>
      <c r="H155" s="12">
        <f t="shared" si="1"/>
        <v>19.3809416</v>
      </c>
      <c r="I155" s="9">
        <v>1.0</v>
      </c>
      <c r="J155" s="9">
        <v>4.0</v>
      </c>
      <c r="K155" s="9">
        <v>1.0</v>
      </c>
      <c r="L155" s="30">
        <v>0.0</v>
      </c>
      <c r="M155" s="9">
        <v>109.0</v>
      </c>
      <c r="N155" s="18">
        <v>0.0</v>
      </c>
      <c r="O155" s="9">
        <v>164.0</v>
      </c>
      <c r="P155" s="9">
        <v>0.0</v>
      </c>
      <c r="Q155" s="9">
        <v>23.0</v>
      </c>
      <c r="R155" s="9">
        <v>0.0</v>
      </c>
      <c r="S155" s="12">
        <v>98.5</v>
      </c>
      <c r="T155" s="9">
        <v>0.0</v>
      </c>
      <c r="U155" s="9">
        <v>96.0</v>
      </c>
      <c r="V155" s="9">
        <v>0.0</v>
      </c>
      <c r="W155" s="9">
        <v>0.0</v>
      </c>
      <c r="X155" s="9">
        <v>0.0</v>
      </c>
      <c r="Y155" s="9">
        <v>0.0</v>
      </c>
      <c r="Z155" s="9">
        <v>1.0</v>
      </c>
      <c r="AA155" s="9">
        <v>0.0</v>
      </c>
      <c r="AB155" s="9">
        <v>0.0</v>
      </c>
      <c r="AC155" s="9">
        <v>1.0</v>
      </c>
      <c r="AD155" s="9">
        <v>0.0</v>
      </c>
      <c r="AE155" s="9">
        <v>0.0</v>
      </c>
      <c r="AF155" s="9">
        <v>0.0</v>
      </c>
      <c r="AG155" s="9">
        <v>0.0</v>
      </c>
      <c r="AH155" s="9">
        <v>0.0</v>
      </c>
      <c r="AI155" s="9">
        <v>0.0</v>
      </c>
      <c r="AJ155" s="9">
        <v>0.0</v>
      </c>
      <c r="AK155" s="9">
        <v>0.0</v>
      </c>
      <c r="AL155" s="9">
        <v>0.0</v>
      </c>
      <c r="AM155" s="9">
        <v>0.0</v>
      </c>
      <c r="AN155" s="9">
        <v>0.0</v>
      </c>
      <c r="AO155" s="9">
        <v>0.0</v>
      </c>
      <c r="AP155" s="9" t="s">
        <v>84</v>
      </c>
      <c r="AQ155" s="9" t="s">
        <v>84</v>
      </c>
      <c r="AR155" s="9" t="s">
        <v>84</v>
      </c>
      <c r="AS155" s="9">
        <v>0.0</v>
      </c>
      <c r="AT155" s="9">
        <v>0.0</v>
      </c>
      <c r="AU155" s="9">
        <v>0.0</v>
      </c>
      <c r="AV155" s="9">
        <v>0.0</v>
      </c>
      <c r="AW155" s="9">
        <v>32.0</v>
      </c>
      <c r="AX155" s="33">
        <f>4.36/4.46</f>
        <v>0.9775784753</v>
      </c>
      <c r="AY155" s="34">
        <v>0.0</v>
      </c>
      <c r="AZ155" s="30">
        <v>0.0</v>
      </c>
      <c r="BA155" s="30">
        <v>1.0</v>
      </c>
      <c r="BB155" s="33">
        <f>2.13/3.34</f>
        <v>0.6377245509</v>
      </c>
      <c r="BC155" s="30">
        <v>1.0</v>
      </c>
      <c r="BD155" s="30">
        <v>0.0</v>
      </c>
      <c r="BE155" s="30">
        <v>0.0</v>
      </c>
      <c r="BF155" s="9">
        <v>0.0</v>
      </c>
      <c r="BG155" s="9" t="s">
        <v>84</v>
      </c>
      <c r="BH155" s="9">
        <v>0.0</v>
      </c>
      <c r="BI155" s="9">
        <v>0.0</v>
      </c>
      <c r="BJ155" s="9">
        <v>0.0</v>
      </c>
      <c r="BK155" s="9">
        <v>0.0</v>
      </c>
      <c r="BL155" s="9">
        <v>0.0</v>
      </c>
      <c r="BM155" s="9">
        <v>0.0</v>
      </c>
      <c r="BN155" s="9">
        <v>0.0</v>
      </c>
      <c r="BO155" s="9">
        <v>0.0</v>
      </c>
      <c r="BP155" s="9" t="s">
        <v>84</v>
      </c>
      <c r="BQ155" s="9" t="s">
        <v>84</v>
      </c>
      <c r="BR155" s="9">
        <v>0.0</v>
      </c>
      <c r="BS155" s="9">
        <v>0.0</v>
      </c>
      <c r="BT155" s="9">
        <v>0.0</v>
      </c>
      <c r="BU155" s="9">
        <v>0.0</v>
      </c>
      <c r="BV155" s="9">
        <v>0.0</v>
      </c>
      <c r="BW155" s="30">
        <v>0.0</v>
      </c>
      <c r="BX155" s="9">
        <v>0.0</v>
      </c>
      <c r="BY155" s="9">
        <v>0.0</v>
      </c>
      <c r="BZ155" s="9">
        <v>0.0</v>
      </c>
      <c r="CA155" s="9">
        <v>0.0</v>
      </c>
      <c r="CB155" s="9">
        <v>0.0</v>
      </c>
      <c r="CC155" s="16" t="s">
        <v>104</v>
      </c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</row>
    <row r="156" ht="18.75" customHeight="1">
      <c r="A156" s="9">
        <v>155.0</v>
      </c>
      <c r="B156" s="30">
        <v>50.0</v>
      </c>
      <c r="C156" s="9" t="s">
        <v>86</v>
      </c>
      <c r="D156" s="9" t="s">
        <v>88</v>
      </c>
      <c r="E156" s="31" t="s">
        <v>103</v>
      </c>
      <c r="F156" s="55">
        <v>162.6</v>
      </c>
      <c r="G156" s="12">
        <v>83.9</v>
      </c>
      <c r="H156" s="12">
        <f t="shared" si="1"/>
        <v>31.73371217</v>
      </c>
      <c r="I156" s="30">
        <v>0.0</v>
      </c>
      <c r="J156" s="9">
        <v>1.0</v>
      </c>
      <c r="K156" s="9">
        <v>1.0</v>
      </c>
      <c r="L156" s="30">
        <v>0.0</v>
      </c>
      <c r="M156" s="9">
        <v>66.0</v>
      </c>
      <c r="N156" s="9">
        <v>0.0</v>
      </c>
      <c r="O156" s="9">
        <v>138.0</v>
      </c>
      <c r="P156" s="9">
        <v>0.0</v>
      </c>
      <c r="Q156" s="9">
        <v>13.0</v>
      </c>
      <c r="R156" s="9">
        <v>0.0</v>
      </c>
      <c r="S156" s="12">
        <v>98.4</v>
      </c>
      <c r="T156" s="9">
        <v>0.0</v>
      </c>
      <c r="U156" s="9">
        <v>98.0</v>
      </c>
      <c r="V156" s="9">
        <v>0.0</v>
      </c>
      <c r="W156" s="9">
        <v>0.0</v>
      </c>
      <c r="X156" s="9">
        <v>0.0</v>
      </c>
      <c r="Y156" s="9">
        <v>0.0</v>
      </c>
      <c r="Z156" s="9">
        <v>0.0</v>
      </c>
      <c r="AA156" s="9">
        <v>0.0</v>
      </c>
      <c r="AB156" s="9">
        <v>0.0</v>
      </c>
      <c r="AC156" s="9">
        <v>0.0</v>
      </c>
      <c r="AD156" s="9">
        <v>0.0</v>
      </c>
      <c r="AE156" s="9">
        <v>1.0</v>
      </c>
      <c r="AF156" s="9">
        <v>0.0</v>
      </c>
      <c r="AG156" s="9">
        <v>1.0</v>
      </c>
      <c r="AH156" s="9">
        <v>0.0</v>
      </c>
      <c r="AI156" s="9">
        <v>0.0</v>
      </c>
      <c r="AJ156" s="9">
        <v>0.0</v>
      </c>
      <c r="AK156" s="9">
        <v>0.0</v>
      </c>
      <c r="AL156" s="9">
        <v>0.0</v>
      </c>
      <c r="AM156" s="9">
        <v>0.0</v>
      </c>
      <c r="AN156" s="9">
        <v>0.0</v>
      </c>
      <c r="AO156" s="9">
        <v>0.0</v>
      </c>
      <c r="AP156" s="9" t="s">
        <v>84</v>
      </c>
      <c r="AQ156" s="9" t="s">
        <v>84</v>
      </c>
      <c r="AR156" s="9" t="s">
        <v>84</v>
      </c>
      <c r="AS156" s="9">
        <v>0.0</v>
      </c>
      <c r="AT156" s="9">
        <v>0.0</v>
      </c>
      <c r="AU156" s="9">
        <v>0.0</v>
      </c>
      <c r="AV156" s="9">
        <v>0.0</v>
      </c>
      <c r="AW156" s="9">
        <v>27.0</v>
      </c>
      <c r="AX156" s="33">
        <f>3.71/4.38</f>
        <v>0.8470319635</v>
      </c>
      <c r="AY156" s="34">
        <v>1.0</v>
      </c>
      <c r="AZ156" s="30">
        <v>0.0</v>
      </c>
      <c r="BA156" s="30">
        <v>0.0</v>
      </c>
      <c r="BB156" s="33">
        <f>2.37/3.06</f>
        <v>0.7745098039</v>
      </c>
      <c r="BC156" s="30">
        <v>2.0</v>
      </c>
      <c r="BD156" s="30">
        <v>0.0</v>
      </c>
      <c r="BE156" s="30">
        <v>0.0</v>
      </c>
      <c r="BF156" s="9">
        <v>0.0</v>
      </c>
      <c r="BG156" s="9" t="s">
        <v>84</v>
      </c>
      <c r="BH156" s="9">
        <v>0.0</v>
      </c>
      <c r="BI156" s="9">
        <v>0.0</v>
      </c>
      <c r="BJ156" s="9">
        <v>0.0</v>
      </c>
      <c r="BK156" s="9">
        <v>0.0</v>
      </c>
      <c r="BL156" s="9">
        <v>0.0</v>
      </c>
      <c r="BM156" s="9">
        <v>0.0</v>
      </c>
      <c r="BN156" s="9">
        <v>0.0</v>
      </c>
      <c r="BO156" s="9">
        <v>0.0</v>
      </c>
      <c r="BP156" s="9" t="s">
        <v>84</v>
      </c>
      <c r="BQ156" s="9" t="s">
        <v>84</v>
      </c>
      <c r="BR156" s="9">
        <v>0.0</v>
      </c>
      <c r="BS156" s="9">
        <v>0.0</v>
      </c>
      <c r="BT156" s="9">
        <v>0.0</v>
      </c>
      <c r="BU156" s="9">
        <v>0.0</v>
      </c>
      <c r="BV156" s="9">
        <v>0.0</v>
      </c>
      <c r="BW156" s="30">
        <v>0.0</v>
      </c>
      <c r="BX156" s="9">
        <v>0.0</v>
      </c>
      <c r="BY156" s="9">
        <v>0.0</v>
      </c>
      <c r="BZ156" s="9">
        <v>1.0</v>
      </c>
      <c r="CA156" s="9">
        <v>0.0</v>
      </c>
      <c r="CB156" s="9">
        <v>0.0</v>
      </c>
      <c r="CC156" s="16" t="s">
        <v>101</v>
      </c>
      <c r="CD156" s="16"/>
      <c r="CE156" s="16"/>
      <c r="CF156" s="16"/>
      <c r="CG156" s="16"/>
      <c r="CH156" s="16"/>
      <c r="CI156" s="16"/>
      <c r="CJ156" s="16"/>
      <c r="CK156" s="16"/>
      <c r="CL156" s="16"/>
      <c r="CM156" s="16"/>
      <c r="CN156" s="16"/>
      <c r="CO156" s="16"/>
      <c r="CP156" s="16"/>
      <c r="CQ156" s="16"/>
      <c r="CR156" s="16"/>
      <c r="CS156" s="16"/>
      <c r="CT156" s="16"/>
      <c r="CU156" s="16"/>
      <c r="CV156" s="16"/>
      <c r="CW156" s="16"/>
    </row>
    <row r="157" ht="18.75" customHeight="1">
      <c r="A157" s="9">
        <v>156.0</v>
      </c>
      <c r="B157" s="30">
        <v>69.0</v>
      </c>
      <c r="C157" s="9" t="s">
        <v>81</v>
      </c>
      <c r="D157" s="9" t="s">
        <v>82</v>
      </c>
      <c r="E157" s="31" t="s">
        <v>83</v>
      </c>
      <c r="F157" s="55">
        <v>193.0</v>
      </c>
      <c r="G157" s="12">
        <v>120.2</v>
      </c>
      <c r="H157" s="12">
        <f t="shared" si="1"/>
        <v>32.26932267</v>
      </c>
      <c r="I157" s="30">
        <v>0.0</v>
      </c>
      <c r="J157" s="9">
        <v>2.0</v>
      </c>
      <c r="K157" s="9">
        <v>1.0</v>
      </c>
      <c r="L157" s="30">
        <v>0.0</v>
      </c>
      <c r="M157" s="9">
        <v>81.0</v>
      </c>
      <c r="N157" s="9">
        <v>0.0</v>
      </c>
      <c r="O157" s="9">
        <v>123.0</v>
      </c>
      <c r="P157" s="9">
        <v>0.0</v>
      </c>
      <c r="Q157" s="9">
        <v>17.0</v>
      </c>
      <c r="R157" s="9">
        <v>0.0</v>
      </c>
      <c r="S157" s="12">
        <v>97.5</v>
      </c>
      <c r="T157" s="9">
        <v>0.0</v>
      </c>
      <c r="U157" s="9">
        <v>94.0</v>
      </c>
      <c r="V157" s="9">
        <v>0.0</v>
      </c>
      <c r="W157" s="9">
        <v>0.0</v>
      </c>
      <c r="X157" s="9">
        <v>0.0</v>
      </c>
      <c r="Y157" s="9">
        <v>0.0</v>
      </c>
      <c r="Z157" s="9">
        <v>0.0</v>
      </c>
      <c r="AA157" s="9">
        <v>0.0</v>
      </c>
      <c r="AB157" s="9">
        <v>0.0</v>
      </c>
      <c r="AC157" s="9">
        <v>0.0</v>
      </c>
      <c r="AD157" s="9">
        <v>0.0</v>
      </c>
      <c r="AE157" s="9">
        <v>1.0</v>
      </c>
      <c r="AF157" s="9">
        <v>0.0</v>
      </c>
      <c r="AG157" s="9">
        <v>0.0</v>
      </c>
      <c r="AH157" s="9">
        <v>0.0</v>
      </c>
      <c r="AI157" s="9">
        <v>0.0</v>
      </c>
      <c r="AJ157" s="9">
        <v>0.0</v>
      </c>
      <c r="AK157" s="9">
        <v>1.0</v>
      </c>
      <c r="AL157" s="9">
        <v>0.0</v>
      </c>
      <c r="AM157" s="9">
        <v>0.0</v>
      </c>
      <c r="AN157" s="9">
        <v>0.0</v>
      </c>
      <c r="AO157" s="9">
        <v>1.0</v>
      </c>
      <c r="AP157" s="9">
        <v>1.0</v>
      </c>
      <c r="AQ157" s="9" t="s">
        <v>84</v>
      </c>
      <c r="AR157" s="9">
        <v>0.0</v>
      </c>
      <c r="AS157" s="9" t="s">
        <v>84</v>
      </c>
      <c r="AT157" s="9" t="s">
        <v>84</v>
      </c>
      <c r="AU157" s="9" t="s">
        <v>84</v>
      </c>
      <c r="AV157" s="9" t="s">
        <v>84</v>
      </c>
      <c r="AW157" s="9" t="s">
        <v>84</v>
      </c>
      <c r="AX157" s="33">
        <f>5.31/5.2</f>
        <v>1.021153846</v>
      </c>
      <c r="AY157" s="34">
        <v>0.0</v>
      </c>
      <c r="AZ157" s="30">
        <v>0.0</v>
      </c>
      <c r="BA157" s="30">
        <v>1.0</v>
      </c>
      <c r="BB157" s="33">
        <f>3.22/3.83</f>
        <v>0.8407310705</v>
      </c>
      <c r="BC157" s="30">
        <v>3.0</v>
      </c>
      <c r="BD157" s="30">
        <v>1.0</v>
      </c>
      <c r="BE157" s="30">
        <v>1.0</v>
      </c>
      <c r="BF157" s="9">
        <v>0.0</v>
      </c>
      <c r="BG157" s="9" t="s">
        <v>84</v>
      </c>
      <c r="BH157" s="9">
        <v>0.0</v>
      </c>
      <c r="BI157" s="9">
        <v>0.0</v>
      </c>
      <c r="BJ157" s="9">
        <v>0.0</v>
      </c>
      <c r="BK157" s="9">
        <v>0.0</v>
      </c>
      <c r="BL157" s="9">
        <v>0.0</v>
      </c>
      <c r="BM157" s="9">
        <v>0.0</v>
      </c>
      <c r="BN157" s="9">
        <v>0.0</v>
      </c>
      <c r="BO157" s="9">
        <v>0.0</v>
      </c>
      <c r="BP157" s="9" t="s">
        <v>84</v>
      </c>
      <c r="BQ157" s="9" t="s">
        <v>84</v>
      </c>
      <c r="BR157" s="9">
        <v>0.0</v>
      </c>
      <c r="BS157" s="9">
        <v>0.0</v>
      </c>
      <c r="BT157" s="9">
        <v>0.0</v>
      </c>
      <c r="BU157" s="9">
        <v>0.0</v>
      </c>
      <c r="BV157" s="9">
        <v>0.0</v>
      </c>
      <c r="BW157" s="30">
        <v>0.0</v>
      </c>
      <c r="BX157" s="9">
        <v>0.0</v>
      </c>
      <c r="BY157" s="9">
        <v>0.0</v>
      </c>
      <c r="BZ157" s="9">
        <v>0.0</v>
      </c>
      <c r="CA157" s="9">
        <v>0.0</v>
      </c>
      <c r="CB157" s="9">
        <v>0.0</v>
      </c>
      <c r="CC157" s="16" t="s">
        <v>92</v>
      </c>
      <c r="CD157" s="16"/>
      <c r="CE157" s="16"/>
      <c r="CF157" s="16"/>
      <c r="CG157" s="16"/>
      <c r="CH157" s="16"/>
      <c r="CI157" s="16"/>
      <c r="CJ157" s="16"/>
      <c r="CK157" s="16"/>
      <c r="CL157" s="16"/>
      <c r="CM157" s="16"/>
      <c r="CN157" s="16"/>
      <c r="CO157" s="16"/>
      <c r="CP157" s="16"/>
      <c r="CQ157" s="16"/>
      <c r="CR157" s="16"/>
      <c r="CS157" s="16"/>
      <c r="CT157" s="16"/>
      <c r="CU157" s="16"/>
      <c r="CV157" s="16"/>
      <c r="CW157" s="16"/>
    </row>
    <row r="158" ht="18.75" customHeight="1">
      <c r="A158" s="9">
        <v>157.0</v>
      </c>
      <c r="B158" s="30">
        <v>63.0</v>
      </c>
      <c r="C158" s="9" t="s">
        <v>81</v>
      </c>
      <c r="D158" s="9" t="s">
        <v>82</v>
      </c>
      <c r="E158" s="31" t="s">
        <v>93</v>
      </c>
      <c r="F158" s="55">
        <v>188.0</v>
      </c>
      <c r="G158" s="12">
        <v>74.0</v>
      </c>
      <c r="H158" s="12">
        <f t="shared" si="1"/>
        <v>20.9370756</v>
      </c>
      <c r="I158" s="30">
        <v>1.0</v>
      </c>
      <c r="J158" s="9">
        <v>5.0</v>
      </c>
      <c r="K158" s="9">
        <v>1.0</v>
      </c>
      <c r="L158" s="30">
        <v>0.0</v>
      </c>
      <c r="M158" s="9">
        <v>106.0</v>
      </c>
      <c r="N158" s="9">
        <v>0.0</v>
      </c>
      <c r="O158" s="9">
        <v>143.0</v>
      </c>
      <c r="P158" s="9">
        <v>0.0</v>
      </c>
      <c r="Q158" s="9">
        <v>18.0</v>
      </c>
      <c r="R158" s="9">
        <v>0.0</v>
      </c>
      <c r="S158" s="12">
        <v>98.1</v>
      </c>
      <c r="T158" s="9">
        <v>1.0</v>
      </c>
      <c r="U158" s="9">
        <v>70.0</v>
      </c>
      <c r="V158" s="15" t="s">
        <v>209</v>
      </c>
      <c r="W158" s="9">
        <v>1.0</v>
      </c>
      <c r="X158" s="9">
        <v>0.0</v>
      </c>
      <c r="Y158" s="9">
        <v>0.0</v>
      </c>
      <c r="Z158" s="9">
        <v>1.0</v>
      </c>
      <c r="AA158" s="9">
        <v>1.0</v>
      </c>
      <c r="AB158" s="9">
        <v>0.0</v>
      </c>
      <c r="AC158" s="9">
        <v>1.0</v>
      </c>
      <c r="AD158" s="9">
        <v>0.0</v>
      </c>
      <c r="AE158" s="9">
        <v>0.0</v>
      </c>
      <c r="AF158" s="9">
        <v>0.0</v>
      </c>
      <c r="AG158" s="9">
        <v>1.0</v>
      </c>
      <c r="AH158" s="9">
        <v>0.0</v>
      </c>
      <c r="AI158" s="9">
        <v>0.0</v>
      </c>
      <c r="AJ158" s="9">
        <v>1.0</v>
      </c>
      <c r="AK158" s="9">
        <v>1.0</v>
      </c>
      <c r="AL158" s="9">
        <v>0.0</v>
      </c>
      <c r="AM158" s="9">
        <v>1.0</v>
      </c>
      <c r="AN158" s="9">
        <v>0.0</v>
      </c>
      <c r="AO158" s="9">
        <v>1.0</v>
      </c>
      <c r="AP158" s="9">
        <v>1.0</v>
      </c>
      <c r="AQ158" s="9">
        <v>0.0</v>
      </c>
      <c r="AR158" s="9">
        <v>0.0</v>
      </c>
      <c r="AS158" s="9">
        <v>1.0</v>
      </c>
      <c r="AT158" s="9">
        <v>1.0</v>
      </c>
      <c r="AU158" s="9">
        <v>1.0</v>
      </c>
      <c r="AV158" s="9">
        <v>0.0</v>
      </c>
      <c r="AW158" s="9" t="s">
        <v>97</v>
      </c>
      <c r="AX158" s="33">
        <f>4.23/3.9</f>
        <v>1.084615385</v>
      </c>
      <c r="AY158" s="34">
        <v>0.0</v>
      </c>
      <c r="AZ158" s="30">
        <v>0.0</v>
      </c>
      <c r="BA158" s="30">
        <v>1.0</v>
      </c>
      <c r="BB158" s="33">
        <f>2.69/3.57</f>
        <v>0.7535014006</v>
      </c>
      <c r="BC158" s="30">
        <v>1.0</v>
      </c>
      <c r="BD158" s="30">
        <v>1.0</v>
      </c>
      <c r="BE158" s="30">
        <v>1.0</v>
      </c>
      <c r="BF158" s="9">
        <v>0.0</v>
      </c>
      <c r="BG158" s="9" t="s">
        <v>84</v>
      </c>
      <c r="BH158" s="9">
        <v>1.0</v>
      </c>
      <c r="BI158" s="9">
        <v>0.0</v>
      </c>
      <c r="BJ158" s="9">
        <v>0.0</v>
      </c>
      <c r="BK158" s="9">
        <v>0.0</v>
      </c>
      <c r="BL158" s="9">
        <v>0.0</v>
      </c>
      <c r="BM158" s="9">
        <v>0.0</v>
      </c>
      <c r="BN158" s="9">
        <v>0.0</v>
      </c>
      <c r="BO158" s="9">
        <v>0.0</v>
      </c>
      <c r="BP158" s="9" t="s">
        <v>84</v>
      </c>
      <c r="BQ158" s="9" t="s">
        <v>84</v>
      </c>
      <c r="BR158" s="9">
        <v>0.0</v>
      </c>
      <c r="BS158" s="9">
        <v>0.0</v>
      </c>
      <c r="BT158" s="9">
        <v>0.0</v>
      </c>
      <c r="BU158" s="9">
        <v>0.0</v>
      </c>
      <c r="BV158" s="9">
        <v>0.0</v>
      </c>
      <c r="BW158" s="31" t="s">
        <v>94</v>
      </c>
      <c r="BX158" s="9">
        <v>0.0</v>
      </c>
      <c r="BY158" s="9">
        <v>1.0</v>
      </c>
      <c r="BZ158" s="9">
        <v>0.0</v>
      </c>
      <c r="CA158" s="9">
        <v>0.0</v>
      </c>
      <c r="CB158" s="9">
        <v>0.0</v>
      </c>
      <c r="CC158" s="16" t="s">
        <v>104</v>
      </c>
      <c r="CD158" s="16"/>
      <c r="CE158" s="16"/>
      <c r="CF158" s="16"/>
      <c r="CG158" s="16"/>
      <c r="CH158" s="16"/>
      <c r="CI158" s="16"/>
      <c r="CJ158" s="16"/>
      <c r="CK158" s="16"/>
      <c r="CL158" s="16"/>
      <c r="CM158" s="16"/>
      <c r="CN158" s="16"/>
      <c r="CO158" s="16"/>
      <c r="CP158" s="16"/>
      <c r="CQ158" s="16"/>
      <c r="CR158" s="16"/>
      <c r="CS158" s="16"/>
      <c r="CT158" s="16"/>
      <c r="CU158" s="16"/>
      <c r="CV158" s="16"/>
      <c r="CW158" s="16"/>
    </row>
    <row r="159" ht="18.75" customHeight="1">
      <c r="A159" s="9">
        <v>158.0</v>
      </c>
      <c r="B159" s="9">
        <v>70.0</v>
      </c>
      <c r="C159" s="9" t="s">
        <v>81</v>
      </c>
      <c r="D159" s="11" t="s">
        <v>82</v>
      </c>
      <c r="E159" s="9">
        <v>2.0</v>
      </c>
      <c r="F159" s="55">
        <v>170.2</v>
      </c>
      <c r="G159" s="12">
        <v>72.6</v>
      </c>
      <c r="H159" s="12">
        <f t="shared" si="1"/>
        <v>25.06210292</v>
      </c>
      <c r="I159" s="9">
        <v>0.0</v>
      </c>
      <c r="J159" s="9">
        <v>2.0</v>
      </c>
      <c r="K159" s="9">
        <v>1.0</v>
      </c>
      <c r="L159" s="9">
        <v>0.0</v>
      </c>
      <c r="M159" s="9">
        <v>102.0</v>
      </c>
      <c r="N159" s="9">
        <v>0.0</v>
      </c>
      <c r="O159" s="9">
        <v>128.0</v>
      </c>
      <c r="P159" s="9">
        <v>0.0</v>
      </c>
      <c r="Q159" s="9">
        <v>18.0</v>
      </c>
      <c r="R159" s="9">
        <v>0.0</v>
      </c>
      <c r="S159" s="12">
        <v>99.6</v>
      </c>
      <c r="T159" s="9">
        <v>0.0</v>
      </c>
      <c r="U159" s="9">
        <v>91.0</v>
      </c>
      <c r="V159" s="9">
        <v>1.0</v>
      </c>
      <c r="W159" s="9">
        <v>0.0</v>
      </c>
      <c r="X159" s="9">
        <v>0.0</v>
      </c>
      <c r="Y159" s="9">
        <v>0.0</v>
      </c>
      <c r="Z159" s="9">
        <v>0.0</v>
      </c>
      <c r="AA159" s="9">
        <v>0.0</v>
      </c>
      <c r="AB159" s="9">
        <v>1.0</v>
      </c>
      <c r="AC159" s="9">
        <v>0.0</v>
      </c>
      <c r="AD159" s="9">
        <v>0.0</v>
      </c>
      <c r="AE159" s="9">
        <v>0.0</v>
      </c>
      <c r="AF159" s="9">
        <v>0.0</v>
      </c>
      <c r="AG159" s="9">
        <v>0.0</v>
      </c>
      <c r="AH159" s="9">
        <v>0.0</v>
      </c>
      <c r="AI159" s="9">
        <v>0.0</v>
      </c>
      <c r="AJ159" s="9">
        <v>0.0</v>
      </c>
      <c r="AK159" s="9">
        <v>1.0</v>
      </c>
      <c r="AL159" s="9">
        <v>0.0</v>
      </c>
      <c r="AM159" s="9">
        <v>0.0</v>
      </c>
      <c r="AN159" s="9">
        <v>0.0</v>
      </c>
      <c r="AO159" s="9">
        <v>1.0</v>
      </c>
      <c r="AP159" s="9">
        <v>1.0</v>
      </c>
      <c r="AQ159" s="9" t="s">
        <v>84</v>
      </c>
      <c r="AR159" s="9">
        <v>0.0</v>
      </c>
      <c r="AS159" s="9">
        <v>0.0</v>
      </c>
      <c r="AT159" s="9">
        <v>0.0</v>
      </c>
      <c r="AU159" s="9">
        <v>0.0</v>
      </c>
      <c r="AV159" s="9">
        <v>0.0</v>
      </c>
      <c r="AW159" s="9">
        <v>51.2</v>
      </c>
      <c r="AX159" s="13">
        <f>4.22/4.38</f>
        <v>0.9634703196</v>
      </c>
      <c r="AY159" s="10">
        <v>0.0</v>
      </c>
      <c r="AZ159" s="30">
        <v>0.0</v>
      </c>
      <c r="BA159" s="30">
        <v>1.0</v>
      </c>
      <c r="BB159" s="13">
        <f>2.97/3.86</f>
        <v>0.7694300518</v>
      </c>
      <c r="BC159" s="9">
        <v>2.0</v>
      </c>
      <c r="BD159" s="9">
        <v>1.0</v>
      </c>
      <c r="BE159" s="9">
        <v>1.0</v>
      </c>
      <c r="BF159" s="9">
        <v>0.0</v>
      </c>
      <c r="BG159" s="9" t="s">
        <v>84</v>
      </c>
      <c r="BH159" s="9">
        <v>0.0</v>
      </c>
      <c r="BI159" s="9">
        <v>0.0</v>
      </c>
      <c r="BJ159" s="9">
        <v>0.0</v>
      </c>
      <c r="BK159" s="9">
        <v>0.0</v>
      </c>
      <c r="BL159" s="9">
        <v>0.0</v>
      </c>
      <c r="BM159" s="9">
        <v>0.0</v>
      </c>
      <c r="BN159" s="9">
        <v>0.0</v>
      </c>
      <c r="BO159" s="9">
        <v>0.0</v>
      </c>
      <c r="BP159" s="9" t="s">
        <v>84</v>
      </c>
      <c r="BQ159" s="9" t="s">
        <v>84</v>
      </c>
      <c r="BR159" s="9">
        <v>0.0</v>
      </c>
      <c r="BS159" s="9">
        <v>0.0</v>
      </c>
      <c r="BT159" s="9">
        <v>0.0</v>
      </c>
      <c r="BU159" s="9">
        <v>0.0</v>
      </c>
      <c r="BV159" s="9">
        <v>0.0</v>
      </c>
      <c r="BW159" s="9" t="s">
        <v>94</v>
      </c>
      <c r="BX159" s="9" t="s">
        <v>94</v>
      </c>
      <c r="BY159" s="9">
        <v>0.0</v>
      </c>
      <c r="BZ159" s="9">
        <v>0.0</v>
      </c>
      <c r="CA159" s="9">
        <v>0.0</v>
      </c>
      <c r="CB159" s="9">
        <v>0.0</v>
      </c>
      <c r="CC159" s="15" t="s">
        <v>92</v>
      </c>
      <c r="CD159" s="16"/>
      <c r="CE159" s="16"/>
      <c r="CF159" s="16"/>
      <c r="CG159" s="16"/>
      <c r="CH159" s="16"/>
      <c r="CI159" s="16"/>
      <c r="CJ159" s="16"/>
      <c r="CK159" s="16"/>
      <c r="CL159" s="16"/>
      <c r="CM159" s="16"/>
      <c r="CN159" s="16"/>
      <c r="CO159" s="16"/>
      <c r="CP159" s="16"/>
      <c r="CQ159" s="16"/>
      <c r="CR159" s="16"/>
      <c r="CS159" s="16"/>
      <c r="CT159" s="16"/>
      <c r="CU159" s="16"/>
      <c r="CV159" s="16"/>
      <c r="CW159" s="16"/>
    </row>
    <row r="160" ht="18.75" customHeight="1">
      <c r="A160" s="40"/>
      <c r="B160" s="17"/>
      <c r="D160" s="40"/>
      <c r="F160" s="64"/>
      <c r="G160" s="42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2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9"/>
      <c r="AT160" s="9"/>
      <c r="AU160" s="9"/>
      <c r="AV160" s="9"/>
      <c r="AW160" s="40"/>
      <c r="AX160" s="65"/>
      <c r="AY160" s="65"/>
      <c r="AZ160" s="16"/>
      <c r="BA160" s="16"/>
      <c r="BB160" s="65"/>
      <c r="BC160" s="16"/>
      <c r="BD160" s="16"/>
      <c r="BE160" s="16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17"/>
      <c r="BX160" s="9"/>
      <c r="BY160" s="40"/>
      <c r="BZ160" s="40"/>
      <c r="CA160" s="40"/>
      <c r="CB160" s="40"/>
      <c r="CC160" s="8"/>
    </row>
    <row r="161" ht="18.75" customHeight="1">
      <c r="A161" s="40"/>
      <c r="B161" s="17"/>
      <c r="D161" s="40"/>
      <c r="F161" s="64"/>
      <c r="G161" s="42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2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9"/>
      <c r="AT161" s="9"/>
      <c r="AU161" s="9"/>
      <c r="AV161" s="9"/>
      <c r="AW161" s="40"/>
      <c r="AX161" s="65"/>
      <c r="AY161" s="65"/>
      <c r="AZ161" s="16"/>
      <c r="BA161" s="16"/>
      <c r="BB161" s="65"/>
      <c r="BC161" s="16"/>
      <c r="BD161" s="16"/>
      <c r="BE161" s="16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17"/>
      <c r="BX161" s="9"/>
      <c r="BY161" s="40"/>
      <c r="BZ161" s="40"/>
      <c r="CA161" s="40"/>
      <c r="CB161" s="40"/>
      <c r="CC161" s="8"/>
    </row>
    <row r="162" ht="18.75" customHeight="1">
      <c r="A162" s="40"/>
      <c r="B162" s="17"/>
      <c r="D162" s="40"/>
      <c r="F162" s="64"/>
      <c r="G162" s="42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2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9"/>
      <c r="AT162" s="9"/>
      <c r="AU162" s="9"/>
      <c r="AV162" s="9"/>
      <c r="AW162" s="40"/>
      <c r="AX162" s="65"/>
      <c r="AY162" s="65"/>
      <c r="AZ162" s="16"/>
      <c r="BA162" s="16"/>
      <c r="BB162" s="65"/>
      <c r="BC162" s="16"/>
      <c r="BD162" s="16"/>
      <c r="BE162" s="16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17"/>
      <c r="BX162" s="9"/>
      <c r="BY162" s="40"/>
      <c r="BZ162" s="40"/>
      <c r="CA162" s="40"/>
      <c r="CB162" s="40"/>
      <c r="CC162" s="8"/>
    </row>
    <row r="163" ht="18.75" customHeight="1">
      <c r="A163" s="40"/>
      <c r="B163" s="17"/>
      <c r="D163" s="40"/>
      <c r="F163" s="64"/>
      <c r="G163" s="42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2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9"/>
      <c r="AT163" s="9"/>
      <c r="AU163" s="9"/>
      <c r="AV163" s="9"/>
      <c r="AW163" s="40"/>
      <c r="AX163" s="65"/>
      <c r="AY163" s="65"/>
      <c r="AZ163" s="16"/>
      <c r="BA163" s="16"/>
      <c r="BB163" s="65"/>
      <c r="BC163" s="16"/>
      <c r="BD163" s="16"/>
      <c r="BE163" s="16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17"/>
      <c r="BX163" s="9"/>
      <c r="BY163" s="40"/>
      <c r="BZ163" s="40"/>
      <c r="CA163" s="40"/>
      <c r="CB163" s="40"/>
      <c r="CC163" s="8"/>
    </row>
    <row r="164" ht="18.75" customHeight="1">
      <c r="A164" s="40"/>
      <c r="B164" s="17"/>
      <c r="D164" s="40"/>
      <c r="F164" s="64"/>
      <c r="G164" s="42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2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9"/>
      <c r="AT164" s="9"/>
      <c r="AU164" s="9"/>
      <c r="AV164" s="9"/>
      <c r="AW164" s="40"/>
      <c r="AX164" s="65"/>
      <c r="AY164" s="65"/>
      <c r="AZ164" s="16"/>
      <c r="BA164" s="16"/>
      <c r="BB164" s="65"/>
      <c r="BC164" s="16"/>
      <c r="BD164" s="16"/>
      <c r="BE164" s="16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17"/>
      <c r="BX164" s="9"/>
      <c r="BY164" s="40"/>
      <c r="BZ164" s="40"/>
      <c r="CA164" s="40"/>
      <c r="CB164" s="40"/>
      <c r="CC164" s="8"/>
    </row>
    <row r="165" ht="18.75" customHeight="1">
      <c r="A165" s="40"/>
      <c r="B165" s="17"/>
      <c r="D165" s="40"/>
      <c r="F165" s="64"/>
      <c r="G165" s="42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2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9"/>
      <c r="AT165" s="9"/>
      <c r="AU165" s="9"/>
      <c r="AV165" s="9"/>
      <c r="AW165" s="40"/>
      <c r="AX165" s="65"/>
      <c r="AY165" s="65"/>
      <c r="AZ165" s="16"/>
      <c r="BA165" s="16"/>
      <c r="BB165" s="65"/>
      <c r="BC165" s="16"/>
      <c r="BD165" s="16"/>
      <c r="BE165" s="16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17"/>
      <c r="BX165" s="9"/>
      <c r="BY165" s="40"/>
      <c r="BZ165" s="40"/>
      <c r="CA165" s="40"/>
      <c r="CB165" s="40"/>
      <c r="CC165" s="8"/>
    </row>
    <row r="166" ht="18.75" customHeight="1">
      <c r="A166" s="40"/>
      <c r="B166" s="17"/>
      <c r="D166" s="40"/>
      <c r="F166" s="64"/>
      <c r="G166" s="42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2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9"/>
      <c r="AT166" s="9"/>
      <c r="AU166" s="9"/>
      <c r="AV166" s="9"/>
      <c r="AW166" s="40"/>
      <c r="AX166" s="65"/>
      <c r="AY166" s="65"/>
      <c r="AZ166" s="16"/>
      <c r="BA166" s="16"/>
      <c r="BB166" s="65"/>
      <c r="BC166" s="16"/>
      <c r="BD166" s="16"/>
      <c r="BE166" s="16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17"/>
      <c r="BX166" s="9"/>
      <c r="BY166" s="40"/>
      <c r="BZ166" s="40"/>
      <c r="CA166" s="40"/>
      <c r="CB166" s="40"/>
      <c r="CC166" s="8"/>
    </row>
    <row r="167" ht="18.75" customHeight="1">
      <c r="A167" s="40"/>
      <c r="B167" s="17"/>
      <c r="D167" s="40"/>
      <c r="F167" s="64"/>
      <c r="G167" s="42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2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9"/>
      <c r="AT167" s="9"/>
      <c r="AU167" s="9"/>
      <c r="AV167" s="9"/>
      <c r="AW167" s="40"/>
      <c r="AX167" s="65"/>
      <c r="AY167" s="65"/>
      <c r="AZ167" s="16"/>
      <c r="BA167" s="16"/>
      <c r="BB167" s="65"/>
      <c r="BC167" s="16"/>
      <c r="BD167" s="16"/>
      <c r="BE167" s="16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17"/>
      <c r="BX167" s="9"/>
      <c r="BY167" s="40"/>
      <c r="BZ167" s="40"/>
      <c r="CA167" s="40"/>
      <c r="CB167" s="40"/>
      <c r="CC167" s="8"/>
    </row>
    <row r="168" ht="18.75" customHeight="1">
      <c r="A168" s="40"/>
      <c r="B168" s="17"/>
      <c r="D168" s="40"/>
      <c r="F168" s="64"/>
      <c r="G168" s="42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2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9"/>
      <c r="AT168" s="9"/>
      <c r="AU168" s="9"/>
      <c r="AV168" s="9"/>
      <c r="AW168" s="40"/>
      <c r="AX168" s="65"/>
      <c r="AY168" s="65"/>
      <c r="AZ168" s="16"/>
      <c r="BA168" s="16"/>
      <c r="BB168" s="65"/>
      <c r="BC168" s="16"/>
      <c r="BD168" s="16"/>
      <c r="BE168" s="16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17"/>
      <c r="BX168" s="9"/>
      <c r="BY168" s="40"/>
      <c r="BZ168" s="40"/>
      <c r="CA168" s="40"/>
      <c r="CB168" s="40"/>
      <c r="CC168" s="8"/>
    </row>
    <row r="169" ht="18.75" customHeight="1">
      <c r="A169" s="40"/>
      <c r="B169" s="17"/>
      <c r="D169" s="40"/>
      <c r="F169" s="64"/>
      <c r="G169" s="42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2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9"/>
      <c r="AT169" s="9"/>
      <c r="AU169" s="9"/>
      <c r="AV169" s="9"/>
      <c r="AW169" s="40"/>
      <c r="AX169" s="65"/>
      <c r="AY169" s="65"/>
      <c r="AZ169" s="16"/>
      <c r="BA169" s="16"/>
      <c r="BB169" s="65"/>
      <c r="BC169" s="16"/>
      <c r="BD169" s="16"/>
      <c r="BE169" s="16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17"/>
      <c r="BX169" s="9"/>
      <c r="BY169" s="40"/>
      <c r="BZ169" s="40"/>
      <c r="CA169" s="40"/>
      <c r="CB169" s="40"/>
      <c r="CC169" s="8"/>
    </row>
    <row r="170" ht="18.75" customHeight="1">
      <c r="A170" s="40"/>
      <c r="B170" s="17"/>
      <c r="D170" s="40"/>
      <c r="F170" s="64"/>
      <c r="G170" s="42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2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9"/>
      <c r="AT170" s="9"/>
      <c r="AU170" s="9"/>
      <c r="AV170" s="9"/>
      <c r="AW170" s="40"/>
      <c r="AX170" s="65"/>
      <c r="AY170" s="65"/>
      <c r="AZ170" s="16"/>
      <c r="BA170" s="16"/>
      <c r="BB170" s="65"/>
      <c r="BC170" s="16"/>
      <c r="BD170" s="16"/>
      <c r="BE170" s="16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17"/>
      <c r="BX170" s="9"/>
      <c r="BY170" s="40"/>
      <c r="BZ170" s="40"/>
      <c r="CA170" s="40"/>
      <c r="CB170" s="40"/>
      <c r="CC170" s="8"/>
    </row>
    <row r="171" ht="18.75" customHeight="1">
      <c r="A171" s="40"/>
      <c r="B171" s="17"/>
      <c r="D171" s="40"/>
      <c r="F171" s="64"/>
      <c r="G171" s="42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2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9"/>
      <c r="AT171" s="9"/>
      <c r="AU171" s="9"/>
      <c r="AV171" s="9"/>
      <c r="AW171" s="40"/>
      <c r="AX171" s="65"/>
      <c r="AY171" s="65"/>
      <c r="AZ171" s="16"/>
      <c r="BA171" s="16"/>
      <c r="BB171" s="65"/>
      <c r="BC171" s="16"/>
      <c r="BD171" s="16"/>
      <c r="BE171" s="16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17"/>
      <c r="BX171" s="9"/>
      <c r="BY171" s="40"/>
      <c r="BZ171" s="40"/>
      <c r="CA171" s="40"/>
      <c r="CB171" s="40"/>
      <c r="CC171" s="8"/>
    </row>
    <row r="172" ht="18.75" customHeight="1">
      <c r="A172" s="40"/>
      <c r="B172" s="17"/>
      <c r="D172" s="40"/>
      <c r="F172" s="64"/>
      <c r="G172" s="42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2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9"/>
      <c r="AT172" s="9"/>
      <c r="AU172" s="9"/>
      <c r="AV172" s="9"/>
      <c r="AW172" s="40"/>
      <c r="AX172" s="65"/>
      <c r="AY172" s="65"/>
      <c r="AZ172" s="16"/>
      <c r="BA172" s="16"/>
      <c r="BB172" s="65"/>
      <c r="BC172" s="16"/>
      <c r="BD172" s="16"/>
      <c r="BE172" s="16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17"/>
      <c r="BX172" s="9"/>
      <c r="BY172" s="40"/>
      <c r="BZ172" s="40"/>
      <c r="CA172" s="40"/>
      <c r="CB172" s="40"/>
      <c r="CC172" s="8"/>
    </row>
    <row r="173" ht="18.75" customHeight="1">
      <c r="A173" s="40"/>
      <c r="B173" s="17"/>
      <c r="D173" s="40"/>
      <c r="F173" s="64"/>
      <c r="G173" s="42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2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9"/>
      <c r="AT173" s="9"/>
      <c r="AU173" s="9"/>
      <c r="AV173" s="9"/>
      <c r="AW173" s="40"/>
      <c r="AX173" s="65"/>
      <c r="AY173" s="65"/>
      <c r="AZ173" s="16"/>
      <c r="BA173" s="16"/>
      <c r="BB173" s="65"/>
      <c r="BC173" s="16"/>
      <c r="BD173" s="16"/>
      <c r="BE173" s="16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17"/>
      <c r="BX173" s="9"/>
      <c r="BY173" s="40"/>
      <c r="BZ173" s="40"/>
      <c r="CA173" s="40"/>
      <c r="CB173" s="40"/>
      <c r="CC173" s="8"/>
    </row>
    <row r="174" ht="18.75" customHeight="1">
      <c r="A174" s="40"/>
      <c r="B174" s="17"/>
      <c r="D174" s="40"/>
      <c r="F174" s="64"/>
      <c r="G174" s="42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2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9"/>
      <c r="AT174" s="9"/>
      <c r="AU174" s="9"/>
      <c r="AV174" s="9"/>
      <c r="AW174" s="40"/>
      <c r="AX174" s="65"/>
      <c r="AY174" s="65"/>
      <c r="AZ174" s="16"/>
      <c r="BA174" s="16"/>
      <c r="BB174" s="65"/>
      <c r="BC174" s="16"/>
      <c r="BD174" s="16"/>
      <c r="BE174" s="16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17"/>
      <c r="BX174" s="9"/>
      <c r="BY174" s="40"/>
      <c r="BZ174" s="40"/>
      <c r="CA174" s="40"/>
      <c r="CB174" s="40"/>
      <c r="CC174" s="8"/>
    </row>
    <row r="175" ht="18.75" customHeight="1">
      <c r="A175" s="40"/>
      <c r="B175" s="17"/>
      <c r="D175" s="40"/>
      <c r="F175" s="64"/>
      <c r="G175" s="42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2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9"/>
      <c r="AT175" s="9"/>
      <c r="AU175" s="9"/>
      <c r="AV175" s="9"/>
      <c r="AW175" s="40"/>
      <c r="AX175" s="65"/>
      <c r="AY175" s="65"/>
      <c r="AZ175" s="16"/>
      <c r="BA175" s="16"/>
      <c r="BB175" s="65"/>
      <c r="BC175" s="16"/>
      <c r="BD175" s="16"/>
      <c r="BE175" s="16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17"/>
      <c r="BX175" s="9"/>
      <c r="BY175" s="40"/>
      <c r="BZ175" s="40"/>
      <c r="CA175" s="40"/>
      <c r="CB175" s="40"/>
      <c r="CC175" s="8"/>
    </row>
    <row r="176" ht="18.75" customHeight="1">
      <c r="A176" s="40"/>
      <c r="B176" s="17"/>
      <c r="D176" s="40"/>
      <c r="F176" s="64"/>
      <c r="G176" s="42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2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9"/>
      <c r="AT176" s="9"/>
      <c r="AU176" s="9"/>
      <c r="AV176" s="9"/>
      <c r="AW176" s="40"/>
      <c r="AX176" s="65"/>
      <c r="AY176" s="65"/>
      <c r="AZ176" s="16"/>
      <c r="BA176" s="16"/>
      <c r="BB176" s="65"/>
      <c r="BC176" s="16"/>
      <c r="BD176" s="16"/>
      <c r="BE176" s="16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17"/>
      <c r="BX176" s="9"/>
      <c r="BY176" s="40"/>
      <c r="BZ176" s="40"/>
      <c r="CA176" s="40"/>
      <c r="CB176" s="40"/>
      <c r="CC176" s="8"/>
    </row>
    <row r="177" ht="18.75" customHeight="1">
      <c r="A177" s="40"/>
      <c r="B177" s="17"/>
      <c r="D177" s="40"/>
      <c r="F177" s="64"/>
      <c r="G177" s="42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2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9"/>
      <c r="AT177" s="9"/>
      <c r="AU177" s="9"/>
      <c r="AV177" s="9"/>
      <c r="AW177" s="40"/>
      <c r="AX177" s="65"/>
      <c r="AY177" s="65"/>
      <c r="AZ177" s="16"/>
      <c r="BA177" s="16"/>
      <c r="BB177" s="65"/>
      <c r="BC177" s="16"/>
      <c r="BD177" s="16"/>
      <c r="BE177" s="16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17"/>
      <c r="BX177" s="9"/>
      <c r="BY177" s="40"/>
      <c r="BZ177" s="40"/>
      <c r="CA177" s="40"/>
      <c r="CB177" s="40"/>
      <c r="CC177" s="8"/>
    </row>
    <row r="178" ht="18.75" customHeight="1">
      <c r="A178" s="40"/>
      <c r="B178" s="17"/>
      <c r="D178" s="40"/>
      <c r="F178" s="64"/>
      <c r="G178" s="42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2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9"/>
      <c r="AT178" s="9"/>
      <c r="AU178" s="9"/>
      <c r="AV178" s="9"/>
      <c r="AW178" s="40"/>
      <c r="AX178" s="65"/>
      <c r="AY178" s="65"/>
      <c r="AZ178" s="16"/>
      <c r="BA178" s="16"/>
      <c r="BB178" s="65"/>
      <c r="BC178" s="16"/>
      <c r="BD178" s="16"/>
      <c r="BE178" s="16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17"/>
      <c r="BX178" s="9"/>
      <c r="BY178" s="40"/>
      <c r="BZ178" s="40"/>
      <c r="CA178" s="40"/>
      <c r="CB178" s="40"/>
      <c r="CC178" s="8"/>
    </row>
    <row r="179" ht="18.75" customHeight="1">
      <c r="A179" s="40"/>
      <c r="B179" s="17"/>
      <c r="D179" s="40"/>
      <c r="F179" s="64"/>
      <c r="G179" s="42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2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9"/>
      <c r="AT179" s="9"/>
      <c r="AU179" s="9"/>
      <c r="AV179" s="9"/>
      <c r="AW179" s="40"/>
      <c r="AX179" s="65"/>
      <c r="AY179" s="65"/>
      <c r="AZ179" s="16"/>
      <c r="BA179" s="16"/>
      <c r="BB179" s="65"/>
      <c r="BC179" s="16"/>
      <c r="BD179" s="16"/>
      <c r="BE179" s="16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17"/>
      <c r="BX179" s="9"/>
      <c r="BY179" s="40"/>
      <c r="BZ179" s="40"/>
      <c r="CA179" s="40"/>
      <c r="CB179" s="40"/>
      <c r="CC179" s="8"/>
    </row>
    <row r="180" ht="18.75" customHeight="1">
      <c r="A180" s="40"/>
      <c r="B180" s="17"/>
      <c r="D180" s="40"/>
      <c r="F180" s="64"/>
      <c r="G180" s="42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2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18"/>
      <c r="AT180" s="18"/>
      <c r="AU180" s="18"/>
      <c r="AV180" s="18"/>
      <c r="AW180" s="40"/>
      <c r="AX180" s="65"/>
      <c r="AY180" s="65"/>
      <c r="AZ180" s="16"/>
      <c r="BA180" s="16"/>
      <c r="BB180" s="65"/>
      <c r="BC180" s="16"/>
      <c r="BD180" s="16"/>
      <c r="BE180" s="16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17"/>
      <c r="BX180" s="9"/>
      <c r="BY180" s="40"/>
      <c r="BZ180" s="40"/>
      <c r="CA180" s="40"/>
      <c r="CB180" s="40"/>
      <c r="CC180" s="8"/>
    </row>
    <row r="181" ht="18.75" customHeight="1">
      <c r="A181" s="40"/>
      <c r="B181" s="17"/>
      <c r="D181" s="40"/>
      <c r="F181" s="64"/>
      <c r="G181" s="42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2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9"/>
      <c r="AT181" s="9"/>
      <c r="AU181" s="9"/>
      <c r="AV181" s="9"/>
      <c r="AW181" s="40"/>
      <c r="AX181" s="65"/>
      <c r="AY181" s="65"/>
      <c r="AZ181" s="16"/>
      <c r="BA181" s="16"/>
      <c r="BB181" s="65"/>
      <c r="BC181" s="16"/>
      <c r="BD181" s="16"/>
      <c r="BE181" s="16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17"/>
      <c r="BX181" s="9"/>
      <c r="BY181" s="40"/>
      <c r="BZ181" s="40"/>
      <c r="CA181" s="40"/>
      <c r="CB181" s="40"/>
      <c r="CC181" s="8"/>
    </row>
    <row r="182" ht="18.75" customHeight="1">
      <c r="A182" s="40"/>
      <c r="B182" s="17"/>
      <c r="D182" s="40"/>
      <c r="G182" s="42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2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W182" s="40"/>
      <c r="AX182" s="65"/>
      <c r="AY182" s="65"/>
      <c r="AZ182" s="16"/>
      <c r="BA182" s="16"/>
      <c r="BB182" s="65"/>
      <c r="BC182" s="16"/>
      <c r="BD182" s="16"/>
      <c r="BE182" s="16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17"/>
      <c r="BX182" s="9"/>
      <c r="BY182" s="40"/>
      <c r="BZ182" s="40"/>
      <c r="CA182" s="40"/>
      <c r="CB182" s="40"/>
      <c r="CC182" s="8"/>
    </row>
    <row r="183" ht="18.75" customHeight="1">
      <c r="A183" s="40"/>
      <c r="B183" s="17"/>
      <c r="D183" s="40"/>
      <c r="G183" s="42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2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W183" s="40"/>
      <c r="AX183" s="65"/>
      <c r="AY183" s="65"/>
      <c r="AZ183" s="16"/>
      <c r="BA183" s="16"/>
      <c r="BB183" s="65"/>
      <c r="BC183" s="16"/>
      <c r="BD183" s="16"/>
      <c r="BE183" s="16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17"/>
      <c r="BX183" s="9"/>
      <c r="BY183" s="40"/>
      <c r="BZ183" s="40"/>
      <c r="CA183" s="40"/>
      <c r="CB183" s="40"/>
      <c r="CC183" s="8"/>
    </row>
    <row r="184" ht="18.75" customHeight="1">
      <c r="A184" s="40"/>
      <c r="B184" s="17"/>
      <c r="D184" s="40"/>
      <c r="G184" s="42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2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W184" s="40"/>
      <c r="AX184" s="65"/>
      <c r="AY184" s="65"/>
      <c r="AZ184" s="16"/>
      <c r="BA184" s="16"/>
      <c r="BB184" s="65"/>
      <c r="BC184" s="16"/>
      <c r="BD184" s="16"/>
      <c r="BE184" s="16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17"/>
      <c r="BX184" s="9"/>
      <c r="BY184" s="40"/>
      <c r="BZ184" s="40"/>
      <c r="CA184" s="40"/>
      <c r="CB184" s="40"/>
      <c r="CC184" s="8"/>
    </row>
    <row r="185" ht="18.75" customHeight="1">
      <c r="A185" s="40"/>
      <c r="B185" s="17"/>
      <c r="D185" s="40"/>
      <c r="G185" s="42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2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W185" s="40"/>
      <c r="AX185" s="65"/>
      <c r="AY185" s="65"/>
      <c r="AZ185" s="16"/>
      <c r="BA185" s="16"/>
      <c r="BB185" s="65"/>
      <c r="BC185" s="16"/>
      <c r="BD185" s="16"/>
      <c r="BE185" s="16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17"/>
      <c r="BX185" s="9"/>
      <c r="BY185" s="40"/>
      <c r="BZ185" s="40"/>
      <c r="CA185" s="40"/>
      <c r="CB185" s="40"/>
      <c r="CC185" s="8"/>
    </row>
    <row r="186" ht="18.75" customHeight="1">
      <c r="A186" s="40"/>
      <c r="B186" s="17"/>
      <c r="D186" s="40"/>
      <c r="G186" s="42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2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W186" s="40"/>
      <c r="AX186" s="65"/>
      <c r="AY186" s="65"/>
      <c r="AZ186" s="16"/>
      <c r="BA186" s="16"/>
      <c r="BB186" s="65"/>
      <c r="BC186" s="16"/>
      <c r="BD186" s="16"/>
      <c r="BE186" s="16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17"/>
      <c r="BX186" s="9"/>
      <c r="BY186" s="40"/>
      <c r="BZ186" s="40"/>
      <c r="CA186" s="40"/>
      <c r="CB186" s="40"/>
      <c r="CC186" s="8"/>
    </row>
    <row r="187" ht="18.75" customHeight="1">
      <c r="A187" s="40"/>
      <c r="B187" s="17"/>
      <c r="D187" s="40"/>
      <c r="G187" s="42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2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W187" s="40"/>
      <c r="AX187" s="65"/>
      <c r="AY187" s="65"/>
      <c r="AZ187" s="16"/>
      <c r="BA187" s="16"/>
      <c r="BB187" s="65"/>
      <c r="BC187" s="16"/>
      <c r="BD187" s="16"/>
      <c r="BE187" s="16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17"/>
      <c r="BX187" s="9"/>
      <c r="BY187" s="40"/>
      <c r="BZ187" s="40"/>
      <c r="CA187" s="40"/>
      <c r="CB187" s="40"/>
      <c r="CC187" s="8"/>
    </row>
    <row r="188" ht="18.75" customHeight="1">
      <c r="A188" s="40"/>
      <c r="B188" s="17"/>
      <c r="D188" s="40"/>
      <c r="G188" s="42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2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W188" s="40"/>
      <c r="AX188" s="65"/>
      <c r="AY188" s="65"/>
      <c r="AZ188" s="16"/>
      <c r="BA188" s="16"/>
      <c r="BB188" s="65"/>
      <c r="BC188" s="16"/>
      <c r="BD188" s="16"/>
      <c r="BE188" s="16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17"/>
      <c r="BX188" s="9"/>
      <c r="BY188" s="40"/>
      <c r="BZ188" s="40"/>
      <c r="CA188" s="40"/>
      <c r="CB188" s="40"/>
      <c r="CC188" s="8"/>
    </row>
    <row r="189" ht="18.75" customHeight="1">
      <c r="A189" s="40"/>
      <c r="B189" s="17"/>
      <c r="D189" s="40"/>
      <c r="G189" s="42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2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W189" s="40"/>
      <c r="AX189" s="65"/>
      <c r="AY189" s="65"/>
      <c r="AZ189" s="16"/>
      <c r="BA189" s="16"/>
      <c r="BB189" s="65"/>
      <c r="BC189" s="16"/>
      <c r="BD189" s="16"/>
      <c r="BE189" s="16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17"/>
      <c r="BX189" s="9"/>
      <c r="BY189" s="40"/>
      <c r="BZ189" s="40"/>
      <c r="CA189" s="40"/>
      <c r="CB189" s="40"/>
      <c r="CC189" s="8"/>
    </row>
    <row r="190" ht="18.75" customHeight="1">
      <c r="A190" s="40"/>
      <c r="B190" s="17"/>
      <c r="D190" s="40"/>
      <c r="G190" s="42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2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W190" s="40"/>
      <c r="AX190" s="65"/>
      <c r="AY190" s="65"/>
      <c r="AZ190" s="16"/>
      <c r="BA190" s="16"/>
      <c r="BB190" s="65"/>
      <c r="BC190" s="16"/>
      <c r="BD190" s="16"/>
      <c r="BE190" s="16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17"/>
      <c r="BX190" s="9"/>
      <c r="BY190" s="40"/>
      <c r="BZ190" s="40"/>
      <c r="CA190" s="40"/>
      <c r="CB190" s="40"/>
      <c r="CC190" s="8"/>
    </row>
    <row r="191" ht="18.75" customHeight="1">
      <c r="A191" s="40"/>
      <c r="B191" s="17"/>
      <c r="D191" s="40"/>
      <c r="G191" s="42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2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W191" s="40"/>
      <c r="AX191" s="65"/>
      <c r="AY191" s="65"/>
      <c r="AZ191" s="16"/>
      <c r="BA191" s="16"/>
      <c r="BB191" s="65"/>
      <c r="BC191" s="16"/>
      <c r="BD191" s="16"/>
      <c r="BE191" s="16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17"/>
      <c r="BX191" s="9"/>
      <c r="BY191" s="40"/>
      <c r="BZ191" s="40"/>
      <c r="CA191" s="40"/>
      <c r="CB191" s="40"/>
      <c r="CC191" s="8"/>
    </row>
    <row r="192" ht="18.75" customHeight="1">
      <c r="A192" s="40"/>
      <c r="B192" s="17"/>
      <c r="D192" s="40"/>
      <c r="G192" s="42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2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W192" s="40"/>
      <c r="AX192" s="65"/>
      <c r="AY192" s="65"/>
      <c r="AZ192" s="16"/>
      <c r="BA192" s="16"/>
      <c r="BB192" s="65"/>
      <c r="BC192" s="16"/>
      <c r="BD192" s="16"/>
      <c r="BE192" s="16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17"/>
      <c r="BX192" s="9"/>
      <c r="BY192" s="40"/>
      <c r="BZ192" s="40"/>
      <c r="CA192" s="40"/>
      <c r="CB192" s="40"/>
      <c r="CC192" s="8"/>
    </row>
    <row r="193" ht="18.75" customHeight="1">
      <c r="A193" s="40"/>
      <c r="B193" s="17"/>
      <c r="D193" s="40"/>
      <c r="G193" s="42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2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W193" s="40"/>
      <c r="AX193" s="65"/>
      <c r="AY193" s="65"/>
      <c r="AZ193" s="16"/>
      <c r="BA193" s="16"/>
      <c r="BB193" s="65"/>
      <c r="BC193" s="16"/>
      <c r="BD193" s="16"/>
      <c r="BE193" s="16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17"/>
      <c r="BX193" s="9"/>
      <c r="BY193" s="40"/>
      <c r="BZ193" s="40"/>
      <c r="CA193" s="40"/>
      <c r="CB193" s="40"/>
      <c r="CC193" s="8"/>
    </row>
    <row r="194" ht="18.75" customHeight="1">
      <c r="A194" s="40"/>
      <c r="B194" s="17"/>
      <c r="D194" s="40"/>
      <c r="G194" s="42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2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W194" s="40"/>
      <c r="AX194" s="65"/>
      <c r="AY194" s="65"/>
      <c r="AZ194" s="16"/>
      <c r="BA194" s="16"/>
      <c r="BB194" s="65"/>
      <c r="BC194" s="16"/>
      <c r="BD194" s="16"/>
      <c r="BE194" s="16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17"/>
      <c r="BX194" s="9"/>
      <c r="BY194" s="40"/>
      <c r="BZ194" s="40"/>
      <c r="CA194" s="40"/>
      <c r="CB194" s="40"/>
      <c r="CC194" s="8"/>
    </row>
    <row r="195" ht="18.75" customHeight="1">
      <c r="A195" s="40"/>
      <c r="B195" s="17"/>
      <c r="D195" s="40"/>
      <c r="G195" s="42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2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W195" s="40"/>
      <c r="AX195" s="65"/>
      <c r="AY195" s="65"/>
      <c r="AZ195" s="16"/>
      <c r="BA195" s="16"/>
      <c r="BB195" s="65"/>
      <c r="BC195" s="16"/>
      <c r="BD195" s="16"/>
      <c r="BE195" s="16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17"/>
      <c r="BX195" s="9"/>
      <c r="BY195" s="40"/>
      <c r="BZ195" s="40"/>
      <c r="CA195" s="40"/>
      <c r="CB195" s="40"/>
      <c r="CC195" s="8"/>
    </row>
    <row r="196" ht="18.75" customHeight="1">
      <c r="A196" s="40"/>
      <c r="B196" s="17"/>
      <c r="D196" s="40"/>
      <c r="G196" s="42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2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W196" s="40"/>
      <c r="AX196" s="65"/>
      <c r="AY196" s="65"/>
      <c r="AZ196" s="16"/>
      <c r="BA196" s="16"/>
      <c r="BB196" s="65"/>
      <c r="BC196" s="16"/>
      <c r="BD196" s="16"/>
      <c r="BE196" s="16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17"/>
      <c r="BX196" s="9"/>
      <c r="BY196" s="40"/>
      <c r="BZ196" s="40"/>
      <c r="CA196" s="40"/>
      <c r="CB196" s="40"/>
      <c r="CC196" s="8"/>
    </row>
    <row r="197" ht="18.75" customHeight="1">
      <c r="A197" s="40"/>
      <c r="B197" s="17"/>
      <c r="D197" s="40"/>
      <c r="G197" s="42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2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W197" s="40"/>
      <c r="AX197" s="65"/>
      <c r="AY197" s="65"/>
      <c r="AZ197" s="16"/>
      <c r="BA197" s="16"/>
      <c r="BB197" s="65"/>
      <c r="BC197" s="16"/>
      <c r="BD197" s="16"/>
      <c r="BE197" s="16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17"/>
      <c r="BX197" s="9"/>
      <c r="BY197" s="40"/>
      <c r="BZ197" s="40"/>
      <c r="CA197" s="40"/>
      <c r="CB197" s="40"/>
      <c r="CC197" s="8"/>
    </row>
    <row r="198" ht="18.75" customHeight="1">
      <c r="A198" s="40"/>
      <c r="B198" s="17"/>
      <c r="D198" s="40"/>
      <c r="G198" s="42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2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W198" s="40"/>
      <c r="AX198" s="65"/>
      <c r="AY198" s="65"/>
      <c r="AZ198" s="16"/>
      <c r="BA198" s="16"/>
      <c r="BB198" s="65"/>
      <c r="BC198" s="16"/>
      <c r="BD198" s="16"/>
      <c r="BE198" s="16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17"/>
      <c r="BX198" s="9"/>
      <c r="BY198" s="40"/>
      <c r="BZ198" s="40"/>
      <c r="CA198" s="40"/>
      <c r="CB198" s="40"/>
      <c r="CC198" s="8"/>
    </row>
    <row r="199" ht="18.75" customHeight="1">
      <c r="A199" s="40"/>
      <c r="B199" s="17"/>
      <c r="D199" s="40"/>
      <c r="G199" s="42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2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W199" s="40"/>
      <c r="AX199" s="65"/>
      <c r="AY199" s="65"/>
      <c r="AZ199" s="16"/>
      <c r="BA199" s="16"/>
      <c r="BB199" s="65"/>
      <c r="BC199" s="16"/>
      <c r="BD199" s="16"/>
      <c r="BE199" s="16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17"/>
      <c r="BX199" s="9"/>
      <c r="BY199" s="40"/>
      <c r="BZ199" s="40"/>
      <c r="CA199" s="40"/>
      <c r="CB199" s="40"/>
      <c r="CC199" s="8"/>
    </row>
    <row r="200" ht="18.75" customHeight="1">
      <c r="A200" s="40"/>
      <c r="B200" s="17"/>
      <c r="D200" s="40"/>
      <c r="G200" s="42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2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W200" s="40"/>
      <c r="AX200" s="65"/>
      <c r="AY200" s="65"/>
      <c r="AZ200" s="16"/>
      <c r="BA200" s="16"/>
      <c r="BB200" s="65"/>
      <c r="BC200" s="16"/>
      <c r="BD200" s="16"/>
      <c r="BE200" s="16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17"/>
      <c r="BX200" s="9"/>
      <c r="BY200" s="40"/>
      <c r="BZ200" s="40"/>
      <c r="CA200" s="40"/>
      <c r="CB200" s="40"/>
      <c r="CC200" s="8"/>
    </row>
    <row r="201" ht="18.75" customHeight="1">
      <c r="A201" s="40"/>
      <c r="B201" s="17"/>
      <c r="D201" s="40"/>
      <c r="G201" s="42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2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W201" s="40"/>
      <c r="AX201" s="65"/>
      <c r="AY201" s="65"/>
      <c r="AZ201" s="16"/>
      <c r="BA201" s="16"/>
      <c r="BB201" s="65"/>
      <c r="BC201" s="16"/>
      <c r="BD201" s="16"/>
      <c r="BE201" s="16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17"/>
      <c r="BX201" s="9"/>
      <c r="BY201" s="40"/>
      <c r="BZ201" s="40"/>
      <c r="CA201" s="40"/>
      <c r="CB201" s="40"/>
      <c r="CC201" s="8"/>
    </row>
    <row r="202" ht="18.75" customHeight="1">
      <c r="A202" s="40"/>
      <c r="B202" s="17"/>
      <c r="D202" s="40"/>
      <c r="G202" s="42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2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W202" s="40"/>
      <c r="AX202" s="65"/>
      <c r="AY202" s="65"/>
      <c r="AZ202" s="16"/>
      <c r="BA202" s="16"/>
      <c r="BB202" s="65"/>
      <c r="BC202" s="16"/>
      <c r="BD202" s="16"/>
      <c r="BE202" s="16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17"/>
      <c r="BX202" s="9"/>
      <c r="BY202" s="40"/>
      <c r="BZ202" s="40"/>
      <c r="CA202" s="40"/>
      <c r="CB202" s="40"/>
      <c r="CC202" s="8"/>
    </row>
    <row r="203" ht="18.75" customHeight="1">
      <c r="A203" s="40"/>
      <c r="B203" s="17"/>
      <c r="D203" s="40"/>
      <c r="G203" s="42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2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W203" s="40"/>
      <c r="AX203" s="65"/>
      <c r="AY203" s="65"/>
      <c r="AZ203" s="16"/>
      <c r="BA203" s="16"/>
      <c r="BB203" s="65"/>
      <c r="BC203" s="16"/>
      <c r="BD203" s="16"/>
      <c r="BE203" s="16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17"/>
      <c r="BX203" s="9"/>
      <c r="BY203" s="40"/>
      <c r="BZ203" s="40"/>
      <c r="CA203" s="40"/>
      <c r="CB203" s="40"/>
      <c r="CC203" s="8"/>
    </row>
    <row r="204" ht="18.75" customHeight="1">
      <c r="A204" s="40"/>
      <c r="B204" s="17"/>
      <c r="D204" s="40"/>
      <c r="G204" s="42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2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W204" s="40"/>
      <c r="AX204" s="65"/>
      <c r="AY204" s="65"/>
      <c r="AZ204" s="16"/>
      <c r="BA204" s="16"/>
      <c r="BB204" s="65"/>
      <c r="BC204" s="16"/>
      <c r="BD204" s="16"/>
      <c r="BE204" s="16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17"/>
      <c r="BX204" s="9"/>
      <c r="BY204" s="40"/>
      <c r="BZ204" s="40"/>
      <c r="CA204" s="40"/>
      <c r="CB204" s="40"/>
      <c r="CC204" s="8"/>
    </row>
    <row r="205" ht="18.75" customHeight="1">
      <c r="A205" s="40"/>
      <c r="B205" s="17"/>
      <c r="D205" s="40"/>
      <c r="G205" s="42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2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W205" s="40"/>
      <c r="AX205" s="65"/>
      <c r="AY205" s="65"/>
      <c r="AZ205" s="16"/>
      <c r="BA205" s="16"/>
      <c r="BB205" s="65"/>
      <c r="BC205" s="16"/>
      <c r="BD205" s="16"/>
      <c r="BE205" s="16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17"/>
      <c r="BX205" s="9"/>
      <c r="BY205" s="40"/>
      <c r="BZ205" s="40"/>
      <c r="CA205" s="40"/>
      <c r="CB205" s="40"/>
      <c r="CC205" s="8"/>
    </row>
    <row r="206" ht="18.75" customHeight="1">
      <c r="A206" s="40"/>
      <c r="B206" s="17"/>
      <c r="D206" s="40"/>
      <c r="G206" s="42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2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W206" s="40"/>
      <c r="AX206" s="65"/>
      <c r="AY206" s="65"/>
      <c r="AZ206" s="16"/>
      <c r="BA206" s="16"/>
      <c r="BB206" s="65"/>
      <c r="BC206" s="16"/>
      <c r="BD206" s="16"/>
      <c r="BE206" s="16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17"/>
      <c r="BX206" s="9"/>
      <c r="BY206" s="40"/>
      <c r="BZ206" s="40"/>
      <c r="CA206" s="40"/>
      <c r="CB206" s="40"/>
      <c r="CC206" s="8"/>
    </row>
    <row r="207" ht="18.75" customHeight="1">
      <c r="A207" s="40"/>
      <c r="B207" s="17"/>
      <c r="D207" s="40"/>
      <c r="G207" s="42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2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W207" s="40"/>
      <c r="AX207" s="65"/>
      <c r="AY207" s="65"/>
      <c r="AZ207" s="16"/>
      <c r="BA207" s="16"/>
      <c r="BB207" s="65"/>
      <c r="BC207" s="16"/>
      <c r="BD207" s="16"/>
      <c r="BE207" s="16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17"/>
      <c r="BX207" s="9"/>
      <c r="BY207" s="40"/>
      <c r="BZ207" s="40"/>
      <c r="CA207" s="40"/>
      <c r="CB207" s="40"/>
      <c r="CC207" s="8"/>
    </row>
    <row r="208" ht="18.75" customHeight="1">
      <c r="A208" s="40"/>
      <c r="B208" s="17"/>
      <c r="D208" s="40"/>
      <c r="G208" s="42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2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W208" s="40"/>
      <c r="AX208" s="65"/>
      <c r="AY208" s="65"/>
      <c r="AZ208" s="16"/>
      <c r="BA208" s="16"/>
      <c r="BB208" s="65"/>
      <c r="BC208" s="16"/>
      <c r="BD208" s="16"/>
      <c r="BE208" s="16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17"/>
      <c r="BX208" s="9"/>
      <c r="BY208" s="40"/>
      <c r="BZ208" s="40"/>
      <c r="CA208" s="40"/>
      <c r="CB208" s="40"/>
      <c r="CC208" s="8"/>
    </row>
    <row r="209" ht="18.75" customHeight="1">
      <c r="A209" s="40"/>
      <c r="B209" s="17"/>
      <c r="D209" s="40"/>
      <c r="G209" s="42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2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W209" s="40"/>
      <c r="AX209" s="65"/>
      <c r="AY209" s="65"/>
      <c r="AZ209" s="16"/>
      <c r="BA209" s="16"/>
      <c r="BB209" s="65"/>
      <c r="BC209" s="16"/>
      <c r="BD209" s="16"/>
      <c r="BE209" s="16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17"/>
      <c r="BX209" s="9"/>
      <c r="BY209" s="40"/>
      <c r="BZ209" s="40"/>
      <c r="CA209" s="40"/>
      <c r="CB209" s="40"/>
      <c r="CC209" s="8"/>
    </row>
    <row r="210" ht="18.75" customHeight="1">
      <c r="A210" s="40"/>
      <c r="B210" s="17"/>
      <c r="D210" s="40"/>
      <c r="G210" s="42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2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W210" s="40"/>
      <c r="AX210" s="65"/>
      <c r="AY210" s="65"/>
      <c r="AZ210" s="16"/>
      <c r="BA210" s="16"/>
      <c r="BB210" s="65"/>
      <c r="BC210" s="16"/>
      <c r="BD210" s="16"/>
      <c r="BE210" s="16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17"/>
      <c r="BX210" s="9"/>
      <c r="BY210" s="40"/>
      <c r="BZ210" s="40"/>
      <c r="CA210" s="40"/>
      <c r="CB210" s="40"/>
      <c r="CC210" s="8"/>
    </row>
    <row r="211" ht="18.75" customHeight="1">
      <c r="A211" s="40"/>
      <c r="B211" s="17"/>
      <c r="D211" s="40"/>
      <c r="G211" s="42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2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W211" s="40"/>
      <c r="AX211" s="65"/>
      <c r="AY211" s="65"/>
      <c r="AZ211" s="16"/>
      <c r="BA211" s="16"/>
      <c r="BB211" s="65"/>
      <c r="BC211" s="16"/>
      <c r="BD211" s="16"/>
      <c r="BE211" s="16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17"/>
      <c r="BX211" s="9"/>
      <c r="BY211" s="40"/>
      <c r="BZ211" s="40"/>
      <c r="CA211" s="40"/>
      <c r="CB211" s="40"/>
      <c r="CC211" s="8"/>
    </row>
    <row r="212" ht="18.75" customHeight="1">
      <c r="A212" s="40"/>
      <c r="B212" s="17"/>
      <c r="D212" s="40"/>
      <c r="G212" s="42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2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W212" s="40"/>
      <c r="AX212" s="65"/>
      <c r="AY212" s="65"/>
      <c r="AZ212" s="16"/>
      <c r="BA212" s="16"/>
      <c r="BB212" s="65"/>
      <c r="BC212" s="16"/>
      <c r="BD212" s="16"/>
      <c r="BE212" s="16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17"/>
      <c r="BX212" s="9"/>
      <c r="BY212" s="40"/>
      <c r="BZ212" s="40"/>
      <c r="CA212" s="40"/>
      <c r="CB212" s="40"/>
      <c r="CC212" s="8"/>
    </row>
    <row r="213" ht="18.75" customHeight="1">
      <c r="A213" s="40"/>
      <c r="B213" s="17"/>
      <c r="D213" s="40"/>
      <c r="G213" s="42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2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W213" s="40"/>
      <c r="AX213" s="65"/>
      <c r="AY213" s="65"/>
      <c r="AZ213" s="16"/>
      <c r="BA213" s="16"/>
      <c r="BB213" s="65"/>
      <c r="BC213" s="16"/>
      <c r="BD213" s="16"/>
      <c r="BE213" s="16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17"/>
      <c r="BX213" s="9"/>
      <c r="BY213" s="40"/>
      <c r="BZ213" s="40"/>
      <c r="CA213" s="40"/>
      <c r="CB213" s="40"/>
      <c r="CC213" s="8"/>
    </row>
    <row r="214" ht="18.75" customHeight="1">
      <c r="A214" s="40"/>
      <c r="B214" s="17"/>
      <c r="D214" s="40"/>
      <c r="G214" s="42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2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W214" s="40"/>
      <c r="AX214" s="65"/>
      <c r="AY214" s="65"/>
      <c r="AZ214" s="16"/>
      <c r="BA214" s="16"/>
      <c r="BB214" s="65"/>
      <c r="BC214" s="16"/>
      <c r="BD214" s="16"/>
      <c r="BE214" s="16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17"/>
      <c r="BX214" s="9"/>
      <c r="BY214" s="40"/>
      <c r="BZ214" s="40"/>
      <c r="CA214" s="40"/>
      <c r="CB214" s="40"/>
      <c r="CC214" s="8"/>
    </row>
    <row r="215" ht="18.75" customHeight="1">
      <c r="A215" s="40"/>
      <c r="B215" s="17"/>
      <c r="D215" s="40"/>
      <c r="G215" s="42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2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W215" s="40"/>
      <c r="AX215" s="65"/>
      <c r="AY215" s="65"/>
      <c r="AZ215" s="16"/>
      <c r="BA215" s="16"/>
      <c r="BB215" s="65"/>
      <c r="BC215" s="16"/>
      <c r="BD215" s="16"/>
      <c r="BE215" s="16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17"/>
      <c r="BX215" s="9"/>
      <c r="BY215" s="40"/>
      <c r="BZ215" s="40"/>
      <c r="CA215" s="40"/>
      <c r="CB215" s="40"/>
      <c r="CC215" s="8"/>
    </row>
    <row r="216" ht="18.75" customHeight="1">
      <c r="A216" s="40"/>
      <c r="B216" s="17"/>
      <c r="D216" s="40"/>
      <c r="G216" s="42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2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W216" s="40"/>
      <c r="AX216" s="65"/>
      <c r="AY216" s="65"/>
      <c r="AZ216" s="16"/>
      <c r="BA216" s="16"/>
      <c r="BB216" s="65"/>
      <c r="BC216" s="16"/>
      <c r="BD216" s="16"/>
      <c r="BE216" s="16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17"/>
      <c r="BX216" s="9"/>
      <c r="BY216" s="40"/>
      <c r="BZ216" s="40"/>
      <c r="CA216" s="40"/>
      <c r="CB216" s="40"/>
      <c r="CC216" s="8"/>
    </row>
    <row r="217" ht="18.75" customHeight="1">
      <c r="A217" s="40"/>
      <c r="B217" s="17"/>
      <c r="D217" s="40"/>
      <c r="G217" s="42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2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W217" s="40"/>
      <c r="AX217" s="65"/>
      <c r="AY217" s="65"/>
      <c r="AZ217" s="16"/>
      <c r="BA217" s="16"/>
      <c r="BB217" s="65"/>
      <c r="BC217" s="16"/>
      <c r="BD217" s="16"/>
      <c r="BE217" s="16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17"/>
      <c r="BX217" s="9"/>
      <c r="BY217" s="40"/>
      <c r="BZ217" s="40"/>
      <c r="CA217" s="40"/>
      <c r="CB217" s="40"/>
      <c r="CC217" s="8"/>
    </row>
    <row r="218" ht="18.75" customHeight="1">
      <c r="A218" s="40"/>
      <c r="B218" s="17"/>
      <c r="D218" s="40"/>
      <c r="G218" s="42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2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W218" s="40"/>
      <c r="AX218" s="65"/>
      <c r="AY218" s="65"/>
      <c r="AZ218" s="16"/>
      <c r="BA218" s="16"/>
      <c r="BB218" s="65"/>
      <c r="BC218" s="16"/>
      <c r="BD218" s="16"/>
      <c r="BE218" s="16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17"/>
      <c r="BX218" s="9"/>
      <c r="BY218" s="40"/>
      <c r="BZ218" s="40"/>
      <c r="CA218" s="40"/>
      <c r="CB218" s="40"/>
      <c r="CC218" s="8"/>
    </row>
    <row r="219" ht="18.75" customHeight="1">
      <c r="A219" s="40"/>
      <c r="B219" s="17"/>
      <c r="D219" s="40"/>
      <c r="G219" s="42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2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W219" s="40"/>
      <c r="AX219" s="65"/>
      <c r="AY219" s="65"/>
      <c r="AZ219" s="16"/>
      <c r="BA219" s="16"/>
      <c r="BB219" s="65"/>
      <c r="BC219" s="16"/>
      <c r="BD219" s="16"/>
      <c r="BE219" s="16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17"/>
      <c r="BX219" s="9"/>
      <c r="BY219" s="40"/>
      <c r="BZ219" s="40"/>
      <c r="CA219" s="40"/>
      <c r="CB219" s="40"/>
      <c r="CC219" s="8"/>
    </row>
    <row r="220" ht="18.75" customHeight="1">
      <c r="A220" s="40"/>
      <c r="B220" s="17"/>
      <c r="D220" s="40"/>
      <c r="G220" s="42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2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W220" s="40"/>
      <c r="AX220" s="65"/>
      <c r="AY220" s="65"/>
      <c r="AZ220" s="16"/>
      <c r="BA220" s="16"/>
      <c r="BB220" s="65"/>
      <c r="BC220" s="16"/>
      <c r="BD220" s="16"/>
      <c r="BE220" s="16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17"/>
      <c r="BX220" s="9"/>
      <c r="BY220" s="40"/>
      <c r="BZ220" s="40"/>
      <c r="CA220" s="40"/>
      <c r="CB220" s="40"/>
      <c r="CC220" s="8"/>
    </row>
    <row r="221" ht="18.75" customHeight="1">
      <c r="A221" s="40"/>
      <c r="B221" s="17"/>
      <c r="D221" s="40"/>
      <c r="G221" s="42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2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W221" s="40"/>
      <c r="AX221" s="65"/>
      <c r="AY221" s="65"/>
      <c r="AZ221" s="16"/>
      <c r="BA221" s="16"/>
      <c r="BB221" s="65"/>
      <c r="BC221" s="16"/>
      <c r="BD221" s="16"/>
      <c r="BE221" s="16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17"/>
      <c r="BX221" s="9"/>
      <c r="BY221" s="40"/>
      <c r="BZ221" s="40"/>
      <c r="CA221" s="40"/>
      <c r="CB221" s="40"/>
      <c r="CC221" s="8"/>
    </row>
    <row r="222" ht="18.75" customHeight="1">
      <c r="A222" s="40"/>
      <c r="B222" s="17"/>
      <c r="D222" s="40"/>
      <c r="G222" s="42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2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W222" s="40"/>
      <c r="AX222" s="65"/>
      <c r="AY222" s="65"/>
      <c r="AZ222" s="16"/>
      <c r="BA222" s="16"/>
      <c r="BB222" s="65"/>
      <c r="BC222" s="16"/>
      <c r="BD222" s="16"/>
      <c r="BE222" s="16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17"/>
      <c r="BX222" s="9"/>
      <c r="BY222" s="40"/>
      <c r="BZ222" s="40"/>
      <c r="CA222" s="40"/>
      <c r="CB222" s="40"/>
      <c r="CC222" s="8"/>
    </row>
    <row r="223" ht="18.75" customHeight="1">
      <c r="A223" s="40"/>
      <c r="B223" s="17"/>
      <c r="D223" s="40"/>
      <c r="G223" s="42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2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W223" s="40"/>
      <c r="AX223" s="65"/>
      <c r="AY223" s="65"/>
      <c r="AZ223" s="16"/>
      <c r="BA223" s="16"/>
      <c r="BB223" s="65"/>
      <c r="BC223" s="16"/>
      <c r="BD223" s="16"/>
      <c r="BE223" s="16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17"/>
      <c r="BX223" s="9"/>
      <c r="BY223" s="40"/>
      <c r="BZ223" s="40"/>
      <c r="CA223" s="40"/>
      <c r="CB223" s="40"/>
      <c r="CC223" s="8"/>
    </row>
    <row r="224" ht="18.75" customHeight="1">
      <c r="A224" s="40"/>
      <c r="B224" s="17"/>
      <c r="D224" s="40"/>
      <c r="G224" s="42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2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W224" s="40"/>
      <c r="AX224" s="65"/>
      <c r="AY224" s="65"/>
      <c r="AZ224" s="16"/>
      <c r="BA224" s="16"/>
      <c r="BB224" s="65"/>
      <c r="BC224" s="16"/>
      <c r="BD224" s="16"/>
      <c r="BE224" s="16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17"/>
      <c r="BX224" s="9"/>
      <c r="BY224" s="40"/>
      <c r="BZ224" s="40"/>
      <c r="CA224" s="40"/>
      <c r="CB224" s="40"/>
      <c r="CC224" s="8"/>
    </row>
    <row r="225" ht="18.75" customHeight="1">
      <c r="A225" s="40"/>
      <c r="B225" s="17"/>
      <c r="D225" s="40"/>
      <c r="G225" s="42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2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W225" s="40"/>
      <c r="AX225" s="65"/>
      <c r="AY225" s="65"/>
      <c r="AZ225" s="16"/>
      <c r="BA225" s="16"/>
      <c r="BB225" s="65"/>
      <c r="BC225" s="16"/>
      <c r="BD225" s="16"/>
      <c r="BE225" s="16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17"/>
      <c r="BX225" s="9"/>
      <c r="BY225" s="40"/>
      <c r="BZ225" s="40"/>
      <c r="CA225" s="40"/>
      <c r="CB225" s="40"/>
      <c r="CC225" s="8"/>
    </row>
    <row r="226" ht="18.75" customHeight="1">
      <c r="A226" s="40"/>
      <c r="B226" s="17"/>
      <c r="D226" s="40"/>
      <c r="G226" s="42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2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W226" s="40"/>
      <c r="AX226" s="65"/>
      <c r="AY226" s="65"/>
      <c r="AZ226" s="16"/>
      <c r="BA226" s="16"/>
      <c r="BB226" s="65"/>
      <c r="BC226" s="16"/>
      <c r="BD226" s="16"/>
      <c r="BE226" s="16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17"/>
      <c r="BX226" s="9"/>
      <c r="BY226" s="40"/>
      <c r="BZ226" s="40"/>
      <c r="CA226" s="40"/>
      <c r="CB226" s="40"/>
      <c r="CC226" s="8"/>
    </row>
    <row r="227" ht="18.75" customHeight="1">
      <c r="A227" s="40"/>
      <c r="B227" s="17"/>
      <c r="D227" s="40"/>
      <c r="G227" s="42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2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W227" s="40"/>
      <c r="AX227" s="65"/>
      <c r="AY227" s="65"/>
      <c r="AZ227" s="16"/>
      <c r="BA227" s="16"/>
      <c r="BB227" s="65"/>
      <c r="BC227" s="16"/>
      <c r="BD227" s="16"/>
      <c r="BE227" s="16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17"/>
      <c r="BX227" s="9"/>
      <c r="BY227" s="40"/>
      <c r="BZ227" s="40"/>
      <c r="CA227" s="40"/>
      <c r="CB227" s="40"/>
      <c r="CC227" s="8"/>
    </row>
    <row r="228" ht="18.75" customHeight="1">
      <c r="A228" s="40"/>
      <c r="B228" s="17"/>
      <c r="D228" s="40"/>
      <c r="G228" s="42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2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W228" s="40"/>
      <c r="AX228" s="65"/>
      <c r="AY228" s="65"/>
      <c r="AZ228" s="16"/>
      <c r="BA228" s="16"/>
      <c r="BB228" s="65"/>
      <c r="BC228" s="16"/>
      <c r="BD228" s="16"/>
      <c r="BE228" s="16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17"/>
      <c r="BX228" s="9"/>
      <c r="BY228" s="40"/>
      <c r="BZ228" s="40"/>
      <c r="CA228" s="40"/>
      <c r="CB228" s="40"/>
      <c r="CC228" s="8"/>
    </row>
    <row r="229" ht="18.75" customHeight="1">
      <c r="A229" s="40"/>
      <c r="B229" s="17"/>
      <c r="D229" s="40"/>
      <c r="G229" s="42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2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W229" s="40"/>
      <c r="AX229" s="65"/>
      <c r="AY229" s="65"/>
      <c r="AZ229" s="16"/>
      <c r="BA229" s="16"/>
      <c r="BB229" s="65"/>
      <c r="BC229" s="16"/>
      <c r="BD229" s="16"/>
      <c r="BE229" s="16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17"/>
      <c r="BX229" s="9"/>
      <c r="BY229" s="40"/>
      <c r="BZ229" s="40"/>
      <c r="CA229" s="40"/>
      <c r="CB229" s="40"/>
      <c r="CC229" s="8"/>
    </row>
    <row r="230" ht="18.75" customHeight="1">
      <c r="A230" s="40"/>
      <c r="B230" s="17"/>
      <c r="D230" s="40"/>
      <c r="G230" s="42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2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W230" s="40"/>
      <c r="AX230" s="65"/>
      <c r="AY230" s="65"/>
      <c r="AZ230" s="16"/>
      <c r="BA230" s="16"/>
      <c r="BB230" s="65"/>
      <c r="BC230" s="16"/>
      <c r="BD230" s="16"/>
      <c r="BE230" s="16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17"/>
      <c r="BX230" s="9"/>
      <c r="BY230" s="40"/>
      <c r="BZ230" s="40"/>
      <c r="CA230" s="40"/>
      <c r="CB230" s="40"/>
      <c r="CC230" s="8"/>
    </row>
    <row r="231" ht="18.75" customHeight="1">
      <c r="A231" s="40"/>
      <c r="B231" s="17"/>
      <c r="D231" s="40"/>
      <c r="G231" s="42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2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W231" s="40"/>
      <c r="AX231" s="65"/>
      <c r="AY231" s="65"/>
      <c r="AZ231" s="16"/>
      <c r="BA231" s="16"/>
      <c r="BB231" s="65"/>
      <c r="BC231" s="16"/>
      <c r="BD231" s="16"/>
      <c r="BE231" s="16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17"/>
      <c r="BX231" s="9"/>
      <c r="BY231" s="40"/>
      <c r="BZ231" s="40"/>
      <c r="CA231" s="40"/>
      <c r="CB231" s="40"/>
      <c r="CC231" s="8"/>
    </row>
    <row r="232" ht="18.75" customHeight="1">
      <c r="A232" s="40"/>
      <c r="B232" s="17"/>
      <c r="D232" s="40"/>
      <c r="G232" s="42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2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W232" s="40"/>
      <c r="AX232" s="65"/>
      <c r="AY232" s="65"/>
      <c r="AZ232" s="16"/>
      <c r="BA232" s="16"/>
      <c r="BB232" s="65"/>
      <c r="BC232" s="16"/>
      <c r="BD232" s="16"/>
      <c r="BE232" s="16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17"/>
      <c r="BX232" s="9"/>
      <c r="BY232" s="40"/>
      <c r="BZ232" s="40"/>
      <c r="CA232" s="40"/>
      <c r="CB232" s="40"/>
      <c r="CC232" s="8"/>
    </row>
    <row r="233" ht="18.75" customHeight="1">
      <c r="A233" s="40"/>
      <c r="B233" s="17"/>
      <c r="D233" s="40"/>
      <c r="G233" s="42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2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W233" s="40"/>
      <c r="AX233" s="65"/>
      <c r="AY233" s="65"/>
      <c r="AZ233" s="16"/>
      <c r="BA233" s="16"/>
      <c r="BB233" s="65"/>
      <c r="BC233" s="16"/>
      <c r="BD233" s="16"/>
      <c r="BE233" s="16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17"/>
      <c r="BX233" s="9"/>
      <c r="BY233" s="40"/>
      <c r="BZ233" s="40"/>
      <c r="CA233" s="40"/>
      <c r="CB233" s="40"/>
      <c r="CC233" s="8"/>
    </row>
    <row r="234" ht="18.75" customHeight="1">
      <c r="A234" s="40"/>
      <c r="B234" s="17"/>
      <c r="D234" s="40"/>
      <c r="G234" s="42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2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W234" s="40"/>
      <c r="AX234" s="65"/>
      <c r="AY234" s="65"/>
      <c r="AZ234" s="16"/>
      <c r="BA234" s="16"/>
      <c r="BB234" s="65"/>
      <c r="BC234" s="16"/>
      <c r="BD234" s="16"/>
      <c r="BE234" s="16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17"/>
      <c r="BX234" s="9"/>
      <c r="BY234" s="40"/>
      <c r="BZ234" s="40"/>
      <c r="CA234" s="40"/>
      <c r="CB234" s="40"/>
      <c r="CC234" s="8"/>
    </row>
    <row r="235" ht="18.75" customHeight="1">
      <c r="A235" s="40"/>
      <c r="B235" s="17"/>
      <c r="D235" s="40"/>
      <c r="G235" s="42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2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W235" s="40"/>
      <c r="AX235" s="65"/>
      <c r="AY235" s="65"/>
      <c r="AZ235" s="16"/>
      <c r="BA235" s="16"/>
      <c r="BB235" s="65"/>
      <c r="BC235" s="16"/>
      <c r="BD235" s="16"/>
      <c r="BE235" s="16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17"/>
      <c r="BX235" s="9"/>
      <c r="BY235" s="40"/>
      <c r="BZ235" s="40"/>
      <c r="CA235" s="40"/>
      <c r="CB235" s="40"/>
      <c r="CC235" s="8"/>
    </row>
    <row r="236" ht="18.75" customHeight="1">
      <c r="A236" s="40"/>
      <c r="B236" s="17"/>
      <c r="D236" s="40"/>
      <c r="G236" s="42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2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W236" s="40"/>
      <c r="AX236" s="65"/>
      <c r="AY236" s="65"/>
      <c r="AZ236" s="16"/>
      <c r="BA236" s="16"/>
      <c r="BB236" s="65"/>
      <c r="BC236" s="16"/>
      <c r="BD236" s="16"/>
      <c r="BE236" s="16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17"/>
      <c r="BX236" s="9"/>
      <c r="BY236" s="40"/>
      <c r="BZ236" s="40"/>
      <c r="CA236" s="40"/>
      <c r="CB236" s="40"/>
      <c r="CC236" s="8"/>
    </row>
    <row r="237" ht="18.75" customHeight="1">
      <c r="A237" s="40"/>
      <c r="B237" s="17"/>
      <c r="D237" s="40"/>
      <c r="G237" s="42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2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W237" s="40"/>
      <c r="AX237" s="65"/>
      <c r="AY237" s="65"/>
      <c r="AZ237" s="16"/>
      <c r="BA237" s="16"/>
      <c r="BB237" s="65"/>
      <c r="BC237" s="16"/>
      <c r="BD237" s="16"/>
      <c r="BE237" s="16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17"/>
      <c r="BX237" s="9"/>
      <c r="BY237" s="40"/>
      <c r="BZ237" s="40"/>
      <c r="CA237" s="40"/>
      <c r="CB237" s="40"/>
      <c r="CC237" s="8"/>
    </row>
    <row r="238" ht="18.75" customHeight="1">
      <c r="A238" s="40"/>
      <c r="B238" s="17"/>
      <c r="D238" s="40"/>
      <c r="G238" s="42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2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W238" s="40"/>
      <c r="AX238" s="65"/>
      <c r="AY238" s="65"/>
      <c r="AZ238" s="16"/>
      <c r="BA238" s="16"/>
      <c r="BB238" s="65"/>
      <c r="BC238" s="16"/>
      <c r="BD238" s="16"/>
      <c r="BE238" s="16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17"/>
      <c r="BX238" s="9"/>
      <c r="BY238" s="40"/>
      <c r="BZ238" s="40"/>
      <c r="CA238" s="40"/>
      <c r="CB238" s="40"/>
      <c r="CC238" s="8"/>
    </row>
    <row r="239" ht="18.75" customHeight="1">
      <c r="A239" s="40"/>
      <c r="B239" s="17"/>
      <c r="D239" s="40"/>
      <c r="G239" s="42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2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W239" s="40"/>
      <c r="AX239" s="65"/>
      <c r="AY239" s="65"/>
      <c r="AZ239" s="16"/>
      <c r="BA239" s="16"/>
      <c r="BB239" s="65"/>
      <c r="BC239" s="16"/>
      <c r="BD239" s="16"/>
      <c r="BE239" s="16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17"/>
      <c r="BX239" s="9"/>
      <c r="BY239" s="40"/>
      <c r="BZ239" s="40"/>
      <c r="CA239" s="40"/>
      <c r="CB239" s="40"/>
      <c r="CC239" s="8"/>
    </row>
    <row r="240" ht="18.75" customHeight="1">
      <c r="A240" s="40"/>
      <c r="B240" s="17"/>
      <c r="D240" s="40"/>
      <c r="G240" s="42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2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W240" s="40"/>
      <c r="AX240" s="65"/>
      <c r="AY240" s="65"/>
      <c r="AZ240" s="16"/>
      <c r="BA240" s="16"/>
      <c r="BB240" s="65"/>
      <c r="BC240" s="16"/>
      <c r="BD240" s="16"/>
      <c r="BE240" s="16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17"/>
      <c r="BX240" s="9"/>
      <c r="BY240" s="40"/>
      <c r="BZ240" s="40"/>
      <c r="CA240" s="40"/>
      <c r="CB240" s="40"/>
      <c r="CC240" s="8"/>
    </row>
    <row r="241" ht="18.75" customHeight="1">
      <c r="A241" s="40"/>
      <c r="B241" s="17"/>
      <c r="D241" s="40"/>
      <c r="G241" s="42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2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W241" s="40"/>
      <c r="AX241" s="65"/>
      <c r="AY241" s="65"/>
      <c r="AZ241" s="16"/>
      <c r="BA241" s="16"/>
      <c r="BB241" s="65"/>
      <c r="BC241" s="16"/>
      <c r="BD241" s="16"/>
      <c r="BE241" s="16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17"/>
      <c r="BX241" s="9"/>
      <c r="BY241" s="40"/>
      <c r="BZ241" s="40"/>
      <c r="CA241" s="40"/>
      <c r="CB241" s="40"/>
      <c r="CC241" s="8"/>
    </row>
    <row r="242" ht="18.75" customHeight="1">
      <c r="A242" s="40"/>
      <c r="B242" s="17"/>
      <c r="D242" s="40"/>
      <c r="G242" s="42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2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W242" s="40"/>
      <c r="AX242" s="65"/>
      <c r="AY242" s="65"/>
      <c r="AZ242" s="16"/>
      <c r="BA242" s="16"/>
      <c r="BB242" s="65"/>
      <c r="BC242" s="16"/>
      <c r="BD242" s="16"/>
      <c r="BE242" s="16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17"/>
      <c r="BX242" s="9"/>
      <c r="BY242" s="40"/>
      <c r="BZ242" s="40"/>
      <c r="CA242" s="40"/>
      <c r="CB242" s="40"/>
      <c r="CC242" s="8"/>
    </row>
    <row r="243" ht="18.75" customHeight="1">
      <c r="A243" s="40"/>
      <c r="B243" s="17"/>
      <c r="D243" s="40"/>
      <c r="G243" s="42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2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W243" s="40"/>
      <c r="AX243" s="65"/>
      <c r="AY243" s="65"/>
      <c r="AZ243" s="16"/>
      <c r="BA243" s="16"/>
      <c r="BB243" s="65"/>
      <c r="BC243" s="16"/>
      <c r="BD243" s="16"/>
      <c r="BE243" s="16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17"/>
      <c r="BX243" s="9"/>
      <c r="BY243" s="40"/>
      <c r="BZ243" s="40"/>
      <c r="CA243" s="40"/>
      <c r="CB243" s="40"/>
      <c r="CC243" s="8"/>
    </row>
    <row r="244" ht="18.75" customHeight="1">
      <c r="A244" s="40"/>
      <c r="B244" s="17"/>
      <c r="D244" s="40"/>
      <c r="G244" s="42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2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W244" s="40"/>
      <c r="AX244" s="65"/>
      <c r="AY244" s="65"/>
      <c r="AZ244" s="16"/>
      <c r="BA244" s="16"/>
      <c r="BB244" s="65"/>
      <c r="BC244" s="16"/>
      <c r="BD244" s="16"/>
      <c r="BE244" s="16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17"/>
      <c r="BX244" s="9"/>
      <c r="BY244" s="40"/>
      <c r="BZ244" s="40"/>
      <c r="CA244" s="40"/>
      <c r="CB244" s="40"/>
      <c r="CC244" s="8"/>
    </row>
    <row r="245" ht="18.75" customHeight="1">
      <c r="A245" s="40"/>
      <c r="B245" s="17"/>
      <c r="D245" s="40"/>
      <c r="G245" s="42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2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W245" s="40"/>
      <c r="AX245" s="65"/>
      <c r="AY245" s="65"/>
      <c r="AZ245" s="16"/>
      <c r="BA245" s="16"/>
      <c r="BB245" s="65"/>
      <c r="BC245" s="16"/>
      <c r="BD245" s="16"/>
      <c r="BE245" s="16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17"/>
      <c r="BX245" s="9"/>
      <c r="BY245" s="40"/>
      <c r="BZ245" s="40"/>
      <c r="CA245" s="40"/>
      <c r="CB245" s="40"/>
      <c r="CC245" s="8"/>
    </row>
    <row r="246" ht="18.75" customHeight="1">
      <c r="A246" s="40"/>
      <c r="B246" s="17"/>
      <c r="D246" s="40"/>
      <c r="G246" s="42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2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W246" s="40"/>
      <c r="AX246" s="65"/>
      <c r="AY246" s="65"/>
      <c r="AZ246" s="16"/>
      <c r="BA246" s="16"/>
      <c r="BB246" s="65"/>
      <c r="BC246" s="16"/>
      <c r="BD246" s="16"/>
      <c r="BE246" s="16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17"/>
      <c r="BX246" s="9"/>
      <c r="BY246" s="40"/>
      <c r="BZ246" s="40"/>
      <c r="CA246" s="40"/>
      <c r="CB246" s="40"/>
      <c r="CC246" s="8"/>
    </row>
    <row r="247" ht="18.75" customHeight="1">
      <c r="A247" s="40"/>
      <c r="B247" s="17"/>
      <c r="D247" s="40"/>
      <c r="G247" s="42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2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W247" s="40"/>
      <c r="AX247" s="65"/>
      <c r="AY247" s="65"/>
      <c r="AZ247" s="16"/>
      <c r="BA247" s="16"/>
      <c r="BB247" s="65"/>
      <c r="BC247" s="16"/>
      <c r="BD247" s="16"/>
      <c r="BE247" s="16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17"/>
      <c r="BX247" s="9"/>
      <c r="BY247" s="40"/>
      <c r="BZ247" s="40"/>
      <c r="CA247" s="40"/>
      <c r="CB247" s="40"/>
      <c r="CC247" s="8"/>
    </row>
    <row r="248" ht="18.75" customHeight="1">
      <c r="A248" s="40"/>
      <c r="B248" s="17"/>
      <c r="D248" s="40"/>
      <c r="G248" s="42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2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W248" s="40"/>
      <c r="AX248" s="65"/>
      <c r="AY248" s="65"/>
      <c r="AZ248" s="16"/>
      <c r="BA248" s="16"/>
      <c r="BB248" s="65"/>
      <c r="BC248" s="16"/>
      <c r="BD248" s="16"/>
      <c r="BE248" s="16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17"/>
      <c r="BX248" s="9"/>
      <c r="BY248" s="40"/>
      <c r="BZ248" s="40"/>
      <c r="CA248" s="40"/>
      <c r="CB248" s="40"/>
      <c r="CC248" s="8"/>
    </row>
    <row r="249" ht="18.75" customHeight="1">
      <c r="A249" s="40"/>
      <c r="B249" s="17"/>
      <c r="D249" s="40"/>
      <c r="G249" s="42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2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W249" s="40"/>
      <c r="AX249" s="65"/>
      <c r="AY249" s="65"/>
      <c r="AZ249" s="16"/>
      <c r="BA249" s="16"/>
      <c r="BB249" s="65"/>
      <c r="BC249" s="16"/>
      <c r="BD249" s="16"/>
      <c r="BE249" s="16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17"/>
      <c r="BX249" s="9"/>
      <c r="BY249" s="40"/>
      <c r="BZ249" s="40"/>
      <c r="CA249" s="40"/>
      <c r="CB249" s="40"/>
      <c r="CC249" s="8"/>
    </row>
    <row r="250" ht="18.75" customHeight="1">
      <c r="A250" s="40"/>
      <c r="B250" s="17"/>
      <c r="D250" s="40"/>
      <c r="G250" s="42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2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W250" s="40"/>
      <c r="AX250" s="65"/>
      <c r="AY250" s="65"/>
      <c r="AZ250" s="16"/>
      <c r="BA250" s="16"/>
      <c r="BB250" s="65"/>
      <c r="BC250" s="16"/>
      <c r="BD250" s="16"/>
      <c r="BE250" s="16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17"/>
      <c r="BX250" s="9"/>
      <c r="BY250" s="40"/>
      <c r="BZ250" s="40"/>
      <c r="CA250" s="40"/>
      <c r="CB250" s="40"/>
      <c r="CC250" s="8"/>
    </row>
    <row r="251" ht="18.75" customHeight="1">
      <c r="A251" s="40"/>
      <c r="B251" s="17"/>
      <c r="D251" s="40"/>
      <c r="G251" s="42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2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W251" s="40"/>
      <c r="AX251" s="65"/>
      <c r="AY251" s="65"/>
      <c r="AZ251" s="16"/>
      <c r="BA251" s="16"/>
      <c r="BB251" s="65"/>
      <c r="BC251" s="16"/>
      <c r="BD251" s="16"/>
      <c r="BE251" s="16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17"/>
      <c r="BX251" s="9"/>
      <c r="BY251" s="40"/>
      <c r="BZ251" s="40"/>
      <c r="CA251" s="40"/>
      <c r="CB251" s="40"/>
      <c r="CC251" s="8"/>
    </row>
    <row r="252" ht="18.75" customHeight="1">
      <c r="A252" s="40"/>
      <c r="B252" s="17"/>
      <c r="D252" s="40"/>
      <c r="G252" s="42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2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W252" s="40"/>
      <c r="AX252" s="65"/>
      <c r="AY252" s="65"/>
      <c r="AZ252" s="16"/>
      <c r="BA252" s="16"/>
      <c r="BB252" s="65"/>
      <c r="BC252" s="16"/>
      <c r="BD252" s="16"/>
      <c r="BE252" s="16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17"/>
      <c r="BX252" s="9"/>
      <c r="BY252" s="40"/>
      <c r="BZ252" s="40"/>
      <c r="CA252" s="40"/>
      <c r="CB252" s="40"/>
      <c r="CC252" s="8"/>
    </row>
    <row r="253" ht="18.75" customHeight="1">
      <c r="A253" s="40"/>
      <c r="B253" s="17"/>
      <c r="D253" s="40"/>
      <c r="G253" s="42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2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W253" s="40"/>
      <c r="AX253" s="65"/>
      <c r="AY253" s="65"/>
      <c r="AZ253" s="16"/>
      <c r="BA253" s="16"/>
      <c r="BB253" s="65"/>
      <c r="BC253" s="16"/>
      <c r="BD253" s="16"/>
      <c r="BE253" s="16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17"/>
      <c r="BX253" s="9"/>
      <c r="BY253" s="40"/>
      <c r="BZ253" s="40"/>
      <c r="CA253" s="40"/>
      <c r="CB253" s="40"/>
      <c r="CC253" s="8"/>
    </row>
    <row r="254" ht="18.75" customHeight="1">
      <c r="A254" s="40"/>
      <c r="B254" s="17"/>
      <c r="D254" s="40"/>
      <c r="G254" s="42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2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W254" s="40"/>
      <c r="AX254" s="65"/>
      <c r="AY254" s="65"/>
      <c r="AZ254" s="16"/>
      <c r="BA254" s="16"/>
      <c r="BB254" s="65"/>
      <c r="BC254" s="16"/>
      <c r="BD254" s="16"/>
      <c r="BE254" s="16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17"/>
      <c r="BX254" s="9"/>
      <c r="BY254" s="40"/>
      <c r="BZ254" s="40"/>
      <c r="CA254" s="40"/>
      <c r="CB254" s="40"/>
      <c r="CC254" s="8"/>
    </row>
    <row r="255" ht="18.75" customHeight="1">
      <c r="A255" s="40"/>
      <c r="B255" s="17"/>
      <c r="D255" s="40"/>
      <c r="G255" s="42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2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W255" s="40"/>
      <c r="AX255" s="65"/>
      <c r="AY255" s="65"/>
      <c r="AZ255" s="16"/>
      <c r="BA255" s="16"/>
      <c r="BB255" s="65"/>
      <c r="BC255" s="16"/>
      <c r="BD255" s="16"/>
      <c r="BE255" s="16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17"/>
      <c r="BX255" s="9"/>
      <c r="BY255" s="40"/>
      <c r="BZ255" s="40"/>
      <c r="CA255" s="40"/>
      <c r="CB255" s="40"/>
      <c r="CC255" s="8"/>
    </row>
    <row r="256" ht="18.75" customHeight="1">
      <c r="A256" s="40"/>
      <c r="B256" s="17"/>
      <c r="D256" s="40"/>
      <c r="G256" s="42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2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W256" s="40"/>
      <c r="AX256" s="65"/>
      <c r="AY256" s="65"/>
      <c r="AZ256" s="16"/>
      <c r="BA256" s="16"/>
      <c r="BB256" s="65"/>
      <c r="BC256" s="16"/>
      <c r="BD256" s="16"/>
      <c r="BE256" s="16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17"/>
      <c r="BX256" s="9"/>
      <c r="BY256" s="40"/>
      <c r="BZ256" s="40"/>
      <c r="CA256" s="40"/>
      <c r="CB256" s="40"/>
      <c r="CC256" s="8"/>
    </row>
    <row r="257" ht="18.75" customHeight="1">
      <c r="A257" s="40"/>
      <c r="B257" s="17"/>
      <c r="D257" s="40"/>
      <c r="G257" s="42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2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W257" s="40"/>
      <c r="AX257" s="65"/>
      <c r="AY257" s="65"/>
      <c r="AZ257" s="16"/>
      <c r="BA257" s="16"/>
      <c r="BB257" s="65"/>
      <c r="BC257" s="16"/>
      <c r="BD257" s="16"/>
      <c r="BE257" s="16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17"/>
      <c r="BX257" s="9"/>
      <c r="BY257" s="40"/>
      <c r="BZ257" s="40"/>
      <c r="CA257" s="40"/>
      <c r="CB257" s="40"/>
      <c r="CC257" s="8"/>
    </row>
    <row r="258" ht="18.75" customHeight="1">
      <c r="A258" s="40"/>
      <c r="B258" s="17"/>
      <c r="D258" s="40"/>
      <c r="G258" s="42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2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W258" s="40"/>
      <c r="AX258" s="65"/>
      <c r="AY258" s="65"/>
      <c r="AZ258" s="16"/>
      <c r="BA258" s="16"/>
      <c r="BB258" s="65"/>
      <c r="BC258" s="16"/>
      <c r="BD258" s="16"/>
      <c r="BE258" s="16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17"/>
      <c r="BX258" s="9"/>
      <c r="BY258" s="40"/>
      <c r="BZ258" s="40"/>
      <c r="CA258" s="40"/>
      <c r="CB258" s="40"/>
      <c r="CC258" s="8"/>
    </row>
    <row r="259" ht="18.75" customHeight="1">
      <c r="A259" s="40"/>
      <c r="B259" s="17"/>
      <c r="D259" s="40"/>
      <c r="G259" s="42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2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W259" s="40"/>
      <c r="AX259" s="65"/>
      <c r="AY259" s="65"/>
      <c r="AZ259" s="16"/>
      <c r="BA259" s="16"/>
      <c r="BB259" s="65"/>
      <c r="BC259" s="16"/>
      <c r="BD259" s="16"/>
      <c r="BE259" s="16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17"/>
      <c r="BX259" s="9"/>
      <c r="BY259" s="40"/>
      <c r="BZ259" s="40"/>
      <c r="CA259" s="40"/>
      <c r="CB259" s="40"/>
      <c r="CC259" s="8"/>
    </row>
    <row r="260" ht="18.75" customHeight="1">
      <c r="A260" s="40"/>
      <c r="B260" s="17"/>
      <c r="D260" s="40"/>
      <c r="G260" s="42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2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W260" s="40"/>
      <c r="AX260" s="65"/>
      <c r="AY260" s="65"/>
      <c r="AZ260" s="16"/>
      <c r="BA260" s="16"/>
      <c r="BB260" s="65"/>
      <c r="BC260" s="16"/>
      <c r="BD260" s="16"/>
      <c r="BE260" s="16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17"/>
      <c r="BX260" s="9"/>
      <c r="BY260" s="40"/>
      <c r="BZ260" s="40"/>
      <c r="CA260" s="40"/>
      <c r="CB260" s="40"/>
      <c r="CC260" s="8"/>
    </row>
    <row r="261" ht="18.75" customHeight="1">
      <c r="A261" s="40"/>
      <c r="B261" s="17"/>
      <c r="D261" s="40"/>
      <c r="G261" s="42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2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W261" s="40"/>
      <c r="AX261" s="65"/>
      <c r="AY261" s="65"/>
      <c r="AZ261" s="16"/>
      <c r="BA261" s="16"/>
      <c r="BB261" s="65"/>
      <c r="BC261" s="16"/>
      <c r="BD261" s="16"/>
      <c r="BE261" s="16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17"/>
      <c r="BX261" s="9"/>
      <c r="BY261" s="40"/>
      <c r="BZ261" s="40"/>
      <c r="CA261" s="40"/>
      <c r="CB261" s="40"/>
      <c r="CC261" s="8"/>
    </row>
    <row r="262" ht="18.75" customHeight="1">
      <c r="A262" s="40"/>
      <c r="B262" s="17"/>
      <c r="D262" s="40"/>
      <c r="G262" s="42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2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W262" s="40"/>
      <c r="AX262" s="65"/>
      <c r="AY262" s="65"/>
      <c r="AZ262" s="16"/>
      <c r="BA262" s="16"/>
      <c r="BB262" s="65"/>
      <c r="BC262" s="16"/>
      <c r="BD262" s="16"/>
      <c r="BE262" s="16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17"/>
      <c r="BX262" s="9"/>
      <c r="BY262" s="40"/>
      <c r="BZ262" s="40"/>
      <c r="CA262" s="40"/>
      <c r="CB262" s="40"/>
      <c r="CC262" s="8"/>
    </row>
    <row r="263" ht="18.75" customHeight="1">
      <c r="A263" s="40"/>
      <c r="B263" s="17"/>
      <c r="D263" s="40"/>
      <c r="G263" s="42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2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W263" s="40"/>
      <c r="AX263" s="65"/>
      <c r="AY263" s="65"/>
      <c r="AZ263" s="16"/>
      <c r="BA263" s="16"/>
      <c r="BB263" s="65"/>
      <c r="BC263" s="16"/>
      <c r="BD263" s="16"/>
      <c r="BE263" s="16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17"/>
      <c r="BX263" s="9"/>
      <c r="BY263" s="40"/>
      <c r="BZ263" s="40"/>
      <c r="CA263" s="40"/>
      <c r="CB263" s="40"/>
      <c r="CC263" s="8"/>
    </row>
    <row r="264" ht="18.75" customHeight="1">
      <c r="A264" s="40"/>
      <c r="B264" s="17"/>
      <c r="D264" s="40"/>
      <c r="G264" s="42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2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W264" s="40"/>
      <c r="AX264" s="65"/>
      <c r="AY264" s="65"/>
      <c r="AZ264" s="16"/>
      <c r="BA264" s="16"/>
      <c r="BB264" s="65"/>
      <c r="BC264" s="16"/>
      <c r="BD264" s="16"/>
      <c r="BE264" s="16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17"/>
      <c r="BX264" s="9"/>
      <c r="BY264" s="40"/>
      <c r="BZ264" s="40"/>
      <c r="CA264" s="40"/>
      <c r="CB264" s="40"/>
      <c r="CC264" s="8"/>
    </row>
    <row r="265" ht="18.75" customHeight="1">
      <c r="A265" s="40"/>
      <c r="B265" s="17"/>
      <c r="D265" s="40"/>
      <c r="G265" s="42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2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W265" s="40"/>
      <c r="AX265" s="65"/>
      <c r="AY265" s="65"/>
      <c r="AZ265" s="16"/>
      <c r="BA265" s="16"/>
      <c r="BB265" s="65"/>
      <c r="BC265" s="16"/>
      <c r="BD265" s="16"/>
      <c r="BE265" s="16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17"/>
      <c r="BX265" s="9"/>
      <c r="BY265" s="40"/>
      <c r="BZ265" s="40"/>
      <c r="CA265" s="40"/>
      <c r="CB265" s="40"/>
      <c r="CC265" s="8"/>
    </row>
    <row r="266" ht="18.75" customHeight="1">
      <c r="A266" s="40"/>
      <c r="B266" s="17"/>
      <c r="D266" s="40"/>
      <c r="G266" s="42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2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W266" s="40"/>
      <c r="AX266" s="65"/>
      <c r="AY266" s="65"/>
      <c r="AZ266" s="16"/>
      <c r="BA266" s="16"/>
      <c r="BB266" s="65"/>
      <c r="BC266" s="16"/>
      <c r="BD266" s="16"/>
      <c r="BE266" s="16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17"/>
      <c r="BX266" s="9"/>
      <c r="BY266" s="40"/>
      <c r="BZ266" s="40"/>
      <c r="CA266" s="40"/>
      <c r="CB266" s="40"/>
      <c r="CC266" s="8"/>
    </row>
    <row r="267" ht="18.75" customHeight="1">
      <c r="A267" s="40"/>
      <c r="B267" s="17"/>
      <c r="D267" s="40"/>
      <c r="G267" s="42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2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W267" s="40"/>
      <c r="AX267" s="65"/>
      <c r="AY267" s="65"/>
      <c r="AZ267" s="16"/>
      <c r="BA267" s="16"/>
      <c r="BB267" s="65"/>
      <c r="BC267" s="16"/>
      <c r="BD267" s="16"/>
      <c r="BE267" s="16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17"/>
      <c r="BX267" s="9"/>
      <c r="BY267" s="40"/>
      <c r="BZ267" s="40"/>
      <c r="CA267" s="40"/>
      <c r="CB267" s="40"/>
      <c r="CC267" s="8"/>
    </row>
    <row r="268" ht="18.75" customHeight="1">
      <c r="A268" s="40"/>
      <c r="B268" s="17"/>
      <c r="D268" s="40"/>
      <c r="G268" s="42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2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W268" s="40"/>
      <c r="AX268" s="65"/>
      <c r="AY268" s="65"/>
      <c r="AZ268" s="16"/>
      <c r="BA268" s="16"/>
      <c r="BB268" s="65"/>
      <c r="BC268" s="16"/>
      <c r="BD268" s="16"/>
      <c r="BE268" s="16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17"/>
      <c r="BX268" s="9"/>
      <c r="BY268" s="40"/>
      <c r="BZ268" s="40"/>
      <c r="CA268" s="40"/>
      <c r="CB268" s="40"/>
      <c r="CC268" s="8"/>
    </row>
    <row r="269" ht="18.75" customHeight="1">
      <c r="A269" s="40"/>
      <c r="B269" s="17"/>
      <c r="D269" s="40"/>
      <c r="G269" s="42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2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W269" s="40"/>
      <c r="AX269" s="65"/>
      <c r="AY269" s="65"/>
      <c r="AZ269" s="16"/>
      <c r="BA269" s="16"/>
      <c r="BB269" s="65"/>
      <c r="BC269" s="16"/>
      <c r="BD269" s="16"/>
      <c r="BE269" s="16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17"/>
      <c r="BX269" s="9"/>
      <c r="BY269" s="40"/>
      <c r="BZ269" s="40"/>
      <c r="CA269" s="40"/>
      <c r="CB269" s="40"/>
      <c r="CC269" s="8"/>
    </row>
    <row r="270" ht="18.75" customHeight="1">
      <c r="A270" s="40"/>
      <c r="B270" s="17"/>
      <c r="D270" s="40"/>
      <c r="G270" s="42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2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W270" s="40"/>
      <c r="AX270" s="65"/>
      <c r="AY270" s="65"/>
      <c r="AZ270" s="16"/>
      <c r="BA270" s="16"/>
      <c r="BB270" s="65"/>
      <c r="BC270" s="16"/>
      <c r="BD270" s="16"/>
      <c r="BE270" s="16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17"/>
      <c r="BX270" s="9"/>
      <c r="BY270" s="40"/>
      <c r="BZ270" s="40"/>
      <c r="CA270" s="40"/>
      <c r="CB270" s="40"/>
      <c r="CC270" s="8"/>
    </row>
    <row r="271" ht="18.75" customHeight="1">
      <c r="A271" s="40"/>
      <c r="B271" s="17"/>
      <c r="D271" s="40"/>
      <c r="G271" s="42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2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W271" s="40"/>
      <c r="AX271" s="65"/>
      <c r="AY271" s="65"/>
      <c r="AZ271" s="16"/>
      <c r="BA271" s="16"/>
      <c r="BB271" s="65"/>
      <c r="BC271" s="16"/>
      <c r="BD271" s="16"/>
      <c r="BE271" s="16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17"/>
      <c r="BX271" s="9"/>
      <c r="BY271" s="40"/>
      <c r="BZ271" s="40"/>
      <c r="CA271" s="40"/>
      <c r="CB271" s="40"/>
      <c r="CC271" s="8"/>
    </row>
    <row r="272" ht="18.75" customHeight="1">
      <c r="A272" s="40"/>
      <c r="B272" s="17"/>
      <c r="D272" s="40"/>
      <c r="G272" s="42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2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W272" s="40"/>
      <c r="AX272" s="65"/>
      <c r="AY272" s="65"/>
      <c r="AZ272" s="16"/>
      <c r="BA272" s="16"/>
      <c r="BB272" s="65"/>
      <c r="BC272" s="16"/>
      <c r="BD272" s="16"/>
      <c r="BE272" s="16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17"/>
      <c r="BX272" s="9"/>
      <c r="BY272" s="40"/>
      <c r="BZ272" s="40"/>
      <c r="CA272" s="40"/>
      <c r="CB272" s="40"/>
      <c r="CC272" s="8"/>
    </row>
    <row r="273" ht="18.75" customHeight="1">
      <c r="A273" s="40"/>
      <c r="B273" s="17"/>
      <c r="D273" s="40"/>
      <c r="G273" s="42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2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W273" s="40"/>
      <c r="AX273" s="65"/>
      <c r="AY273" s="65"/>
      <c r="AZ273" s="16"/>
      <c r="BA273" s="16"/>
      <c r="BB273" s="65"/>
      <c r="BC273" s="16"/>
      <c r="BD273" s="16"/>
      <c r="BE273" s="16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17"/>
      <c r="BX273" s="9"/>
      <c r="BY273" s="40"/>
      <c r="BZ273" s="40"/>
      <c r="CA273" s="40"/>
      <c r="CB273" s="40"/>
      <c r="CC273" s="8"/>
    </row>
    <row r="274" ht="18.75" customHeight="1">
      <c r="A274" s="40"/>
      <c r="B274" s="17"/>
      <c r="D274" s="40"/>
      <c r="G274" s="42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2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W274" s="40"/>
      <c r="AX274" s="65"/>
      <c r="AY274" s="65"/>
      <c r="AZ274" s="16"/>
      <c r="BA274" s="16"/>
      <c r="BB274" s="65"/>
      <c r="BC274" s="16"/>
      <c r="BD274" s="16"/>
      <c r="BE274" s="16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17"/>
      <c r="BX274" s="9"/>
      <c r="BY274" s="40"/>
      <c r="BZ274" s="40"/>
      <c r="CA274" s="40"/>
      <c r="CB274" s="40"/>
      <c r="CC274" s="8"/>
    </row>
    <row r="275" ht="18.75" customHeight="1">
      <c r="A275" s="40"/>
      <c r="B275" s="17"/>
      <c r="D275" s="40"/>
      <c r="G275" s="42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2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W275" s="40"/>
      <c r="AX275" s="65"/>
      <c r="AY275" s="65"/>
      <c r="AZ275" s="16"/>
      <c r="BA275" s="16"/>
      <c r="BB275" s="65"/>
      <c r="BC275" s="16"/>
      <c r="BD275" s="16"/>
      <c r="BE275" s="16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17"/>
      <c r="BX275" s="9"/>
      <c r="BY275" s="40"/>
      <c r="BZ275" s="40"/>
      <c r="CA275" s="40"/>
      <c r="CB275" s="40"/>
      <c r="CC275" s="8"/>
    </row>
    <row r="276" ht="18.75" customHeight="1">
      <c r="A276" s="40"/>
      <c r="B276" s="17"/>
      <c r="D276" s="40"/>
      <c r="G276" s="42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2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W276" s="40"/>
      <c r="AX276" s="65"/>
      <c r="AY276" s="65"/>
      <c r="AZ276" s="16"/>
      <c r="BA276" s="16"/>
      <c r="BB276" s="65"/>
      <c r="BC276" s="16"/>
      <c r="BD276" s="16"/>
      <c r="BE276" s="16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17"/>
      <c r="BX276" s="9"/>
      <c r="BY276" s="40"/>
      <c r="BZ276" s="40"/>
      <c r="CA276" s="40"/>
      <c r="CB276" s="40"/>
      <c r="CC276" s="8"/>
    </row>
    <row r="277" ht="18.75" customHeight="1">
      <c r="A277" s="40"/>
      <c r="B277" s="17"/>
      <c r="D277" s="40"/>
      <c r="G277" s="42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2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W277" s="40"/>
      <c r="AX277" s="65"/>
      <c r="AY277" s="65"/>
      <c r="AZ277" s="16"/>
      <c r="BA277" s="16"/>
      <c r="BB277" s="65"/>
      <c r="BC277" s="16"/>
      <c r="BD277" s="16"/>
      <c r="BE277" s="16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17"/>
      <c r="BX277" s="9"/>
      <c r="BY277" s="40"/>
      <c r="BZ277" s="40"/>
      <c r="CA277" s="40"/>
      <c r="CB277" s="40"/>
      <c r="CC277" s="8"/>
    </row>
    <row r="278" ht="18.75" customHeight="1">
      <c r="A278" s="40"/>
      <c r="B278" s="17"/>
      <c r="D278" s="40"/>
      <c r="G278" s="42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2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W278" s="40"/>
      <c r="AX278" s="65"/>
      <c r="AY278" s="65"/>
      <c r="AZ278" s="16"/>
      <c r="BA278" s="16"/>
      <c r="BB278" s="65"/>
      <c r="BC278" s="16"/>
      <c r="BD278" s="16"/>
      <c r="BE278" s="16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17"/>
      <c r="BX278" s="9"/>
      <c r="BY278" s="40"/>
      <c r="BZ278" s="40"/>
      <c r="CA278" s="40"/>
      <c r="CB278" s="40"/>
      <c r="CC278" s="8"/>
    </row>
    <row r="279" ht="18.75" customHeight="1">
      <c r="A279" s="40"/>
      <c r="B279" s="17"/>
      <c r="D279" s="40"/>
      <c r="G279" s="42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2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W279" s="40"/>
      <c r="AX279" s="65"/>
      <c r="AY279" s="65"/>
      <c r="AZ279" s="16"/>
      <c r="BA279" s="16"/>
      <c r="BB279" s="65"/>
      <c r="BC279" s="16"/>
      <c r="BD279" s="16"/>
      <c r="BE279" s="16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17"/>
      <c r="BX279" s="9"/>
      <c r="BY279" s="40"/>
      <c r="BZ279" s="40"/>
      <c r="CA279" s="40"/>
      <c r="CB279" s="40"/>
      <c r="CC279" s="8"/>
    </row>
    <row r="280" ht="18.75" customHeight="1">
      <c r="A280" s="40"/>
      <c r="B280" s="17"/>
      <c r="D280" s="40"/>
      <c r="G280" s="42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2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W280" s="40"/>
      <c r="AX280" s="65"/>
      <c r="AY280" s="65"/>
      <c r="AZ280" s="16"/>
      <c r="BA280" s="16"/>
      <c r="BB280" s="65"/>
      <c r="BC280" s="16"/>
      <c r="BD280" s="16"/>
      <c r="BE280" s="16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17"/>
      <c r="BX280" s="9"/>
      <c r="BY280" s="40"/>
      <c r="BZ280" s="40"/>
      <c r="CA280" s="40"/>
      <c r="CB280" s="40"/>
      <c r="CC280" s="8"/>
    </row>
    <row r="281" ht="18.75" customHeight="1">
      <c r="A281" s="40"/>
      <c r="B281" s="17"/>
      <c r="D281" s="40"/>
      <c r="G281" s="42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2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W281" s="40"/>
      <c r="AX281" s="65"/>
      <c r="AY281" s="65"/>
      <c r="AZ281" s="16"/>
      <c r="BA281" s="16"/>
      <c r="BB281" s="65"/>
      <c r="BC281" s="16"/>
      <c r="BD281" s="16"/>
      <c r="BE281" s="16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17"/>
      <c r="BX281" s="9"/>
      <c r="BY281" s="40"/>
      <c r="BZ281" s="40"/>
      <c r="CA281" s="40"/>
      <c r="CB281" s="40"/>
      <c r="CC281" s="8"/>
    </row>
    <row r="282" ht="18.75" customHeight="1">
      <c r="A282" s="40"/>
      <c r="B282" s="17"/>
      <c r="D282" s="40"/>
      <c r="G282" s="42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2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W282" s="40"/>
      <c r="AX282" s="65"/>
      <c r="AY282" s="65"/>
      <c r="AZ282" s="16"/>
      <c r="BA282" s="16"/>
      <c r="BB282" s="65"/>
      <c r="BC282" s="16"/>
      <c r="BD282" s="16"/>
      <c r="BE282" s="16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17"/>
      <c r="BX282" s="9"/>
      <c r="BY282" s="40"/>
      <c r="BZ282" s="40"/>
      <c r="CA282" s="40"/>
      <c r="CB282" s="40"/>
      <c r="CC282" s="8"/>
    </row>
    <row r="283" ht="18.75" customHeight="1">
      <c r="A283" s="40"/>
      <c r="B283" s="17"/>
      <c r="D283" s="40"/>
      <c r="G283" s="42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2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W283" s="40"/>
      <c r="AX283" s="65"/>
      <c r="AY283" s="65"/>
      <c r="AZ283" s="16"/>
      <c r="BA283" s="16"/>
      <c r="BB283" s="65"/>
      <c r="BC283" s="16"/>
      <c r="BD283" s="16"/>
      <c r="BE283" s="16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17"/>
      <c r="BX283" s="9"/>
      <c r="BY283" s="40"/>
      <c r="BZ283" s="40"/>
      <c r="CA283" s="40"/>
      <c r="CB283" s="40"/>
      <c r="CC283" s="8"/>
    </row>
    <row r="284" ht="18.75" customHeight="1">
      <c r="A284" s="40"/>
      <c r="B284" s="17"/>
      <c r="D284" s="40"/>
      <c r="G284" s="42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2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W284" s="40"/>
      <c r="AX284" s="65"/>
      <c r="AY284" s="65"/>
      <c r="AZ284" s="16"/>
      <c r="BA284" s="16"/>
      <c r="BB284" s="65"/>
      <c r="BC284" s="16"/>
      <c r="BD284" s="16"/>
      <c r="BE284" s="16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17"/>
      <c r="BX284" s="9"/>
      <c r="BY284" s="40"/>
      <c r="BZ284" s="40"/>
      <c r="CA284" s="40"/>
      <c r="CB284" s="40"/>
      <c r="CC284" s="8"/>
    </row>
    <row r="285" ht="18.75" customHeight="1">
      <c r="A285" s="40"/>
      <c r="B285" s="17"/>
      <c r="D285" s="40"/>
      <c r="G285" s="42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2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W285" s="40"/>
      <c r="AX285" s="65"/>
      <c r="AY285" s="65"/>
      <c r="AZ285" s="16"/>
      <c r="BA285" s="16"/>
      <c r="BB285" s="65"/>
      <c r="BC285" s="16"/>
      <c r="BD285" s="16"/>
      <c r="BE285" s="16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17"/>
      <c r="BX285" s="9"/>
      <c r="BY285" s="40"/>
      <c r="BZ285" s="40"/>
      <c r="CA285" s="40"/>
      <c r="CB285" s="40"/>
      <c r="CC285" s="8"/>
    </row>
    <row r="286" ht="18.75" customHeight="1">
      <c r="A286" s="40"/>
      <c r="B286" s="17"/>
      <c r="D286" s="40"/>
      <c r="G286" s="42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2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W286" s="40"/>
      <c r="AX286" s="65"/>
      <c r="AY286" s="65"/>
      <c r="AZ286" s="16"/>
      <c r="BA286" s="16"/>
      <c r="BB286" s="65"/>
      <c r="BC286" s="16"/>
      <c r="BD286" s="16"/>
      <c r="BE286" s="16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17"/>
      <c r="BX286" s="9"/>
      <c r="BY286" s="40"/>
      <c r="BZ286" s="40"/>
      <c r="CA286" s="40"/>
      <c r="CB286" s="40"/>
      <c r="CC286" s="8"/>
    </row>
    <row r="287" ht="18.75" customHeight="1">
      <c r="A287" s="40"/>
      <c r="B287" s="17"/>
      <c r="D287" s="40"/>
      <c r="G287" s="42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2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W287" s="40"/>
      <c r="AX287" s="65"/>
      <c r="AY287" s="65"/>
      <c r="AZ287" s="16"/>
      <c r="BA287" s="16"/>
      <c r="BB287" s="65"/>
      <c r="BC287" s="16"/>
      <c r="BD287" s="16"/>
      <c r="BE287" s="16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17"/>
      <c r="BX287" s="9"/>
      <c r="BY287" s="40"/>
      <c r="BZ287" s="40"/>
      <c r="CA287" s="40"/>
      <c r="CB287" s="40"/>
      <c r="CC287" s="8"/>
    </row>
    <row r="288" ht="18.75" customHeight="1">
      <c r="A288" s="40"/>
      <c r="B288" s="17"/>
      <c r="D288" s="40"/>
      <c r="G288" s="42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2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W288" s="40"/>
      <c r="AX288" s="65"/>
      <c r="AY288" s="65"/>
      <c r="AZ288" s="16"/>
      <c r="BA288" s="16"/>
      <c r="BB288" s="65"/>
      <c r="BC288" s="16"/>
      <c r="BD288" s="16"/>
      <c r="BE288" s="16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17"/>
      <c r="BX288" s="9"/>
      <c r="BY288" s="40"/>
      <c r="BZ288" s="40"/>
      <c r="CA288" s="40"/>
      <c r="CB288" s="40"/>
      <c r="CC288" s="8"/>
    </row>
    <row r="289" ht="18.75" customHeight="1">
      <c r="A289" s="40"/>
      <c r="B289" s="17"/>
      <c r="D289" s="40"/>
      <c r="G289" s="42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2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W289" s="40"/>
      <c r="AX289" s="65"/>
      <c r="AY289" s="65"/>
      <c r="AZ289" s="16"/>
      <c r="BA289" s="16"/>
      <c r="BB289" s="65"/>
      <c r="BC289" s="16"/>
      <c r="BD289" s="16"/>
      <c r="BE289" s="16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17"/>
      <c r="BX289" s="9"/>
      <c r="BY289" s="40"/>
      <c r="BZ289" s="40"/>
      <c r="CA289" s="40"/>
      <c r="CB289" s="40"/>
      <c r="CC289" s="8"/>
    </row>
    <row r="290" ht="18.75" customHeight="1">
      <c r="A290" s="40"/>
      <c r="B290" s="17"/>
      <c r="D290" s="40"/>
      <c r="G290" s="42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2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W290" s="40"/>
      <c r="AX290" s="65"/>
      <c r="AY290" s="65"/>
      <c r="AZ290" s="16"/>
      <c r="BA290" s="16"/>
      <c r="BB290" s="65"/>
      <c r="BC290" s="16"/>
      <c r="BD290" s="16"/>
      <c r="BE290" s="16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17"/>
      <c r="BX290" s="9"/>
      <c r="BY290" s="40"/>
      <c r="BZ290" s="40"/>
      <c r="CA290" s="40"/>
      <c r="CB290" s="40"/>
      <c r="CC290" s="8"/>
    </row>
    <row r="291" ht="18.75" customHeight="1">
      <c r="A291" s="40"/>
      <c r="B291" s="17"/>
      <c r="D291" s="40"/>
      <c r="G291" s="42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2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W291" s="40"/>
      <c r="AX291" s="65"/>
      <c r="AY291" s="65"/>
      <c r="AZ291" s="16"/>
      <c r="BA291" s="16"/>
      <c r="BB291" s="65"/>
      <c r="BC291" s="16"/>
      <c r="BD291" s="16"/>
      <c r="BE291" s="16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17"/>
      <c r="BX291" s="9"/>
      <c r="BY291" s="40"/>
      <c r="BZ291" s="40"/>
      <c r="CA291" s="40"/>
      <c r="CB291" s="40"/>
      <c r="CC291" s="8"/>
    </row>
    <row r="292" ht="18.75" customHeight="1">
      <c r="A292" s="40"/>
      <c r="B292" s="17"/>
      <c r="D292" s="40"/>
      <c r="G292" s="42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2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W292" s="40"/>
      <c r="AX292" s="65"/>
      <c r="AY292" s="65"/>
      <c r="AZ292" s="16"/>
      <c r="BA292" s="16"/>
      <c r="BB292" s="65"/>
      <c r="BC292" s="16"/>
      <c r="BD292" s="16"/>
      <c r="BE292" s="16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17"/>
      <c r="BX292" s="9"/>
      <c r="BY292" s="40"/>
      <c r="BZ292" s="40"/>
      <c r="CA292" s="40"/>
      <c r="CB292" s="40"/>
      <c r="CC292" s="8"/>
    </row>
    <row r="293" ht="18.75" customHeight="1">
      <c r="A293" s="40"/>
      <c r="B293" s="17"/>
      <c r="D293" s="40"/>
      <c r="G293" s="42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2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W293" s="40"/>
      <c r="AX293" s="65"/>
      <c r="AY293" s="65"/>
      <c r="AZ293" s="16"/>
      <c r="BA293" s="16"/>
      <c r="BB293" s="65"/>
      <c r="BC293" s="16"/>
      <c r="BD293" s="16"/>
      <c r="BE293" s="16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17"/>
      <c r="BX293" s="9"/>
      <c r="BY293" s="40"/>
      <c r="BZ293" s="40"/>
      <c r="CA293" s="40"/>
      <c r="CB293" s="40"/>
      <c r="CC293" s="8"/>
    </row>
    <row r="294" ht="18.75" customHeight="1">
      <c r="A294" s="40"/>
      <c r="B294" s="17"/>
      <c r="D294" s="40"/>
      <c r="G294" s="42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2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W294" s="40"/>
      <c r="AX294" s="65"/>
      <c r="AY294" s="65"/>
      <c r="AZ294" s="16"/>
      <c r="BA294" s="16"/>
      <c r="BB294" s="65"/>
      <c r="BC294" s="16"/>
      <c r="BD294" s="16"/>
      <c r="BE294" s="16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17"/>
      <c r="BX294" s="9"/>
      <c r="BY294" s="40"/>
      <c r="BZ294" s="40"/>
      <c r="CA294" s="40"/>
      <c r="CB294" s="40"/>
      <c r="CC294" s="8"/>
    </row>
    <row r="295" ht="18.75" customHeight="1">
      <c r="A295" s="40"/>
      <c r="B295" s="17"/>
      <c r="D295" s="40"/>
      <c r="G295" s="42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2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W295" s="40"/>
      <c r="AX295" s="65"/>
      <c r="AY295" s="65"/>
      <c r="AZ295" s="16"/>
      <c r="BA295" s="16"/>
      <c r="BB295" s="65"/>
      <c r="BC295" s="16"/>
      <c r="BD295" s="16"/>
      <c r="BE295" s="16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17"/>
      <c r="BX295" s="9"/>
      <c r="BY295" s="40"/>
      <c r="BZ295" s="40"/>
      <c r="CA295" s="40"/>
      <c r="CB295" s="40"/>
      <c r="CC295" s="8"/>
    </row>
    <row r="296" ht="18.75" customHeight="1">
      <c r="A296" s="40"/>
      <c r="B296" s="17"/>
      <c r="D296" s="40"/>
      <c r="G296" s="42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2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W296" s="40"/>
      <c r="AX296" s="65"/>
      <c r="AY296" s="65"/>
      <c r="AZ296" s="16"/>
      <c r="BA296" s="16"/>
      <c r="BB296" s="65"/>
      <c r="BC296" s="16"/>
      <c r="BD296" s="16"/>
      <c r="BE296" s="16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17"/>
      <c r="BX296" s="9"/>
      <c r="BY296" s="40"/>
      <c r="BZ296" s="40"/>
      <c r="CA296" s="40"/>
      <c r="CB296" s="40"/>
      <c r="CC296" s="8"/>
    </row>
    <row r="297" ht="18.75" customHeight="1">
      <c r="A297" s="40"/>
      <c r="B297" s="17"/>
      <c r="D297" s="40"/>
      <c r="G297" s="42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2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W297" s="40"/>
      <c r="AX297" s="65"/>
      <c r="AY297" s="65"/>
      <c r="AZ297" s="16"/>
      <c r="BA297" s="16"/>
      <c r="BB297" s="65"/>
      <c r="BC297" s="16"/>
      <c r="BD297" s="16"/>
      <c r="BE297" s="16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17"/>
      <c r="BX297" s="9"/>
      <c r="BY297" s="40"/>
      <c r="BZ297" s="40"/>
      <c r="CA297" s="40"/>
      <c r="CB297" s="40"/>
      <c r="CC297" s="8"/>
    </row>
    <row r="298" ht="18.75" customHeight="1">
      <c r="A298" s="40"/>
      <c r="B298" s="17"/>
      <c r="D298" s="40"/>
      <c r="G298" s="42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2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W298" s="40"/>
      <c r="AX298" s="65"/>
      <c r="AY298" s="65"/>
      <c r="AZ298" s="16"/>
      <c r="BA298" s="16"/>
      <c r="BB298" s="65"/>
      <c r="BC298" s="16"/>
      <c r="BD298" s="16"/>
      <c r="BE298" s="16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17"/>
      <c r="BX298" s="9"/>
      <c r="BY298" s="40"/>
      <c r="BZ298" s="40"/>
      <c r="CA298" s="40"/>
      <c r="CB298" s="40"/>
      <c r="CC298" s="8"/>
    </row>
    <row r="299" ht="18.75" customHeight="1">
      <c r="A299" s="40"/>
      <c r="B299" s="17"/>
      <c r="D299" s="40"/>
      <c r="G299" s="42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2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W299" s="40"/>
      <c r="AX299" s="65"/>
      <c r="AY299" s="65"/>
      <c r="AZ299" s="16"/>
      <c r="BA299" s="16"/>
      <c r="BB299" s="65"/>
      <c r="BC299" s="16"/>
      <c r="BD299" s="16"/>
      <c r="BE299" s="16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17"/>
      <c r="BX299" s="9"/>
      <c r="BY299" s="40"/>
      <c r="BZ299" s="40"/>
      <c r="CA299" s="40"/>
      <c r="CB299" s="40"/>
      <c r="CC299" s="8"/>
    </row>
    <row r="300" ht="18.75" customHeight="1">
      <c r="A300" s="40"/>
      <c r="B300" s="17"/>
      <c r="D300" s="40"/>
      <c r="G300" s="42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2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W300" s="40"/>
      <c r="AX300" s="65"/>
      <c r="AY300" s="65"/>
      <c r="AZ300" s="16"/>
      <c r="BA300" s="16"/>
      <c r="BB300" s="65"/>
      <c r="BC300" s="16"/>
      <c r="BD300" s="16"/>
      <c r="BE300" s="16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17"/>
      <c r="BX300" s="9"/>
      <c r="BY300" s="40"/>
      <c r="BZ300" s="40"/>
      <c r="CA300" s="40"/>
      <c r="CB300" s="40"/>
      <c r="CC300" s="8"/>
    </row>
    <row r="301" ht="18.75" customHeight="1">
      <c r="A301" s="40"/>
      <c r="B301" s="17"/>
      <c r="D301" s="40"/>
      <c r="G301" s="42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2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W301" s="40"/>
      <c r="AX301" s="65"/>
      <c r="AY301" s="65"/>
      <c r="AZ301" s="16"/>
      <c r="BA301" s="16"/>
      <c r="BB301" s="65"/>
      <c r="BC301" s="16"/>
      <c r="BD301" s="16"/>
      <c r="BE301" s="16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17"/>
      <c r="BX301" s="9"/>
      <c r="BY301" s="40"/>
      <c r="BZ301" s="40"/>
      <c r="CA301" s="40"/>
      <c r="CB301" s="40"/>
      <c r="CC301" s="8"/>
    </row>
    <row r="302" ht="18.75" customHeight="1">
      <c r="A302" s="40"/>
      <c r="B302" s="17"/>
      <c r="D302" s="40"/>
      <c r="G302" s="42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2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W302" s="40"/>
      <c r="AX302" s="65"/>
      <c r="AY302" s="65"/>
      <c r="AZ302" s="16"/>
      <c r="BA302" s="16"/>
      <c r="BB302" s="65"/>
      <c r="BC302" s="16"/>
      <c r="BD302" s="16"/>
      <c r="BE302" s="16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17"/>
      <c r="BX302" s="9"/>
      <c r="BY302" s="40"/>
      <c r="BZ302" s="40"/>
      <c r="CA302" s="40"/>
      <c r="CB302" s="40"/>
      <c r="CC302" s="8"/>
    </row>
    <row r="303" ht="18.75" customHeight="1">
      <c r="A303" s="40"/>
      <c r="B303" s="17"/>
      <c r="D303" s="40"/>
      <c r="G303" s="42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2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W303" s="40"/>
      <c r="AX303" s="65"/>
      <c r="AY303" s="65"/>
      <c r="AZ303" s="16"/>
      <c r="BA303" s="16"/>
      <c r="BB303" s="65"/>
      <c r="BC303" s="16"/>
      <c r="BD303" s="16"/>
      <c r="BE303" s="16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17"/>
      <c r="BX303" s="9"/>
      <c r="BY303" s="40"/>
      <c r="BZ303" s="40"/>
      <c r="CA303" s="40"/>
      <c r="CB303" s="40"/>
      <c r="CC303" s="8"/>
    </row>
    <row r="304" ht="18.75" customHeight="1">
      <c r="A304" s="40"/>
      <c r="B304" s="17"/>
      <c r="D304" s="40"/>
      <c r="G304" s="42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2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W304" s="40"/>
      <c r="AX304" s="65"/>
      <c r="AY304" s="65"/>
      <c r="AZ304" s="16"/>
      <c r="BA304" s="16"/>
      <c r="BB304" s="65"/>
      <c r="BC304" s="16"/>
      <c r="BD304" s="16"/>
      <c r="BE304" s="16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17"/>
      <c r="BX304" s="9"/>
      <c r="BY304" s="40"/>
      <c r="BZ304" s="40"/>
      <c r="CA304" s="40"/>
      <c r="CB304" s="40"/>
      <c r="CC304" s="8"/>
    </row>
    <row r="305" ht="18.75" customHeight="1">
      <c r="A305" s="40"/>
      <c r="B305" s="17"/>
      <c r="D305" s="40"/>
      <c r="G305" s="42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2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W305" s="40"/>
      <c r="AX305" s="65"/>
      <c r="AY305" s="65"/>
      <c r="AZ305" s="16"/>
      <c r="BA305" s="16"/>
      <c r="BB305" s="65"/>
      <c r="BC305" s="16"/>
      <c r="BD305" s="16"/>
      <c r="BE305" s="16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17"/>
      <c r="BX305" s="9"/>
      <c r="BY305" s="40"/>
      <c r="BZ305" s="40"/>
      <c r="CA305" s="40"/>
      <c r="CB305" s="40"/>
      <c r="CC305" s="8"/>
    </row>
    <row r="306" ht="18.75" customHeight="1">
      <c r="A306" s="40"/>
      <c r="B306" s="17"/>
      <c r="D306" s="40"/>
      <c r="G306" s="42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2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W306" s="40"/>
      <c r="AX306" s="65"/>
      <c r="AY306" s="65"/>
      <c r="AZ306" s="16"/>
      <c r="BA306" s="16"/>
      <c r="BB306" s="65"/>
      <c r="BC306" s="16"/>
      <c r="BD306" s="16"/>
      <c r="BE306" s="16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17"/>
      <c r="BX306" s="9"/>
      <c r="BY306" s="40"/>
      <c r="BZ306" s="40"/>
      <c r="CA306" s="40"/>
      <c r="CB306" s="40"/>
      <c r="CC306" s="8"/>
    </row>
    <row r="307" ht="18.75" customHeight="1">
      <c r="A307" s="40"/>
      <c r="B307" s="17"/>
      <c r="D307" s="40"/>
      <c r="G307" s="42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2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W307" s="40"/>
      <c r="AX307" s="65"/>
      <c r="AY307" s="65"/>
      <c r="AZ307" s="16"/>
      <c r="BA307" s="16"/>
      <c r="BB307" s="65"/>
      <c r="BC307" s="16"/>
      <c r="BD307" s="16"/>
      <c r="BE307" s="16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17"/>
      <c r="BX307" s="9"/>
      <c r="BY307" s="40"/>
      <c r="BZ307" s="40"/>
      <c r="CA307" s="40"/>
      <c r="CB307" s="40"/>
      <c r="CC307" s="8"/>
    </row>
    <row r="308" ht="18.75" customHeight="1">
      <c r="A308" s="40"/>
      <c r="B308" s="17"/>
      <c r="D308" s="40"/>
      <c r="G308" s="42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2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W308" s="40"/>
      <c r="AX308" s="65"/>
      <c r="AY308" s="65"/>
      <c r="AZ308" s="16"/>
      <c r="BA308" s="16"/>
      <c r="BB308" s="65"/>
      <c r="BC308" s="16"/>
      <c r="BD308" s="16"/>
      <c r="BE308" s="16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17"/>
      <c r="BX308" s="9"/>
      <c r="BY308" s="40"/>
      <c r="BZ308" s="40"/>
      <c r="CA308" s="40"/>
      <c r="CB308" s="40"/>
      <c r="CC308" s="8"/>
    </row>
    <row r="309" ht="18.75" customHeight="1">
      <c r="A309" s="40"/>
      <c r="B309" s="17"/>
      <c r="D309" s="40"/>
      <c r="G309" s="42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2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W309" s="40"/>
      <c r="AX309" s="65"/>
      <c r="AY309" s="65"/>
      <c r="AZ309" s="16"/>
      <c r="BA309" s="16"/>
      <c r="BB309" s="65"/>
      <c r="BC309" s="16"/>
      <c r="BD309" s="16"/>
      <c r="BE309" s="16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17"/>
      <c r="BX309" s="9"/>
      <c r="BY309" s="40"/>
      <c r="BZ309" s="40"/>
      <c r="CA309" s="40"/>
      <c r="CB309" s="40"/>
      <c r="CC309" s="8"/>
    </row>
    <row r="310" ht="18.75" customHeight="1">
      <c r="A310" s="40"/>
      <c r="B310" s="17"/>
      <c r="D310" s="40"/>
      <c r="G310" s="42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2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W310" s="40"/>
      <c r="AX310" s="65"/>
      <c r="AY310" s="65"/>
      <c r="AZ310" s="16"/>
      <c r="BA310" s="16"/>
      <c r="BB310" s="65"/>
      <c r="BC310" s="16"/>
      <c r="BD310" s="16"/>
      <c r="BE310" s="16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17"/>
      <c r="BX310" s="9"/>
      <c r="BY310" s="40"/>
      <c r="BZ310" s="40"/>
      <c r="CA310" s="40"/>
      <c r="CB310" s="40"/>
      <c r="CC310" s="8"/>
    </row>
    <row r="311" ht="18.75" customHeight="1">
      <c r="A311" s="40"/>
      <c r="B311" s="17"/>
      <c r="D311" s="40"/>
      <c r="G311" s="42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2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W311" s="40"/>
      <c r="AX311" s="65"/>
      <c r="AY311" s="65"/>
      <c r="AZ311" s="16"/>
      <c r="BA311" s="16"/>
      <c r="BB311" s="65"/>
      <c r="BC311" s="16"/>
      <c r="BD311" s="16"/>
      <c r="BE311" s="16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17"/>
      <c r="BX311" s="9"/>
      <c r="BY311" s="40"/>
      <c r="BZ311" s="40"/>
      <c r="CA311" s="40"/>
      <c r="CB311" s="40"/>
      <c r="CC311" s="8"/>
    </row>
    <row r="312" ht="18.75" customHeight="1">
      <c r="A312" s="40"/>
      <c r="B312" s="17"/>
      <c r="D312" s="40"/>
      <c r="G312" s="42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2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W312" s="40"/>
      <c r="AX312" s="65"/>
      <c r="AY312" s="65"/>
      <c r="AZ312" s="16"/>
      <c r="BA312" s="16"/>
      <c r="BB312" s="65"/>
      <c r="BC312" s="16"/>
      <c r="BD312" s="16"/>
      <c r="BE312" s="16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17"/>
      <c r="BX312" s="9"/>
      <c r="BY312" s="40"/>
      <c r="BZ312" s="40"/>
      <c r="CA312" s="40"/>
      <c r="CB312" s="40"/>
      <c r="CC312" s="8"/>
    </row>
    <row r="313" ht="18.75" customHeight="1">
      <c r="A313" s="40"/>
      <c r="B313" s="17"/>
      <c r="D313" s="40"/>
      <c r="G313" s="42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2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W313" s="40"/>
      <c r="AX313" s="65"/>
      <c r="AY313" s="65"/>
      <c r="AZ313" s="16"/>
      <c r="BA313" s="16"/>
      <c r="BB313" s="65"/>
      <c r="BC313" s="16"/>
      <c r="BD313" s="16"/>
      <c r="BE313" s="16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17"/>
      <c r="BX313" s="9"/>
      <c r="BY313" s="40"/>
      <c r="BZ313" s="40"/>
      <c r="CA313" s="40"/>
      <c r="CB313" s="40"/>
      <c r="CC313" s="8"/>
    </row>
    <row r="314" ht="18.75" customHeight="1">
      <c r="A314" s="40"/>
      <c r="B314" s="17"/>
      <c r="D314" s="40"/>
      <c r="G314" s="42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2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W314" s="40"/>
      <c r="AX314" s="65"/>
      <c r="AY314" s="65"/>
      <c r="AZ314" s="16"/>
      <c r="BA314" s="16"/>
      <c r="BB314" s="65"/>
      <c r="BC314" s="16"/>
      <c r="BD314" s="16"/>
      <c r="BE314" s="16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17"/>
      <c r="BX314" s="9"/>
      <c r="BY314" s="40"/>
      <c r="BZ314" s="40"/>
      <c r="CA314" s="40"/>
      <c r="CB314" s="40"/>
      <c r="CC314" s="8"/>
    </row>
    <row r="315" ht="18.75" customHeight="1">
      <c r="A315" s="40"/>
      <c r="B315" s="17"/>
      <c r="D315" s="40"/>
      <c r="G315" s="42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2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W315" s="40"/>
      <c r="AX315" s="65"/>
      <c r="AY315" s="65"/>
      <c r="AZ315" s="16"/>
      <c r="BA315" s="16"/>
      <c r="BB315" s="65"/>
      <c r="BC315" s="16"/>
      <c r="BD315" s="16"/>
      <c r="BE315" s="16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17"/>
      <c r="BX315" s="9"/>
      <c r="BY315" s="40"/>
      <c r="BZ315" s="40"/>
      <c r="CA315" s="40"/>
      <c r="CB315" s="40"/>
      <c r="CC315" s="8"/>
    </row>
    <row r="316" ht="18.75" customHeight="1">
      <c r="A316" s="40"/>
      <c r="B316" s="17"/>
      <c r="D316" s="40"/>
      <c r="G316" s="42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2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W316" s="40"/>
      <c r="AX316" s="65"/>
      <c r="AY316" s="65"/>
      <c r="AZ316" s="16"/>
      <c r="BA316" s="16"/>
      <c r="BB316" s="65"/>
      <c r="BC316" s="16"/>
      <c r="BD316" s="16"/>
      <c r="BE316" s="16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17"/>
      <c r="BX316" s="9"/>
      <c r="BY316" s="40"/>
      <c r="BZ316" s="40"/>
      <c r="CA316" s="40"/>
      <c r="CB316" s="40"/>
      <c r="CC316" s="8"/>
    </row>
    <row r="317" ht="18.75" customHeight="1">
      <c r="A317" s="40"/>
      <c r="B317" s="17"/>
      <c r="D317" s="40"/>
      <c r="G317" s="42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2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W317" s="40"/>
      <c r="AX317" s="65"/>
      <c r="AY317" s="65"/>
      <c r="AZ317" s="16"/>
      <c r="BA317" s="16"/>
      <c r="BB317" s="65"/>
      <c r="BC317" s="16"/>
      <c r="BD317" s="16"/>
      <c r="BE317" s="16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17"/>
      <c r="BX317" s="9"/>
      <c r="BY317" s="40"/>
      <c r="BZ317" s="40"/>
      <c r="CA317" s="40"/>
      <c r="CB317" s="40"/>
      <c r="CC317" s="8"/>
    </row>
    <row r="318" ht="18.75" customHeight="1">
      <c r="A318" s="40"/>
      <c r="B318" s="17"/>
      <c r="D318" s="40"/>
      <c r="G318" s="42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2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W318" s="40"/>
      <c r="AX318" s="65"/>
      <c r="AY318" s="65"/>
      <c r="AZ318" s="16"/>
      <c r="BA318" s="16"/>
      <c r="BB318" s="65"/>
      <c r="BC318" s="16"/>
      <c r="BD318" s="16"/>
      <c r="BE318" s="16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17"/>
      <c r="BX318" s="9"/>
      <c r="BY318" s="40"/>
      <c r="BZ318" s="40"/>
      <c r="CA318" s="40"/>
      <c r="CB318" s="40"/>
      <c r="CC318" s="8"/>
    </row>
    <row r="319" ht="18.75" customHeight="1">
      <c r="A319" s="40"/>
      <c r="B319" s="17"/>
      <c r="D319" s="40"/>
      <c r="G319" s="42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2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W319" s="40"/>
      <c r="AX319" s="65"/>
      <c r="AY319" s="65"/>
      <c r="AZ319" s="16"/>
      <c r="BA319" s="16"/>
      <c r="BB319" s="65"/>
      <c r="BC319" s="16"/>
      <c r="BD319" s="16"/>
      <c r="BE319" s="16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17"/>
      <c r="BX319" s="9"/>
      <c r="BY319" s="40"/>
      <c r="BZ319" s="40"/>
      <c r="CA319" s="40"/>
      <c r="CB319" s="40"/>
      <c r="CC319" s="8"/>
    </row>
    <row r="320" ht="18.75" customHeight="1">
      <c r="A320" s="40"/>
      <c r="B320" s="17"/>
      <c r="D320" s="40"/>
      <c r="G320" s="42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2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W320" s="40"/>
      <c r="AX320" s="65"/>
      <c r="AY320" s="65"/>
      <c r="AZ320" s="16"/>
      <c r="BA320" s="16"/>
      <c r="BB320" s="65"/>
      <c r="BC320" s="16"/>
      <c r="BD320" s="16"/>
      <c r="BE320" s="16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17"/>
      <c r="BX320" s="9"/>
      <c r="BY320" s="40"/>
      <c r="BZ320" s="40"/>
      <c r="CA320" s="40"/>
      <c r="CB320" s="40"/>
      <c r="CC320" s="8"/>
    </row>
    <row r="321" ht="18.75" customHeight="1">
      <c r="A321" s="40"/>
      <c r="B321" s="17"/>
      <c r="D321" s="40"/>
      <c r="G321" s="42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2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W321" s="40"/>
      <c r="AX321" s="65"/>
      <c r="AY321" s="65"/>
      <c r="AZ321" s="16"/>
      <c r="BA321" s="16"/>
      <c r="BB321" s="65"/>
      <c r="BC321" s="16"/>
      <c r="BD321" s="16"/>
      <c r="BE321" s="16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17"/>
      <c r="BX321" s="9"/>
      <c r="BY321" s="40"/>
      <c r="BZ321" s="40"/>
      <c r="CA321" s="40"/>
      <c r="CB321" s="40"/>
      <c r="CC321" s="8"/>
    </row>
    <row r="322" ht="18.75" customHeight="1">
      <c r="A322" s="40"/>
      <c r="B322" s="17"/>
      <c r="D322" s="40"/>
      <c r="G322" s="42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2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W322" s="40"/>
      <c r="AX322" s="65"/>
      <c r="AY322" s="65"/>
      <c r="AZ322" s="16"/>
      <c r="BA322" s="16"/>
      <c r="BB322" s="65"/>
      <c r="BC322" s="16"/>
      <c r="BD322" s="16"/>
      <c r="BE322" s="16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17"/>
      <c r="BX322" s="9"/>
      <c r="BY322" s="40"/>
      <c r="BZ322" s="40"/>
      <c r="CA322" s="40"/>
      <c r="CB322" s="40"/>
      <c r="CC322" s="8"/>
    </row>
    <row r="323" ht="18.75" customHeight="1">
      <c r="A323" s="40"/>
      <c r="B323" s="17"/>
      <c r="D323" s="40"/>
      <c r="G323" s="42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2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W323" s="40"/>
      <c r="AX323" s="65"/>
      <c r="AY323" s="65"/>
      <c r="AZ323" s="16"/>
      <c r="BA323" s="16"/>
      <c r="BB323" s="65"/>
      <c r="BC323" s="16"/>
      <c r="BD323" s="16"/>
      <c r="BE323" s="16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17"/>
      <c r="BX323" s="9"/>
      <c r="BY323" s="40"/>
      <c r="BZ323" s="40"/>
      <c r="CA323" s="40"/>
      <c r="CB323" s="40"/>
      <c r="CC323" s="8"/>
    </row>
    <row r="324" ht="18.75" customHeight="1">
      <c r="A324" s="40"/>
      <c r="B324" s="17"/>
      <c r="D324" s="40"/>
      <c r="G324" s="42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2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W324" s="40"/>
      <c r="AX324" s="65"/>
      <c r="AY324" s="65"/>
      <c r="AZ324" s="16"/>
      <c r="BA324" s="16"/>
      <c r="BB324" s="65"/>
      <c r="BC324" s="16"/>
      <c r="BD324" s="16"/>
      <c r="BE324" s="16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17"/>
      <c r="BX324" s="9"/>
      <c r="BY324" s="40"/>
      <c r="BZ324" s="40"/>
      <c r="CA324" s="40"/>
      <c r="CB324" s="40"/>
      <c r="CC324" s="8"/>
    </row>
    <row r="325" ht="18.75" customHeight="1">
      <c r="A325" s="40"/>
      <c r="B325" s="17"/>
      <c r="D325" s="40"/>
      <c r="G325" s="42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2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W325" s="40"/>
      <c r="AX325" s="65"/>
      <c r="AY325" s="65"/>
      <c r="AZ325" s="16"/>
      <c r="BA325" s="16"/>
      <c r="BB325" s="65"/>
      <c r="BC325" s="16"/>
      <c r="BD325" s="16"/>
      <c r="BE325" s="16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17"/>
      <c r="BX325" s="9"/>
      <c r="BY325" s="40"/>
      <c r="BZ325" s="40"/>
      <c r="CA325" s="40"/>
      <c r="CB325" s="40"/>
      <c r="CC325" s="8"/>
    </row>
    <row r="326" ht="18.75" customHeight="1">
      <c r="A326" s="40"/>
      <c r="B326" s="17"/>
      <c r="D326" s="40"/>
      <c r="G326" s="42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2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W326" s="40"/>
      <c r="AX326" s="65"/>
      <c r="AY326" s="65"/>
      <c r="AZ326" s="16"/>
      <c r="BA326" s="16"/>
      <c r="BB326" s="65"/>
      <c r="BC326" s="16"/>
      <c r="BD326" s="16"/>
      <c r="BE326" s="16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17"/>
      <c r="BX326" s="9"/>
      <c r="BY326" s="40"/>
      <c r="BZ326" s="40"/>
      <c r="CA326" s="40"/>
      <c r="CB326" s="40"/>
      <c r="CC326" s="8"/>
    </row>
    <row r="327" ht="18.75" customHeight="1">
      <c r="A327" s="40"/>
      <c r="B327" s="17"/>
      <c r="D327" s="40"/>
      <c r="G327" s="42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2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W327" s="40"/>
      <c r="AX327" s="65"/>
      <c r="AY327" s="65"/>
      <c r="AZ327" s="16"/>
      <c r="BA327" s="16"/>
      <c r="BB327" s="65"/>
      <c r="BC327" s="16"/>
      <c r="BD327" s="16"/>
      <c r="BE327" s="16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17"/>
      <c r="BX327" s="9"/>
      <c r="BY327" s="40"/>
      <c r="BZ327" s="40"/>
      <c r="CA327" s="40"/>
      <c r="CB327" s="40"/>
      <c r="CC327" s="8"/>
    </row>
    <row r="328" ht="18.75" customHeight="1">
      <c r="A328" s="40"/>
      <c r="B328" s="17"/>
      <c r="D328" s="40"/>
      <c r="G328" s="42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2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W328" s="40"/>
      <c r="AX328" s="65"/>
      <c r="AY328" s="65"/>
      <c r="AZ328" s="16"/>
      <c r="BA328" s="16"/>
      <c r="BB328" s="65"/>
      <c r="BC328" s="16"/>
      <c r="BD328" s="16"/>
      <c r="BE328" s="16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17"/>
      <c r="BX328" s="9"/>
      <c r="BY328" s="40"/>
      <c r="BZ328" s="40"/>
      <c r="CA328" s="40"/>
      <c r="CB328" s="40"/>
      <c r="CC328" s="8"/>
    </row>
    <row r="329" ht="18.75" customHeight="1">
      <c r="A329" s="40"/>
      <c r="B329" s="17"/>
      <c r="D329" s="40"/>
      <c r="G329" s="42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2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W329" s="40"/>
      <c r="AX329" s="65"/>
      <c r="AY329" s="65"/>
      <c r="AZ329" s="16"/>
      <c r="BA329" s="16"/>
      <c r="BB329" s="65"/>
      <c r="BC329" s="16"/>
      <c r="BD329" s="16"/>
      <c r="BE329" s="16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17"/>
      <c r="BX329" s="9"/>
      <c r="BY329" s="40"/>
      <c r="BZ329" s="40"/>
      <c r="CA329" s="40"/>
      <c r="CB329" s="40"/>
      <c r="CC329" s="8"/>
    </row>
    <row r="330" ht="18.75" customHeight="1">
      <c r="A330" s="40"/>
      <c r="B330" s="17"/>
      <c r="D330" s="40"/>
      <c r="G330" s="42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2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W330" s="40"/>
      <c r="AX330" s="65"/>
      <c r="AY330" s="65"/>
      <c r="AZ330" s="16"/>
      <c r="BA330" s="16"/>
      <c r="BB330" s="65"/>
      <c r="BC330" s="16"/>
      <c r="BD330" s="16"/>
      <c r="BE330" s="16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17"/>
      <c r="BX330" s="9"/>
      <c r="BY330" s="40"/>
      <c r="BZ330" s="40"/>
      <c r="CA330" s="40"/>
      <c r="CB330" s="40"/>
      <c r="CC330" s="8"/>
    </row>
    <row r="331" ht="18.75" customHeight="1">
      <c r="A331" s="40"/>
      <c r="B331" s="17"/>
      <c r="D331" s="40"/>
      <c r="G331" s="42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2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W331" s="40"/>
      <c r="AX331" s="65"/>
      <c r="AY331" s="65"/>
      <c r="AZ331" s="16"/>
      <c r="BA331" s="16"/>
      <c r="BB331" s="65"/>
      <c r="BC331" s="16"/>
      <c r="BD331" s="16"/>
      <c r="BE331" s="16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17"/>
      <c r="BX331" s="9"/>
      <c r="BY331" s="40"/>
      <c r="BZ331" s="40"/>
      <c r="CA331" s="40"/>
      <c r="CB331" s="40"/>
      <c r="CC331" s="8"/>
    </row>
    <row r="332" ht="18.75" customHeight="1">
      <c r="A332" s="40"/>
      <c r="B332" s="17"/>
      <c r="D332" s="40"/>
      <c r="G332" s="42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2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W332" s="40"/>
      <c r="AX332" s="65"/>
      <c r="AY332" s="65"/>
      <c r="AZ332" s="16"/>
      <c r="BA332" s="16"/>
      <c r="BB332" s="65"/>
      <c r="BC332" s="16"/>
      <c r="BD332" s="16"/>
      <c r="BE332" s="16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17"/>
      <c r="BX332" s="9"/>
      <c r="BY332" s="40"/>
      <c r="BZ332" s="40"/>
      <c r="CA332" s="40"/>
      <c r="CB332" s="40"/>
      <c r="CC332" s="8"/>
    </row>
    <row r="333" ht="18.75" customHeight="1">
      <c r="A333" s="40"/>
      <c r="B333" s="17"/>
      <c r="D333" s="40"/>
      <c r="G333" s="42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2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W333" s="40"/>
      <c r="AX333" s="65"/>
      <c r="AY333" s="65"/>
      <c r="AZ333" s="16"/>
      <c r="BA333" s="16"/>
      <c r="BB333" s="65"/>
      <c r="BC333" s="16"/>
      <c r="BD333" s="16"/>
      <c r="BE333" s="16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17"/>
      <c r="BX333" s="9"/>
      <c r="BY333" s="40"/>
      <c r="BZ333" s="40"/>
      <c r="CA333" s="40"/>
      <c r="CB333" s="40"/>
      <c r="CC333" s="8"/>
    </row>
    <row r="334" ht="18.75" customHeight="1">
      <c r="A334" s="40"/>
      <c r="B334" s="17"/>
      <c r="D334" s="40"/>
      <c r="G334" s="42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2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W334" s="40"/>
      <c r="AX334" s="65"/>
      <c r="AY334" s="65"/>
      <c r="AZ334" s="16"/>
      <c r="BA334" s="16"/>
      <c r="BB334" s="65"/>
      <c r="BC334" s="16"/>
      <c r="BD334" s="16"/>
      <c r="BE334" s="16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17"/>
      <c r="BX334" s="9"/>
      <c r="BY334" s="40"/>
      <c r="BZ334" s="40"/>
      <c r="CA334" s="40"/>
      <c r="CB334" s="40"/>
      <c r="CC334" s="8"/>
    </row>
    <row r="335" ht="18.75" customHeight="1">
      <c r="A335" s="40"/>
      <c r="B335" s="17"/>
      <c r="D335" s="40"/>
      <c r="G335" s="42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2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W335" s="40"/>
      <c r="AX335" s="65"/>
      <c r="AY335" s="65"/>
      <c r="AZ335" s="16"/>
      <c r="BA335" s="16"/>
      <c r="BB335" s="65"/>
      <c r="BC335" s="16"/>
      <c r="BD335" s="16"/>
      <c r="BE335" s="16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17"/>
      <c r="BX335" s="9"/>
      <c r="BY335" s="40"/>
      <c r="BZ335" s="40"/>
      <c r="CA335" s="40"/>
      <c r="CB335" s="40"/>
      <c r="CC335" s="8"/>
    </row>
    <row r="336" ht="18.75" customHeight="1">
      <c r="A336" s="40"/>
      <c r="B336" s="17"/>
      <c r="D336" s="40"/>
      <c r="G336" s="42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2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W336" s="40"/>
      <c r="AX336" s="65"/>
      <c r="AY336" s="65"/>
      <c r="AZ336" s="16"/>
      <c r="BA336" s="16"/>
      <c r="BB336" s="65"/>
      <c r="BC336" s="16"/>
      <c r="BD336" s="16"/>
      <c r="BE336" s="16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17"/>
      <c r="BX336" s="9"/>
      <c r="BY336" s="40"/>
      <c r="BZ336" s="40"/>
      <c r="CA336" s="40"/>
      <c r="CB336" s="40"/>
      <c r="CC336" s="8"/>
    </row>
    <row r="337" ht="18.75" customHeight="1">
      <c r="A337" s="40"/>
      <c r="B337" s="17"/>
      <c r="D337" s="40"/>
      <c r="G337" s="42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2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W337" s="40"/>
      <c r="AX337" s="65"/>
      <c r="AY337" s="65"/>
      <c r="AZ337" s="16"/>
      <c r="BA337" s="16"/>
      <c r="BB337" s="65"/>
      <c r="BC337" s="16"/>
      <c r="BD337" s="16"/>
      <c r="BE337" s="16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17"/>
      <c r="BX337" s="9"/>
      <c r="BY337" s="40"/>
      <c r="BZ337" s="40"/>
      <c r="CA337" s="40"/>
      <c r="CB337" s="40"/>
      <c r="CC337" s="8"/>
    </row>
    <row r="338" ht="18.75" customHeight="1">
      <c r="A338" s="40"/>
      <c r="B338" s="17"/>
      <c r="D338" s="40"/>
      <c r="G338" s="42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2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W338" s="40"/>
      <c r="AX338" s="65"/>
      <c r="AY338" s="65"/>
      <c r="AZ338" s="16"/>
      <c r="BA338" s="16"/>
      <c r="BB338" s="65"/>
      <c r="BC338" s="16"/>
      <c r="BD338" s="16"/>
      <c r="BE338" s="16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17"/>
      <c r="BX338" s="9"/>
      <c r="BY338" s="40"/>
      <c r="BZ338" s="40"/>
      <c r="CA338" s="40"/>
      <c r="CB338" s="40"/>
      <c r="CC338" s="8"/>
    </row>
    <row r="339" ht="18.75" customHeight="1">
      <c r="A339" s="40"/>
      <c r="B339" s="17"/>
      <c r="D339" s="40"/>
      <c r="G339" s="42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2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W339" s="40"/>
      <c r="AX339" s="65"/>
      <c r="AY339" s="65"/>
      <c r="AZ339" s="16"/>
      <c r="BA339" s="16"/>
      <c r="BB339" s="65"/>
      <c r="BC339" s="16"/>
      <c r="BD339" s="16"/>
      <c r="BE339" s="16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17"/>
      <c r="BX339" s="9"/>
      <c r="BY339" s="40"/>
      <c r="BZ339" s="40"/>
      <c r="CA339" s="40"/>
      <c r="CB339" s="40"/>
      <c r="CC339" s="8"/>
    </row>
    <row r="340" ht="18.75" customHeight="1">
      <c r="A340" s="40"/>
      <c r="B340" s="17"/>
      <c r="D340" s="40"/>
      <c r="G340" s="42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2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W340" s="40"/>
      <c r="AX340" s="65"/>
      <c r="AY340" s="65"/>
      <c r="AZ340" s="16"/>
      <c r="BA340" s="16"/>
      <c r="BB340" s="65"/>
      <c r="BC340" s="16"/>
      <c r="BD340" s="16"/>
      <c r="BE340" s="16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17"/>
      <c r="BX340" s="9"/>
      <c r="BY340" s="40"/>
      <c r="BZ340" s="40"/>
      <c r="CA340" s="40"/>
      <c r="CB340" s="40"/>
      <c r="CC340" s="8"/>
    </row>
    <row r="341" ht="18.75" customHeight="1">
      <c r="A341" s="40"/>
      <c r="B341" s="17"/>
      <c r="D341" s="40"/>
      <c r="G341" s="42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2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W341" s="40"/>
      <c r="AX341" s="65"/>
      <c r="AY341" s="65"/>
      <c r="AZ341" s="16"/>
      <c r="BA341" s="16"/>
      <c r="BB341" s="65"/>
      <c r="BC341" s="16"/>
      <c r="BD341" s="16"/>
      <c r="BE341" s="16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17"/>
      <c r="BX341" s="9"/>
      <c r="BY341" s="40"/>
      <c r="BZ341" s="40"/>
      <c r="CA341" s="40"/>
      <c r="CB341" s="40"/>
      <c r="CC341" s="8"/>
    </row>
    <row r="342" ht="18.75" customHeight="1">
      <c r="A342" s="40"/>
      <c r="B342" s="17"/>
      <c r="D342" s="40"/>
      <c r="G342" s="42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2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W342" s="40"/>
      <c r="AX342" s="65"/>
      <c r="AY342" s="65"/>
      <c r="AZ342" s="16"/>
      <c r="BA342" s="16"/>
      <c r="BB342" s="65"/>
      <c r="BC342" s="16"/>
      <c r="BD342" s="16"/>
      <c r="BE342" s="16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17"/>
      <c r="BX342" s="9"/>
      <c r="BY342" s="40"/>
      <c r="BZ342" s="40"/>
      <c r="CA342" s="40"/>
      <c r="CB342" s="40"/>
      <c r="CC342" s="8"/>
    </row>
    <row r="343" ht="18.75" customHeight="1">
      <c r="A343" s="40"/>
      <c r="B343" s="17"/>
      <c r="D343" s="40"/>
      <c r="G343" s="42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2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W343" s="40"/>
      <c r="AX343" s="65"/>
      <c r="AY343" s="65"/>
      <c r="AZ343" s="16"/>
      <c r="BA343" s="16"/>
      <c r="BB343" s="65"/>
      <c r="BC343" s="16"/>
      <c r="BD343" s="16"/>
      <c r="BE343" s="16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17"/>
      <c r="BX343" s="9"/>
      <c r="BY343" s="40"/>
      <c r="BZ343" s="40"/>
      <c r="CA343" s="40"/>
      <c r="CB343" s="40"/>
      <c r="CC343" s="8"/>
    </row>
    <row r="344" ht="18.75" customHeight="1">
      <c r="A344" s="40"/>
      <c r="B344" s="17"/>
      <c r="D344" s="40"/>
      <c r="G344" s="42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2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W344" s="40"/>
      <c r="AX344" s="65"/>
      <c r="AY344" s="65"/>
      <c r="AZ344" s="16"/>
      <c r="BA344" s="16"/>
      <c r="BB344" s="65"/>
      <c r="BC344" s="16"/>
      <c r="BD344" s="16"/>
      <c r="BE344" s="16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17"/>
      <c r="BX344" s="9"/>
      <c r="BY344" s="40"/>
      <c r="BZ344" s="40"/>
      <c r="CA344" s="40"/>
      <c r="CB344" s="40"/>
      <c r="CC344" s="8"/>
    </row>
    <row r="345" ht="18.75" customHeight="1">
      <c r="A345" s="40"/>
      <c r="B345" s="17"/>
      <c r="D345" s="40"/>
      <c r="G345" s="42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2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W345" s="40"/>
      <c r="AX345" s="65"/>
      <c r="AY345" s="65"/>
      <c r="AZ345" s="16"/>
      <c r="BA345" s="16"/>
      <c r="BB345" s="65"/>
      <c r="BC345" s="16"/>
      <c r="BD345" s="16"/>
      <c r="BE345" s="16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17"/>
      <c r="BX345" s="9"/>
      <c r="BY345" s="40"/>
      <c r="BZ345" s="40"/>
      <c r="CA345" s="40"/>
      <c r="CB345" s="40"/>
      <c r="CC345" s="8"/>
    </row>
    <row r="346" ht="18.75" customHeight="1">
      <c r="A346" s="40"/>
      <c r="B346" s="17"/>
      <c r="D346" s="40"/>
      <c r="G346" s="42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2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W346" s="40"/>
      <c r="AX346" s="65"/>
      <c r="AY346" s="65"/>
      <c r="AZ346" s="16"/>
      <c r="BA346" s="16"/>
      <c r="BB346" s="65"/>
      <c r="BC346" s="16"/>
      <c r="BD346" s="16"/>
      <c r="BE346" s="16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17"/>
      <c r="BX346" s="9"/>
      <c r="BY346" s="40"/>
      <c r="BZ346" s="40"/>
      <c r="CA346" s="40"/>
      <c r="CB346" s="40"/>
      <c r="CC346" s="8"/>
    </row>
    <row r="347" ht="18.75" customHeight="1">
      <c r="A347" s="40"/>
      <c r="B347" s="17"/>
      <c r="D347" s="40"/>
      <c r="G347" s="42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2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W347" s="40"/>
      <c r="AX347" s="65"/>
      <c r="AY347" s="65"/>
      <c r="AZ347" s="16"/>
      <c r="BA347" s="16"/>
      <c r="BB347" s="65"/>
      <c r="BC347" s="16"/>
      <c r="BD347" s="16"/>
      <c r="BE347" s="16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17"/>
      <c r="BX347" s="9"/>
      <c r="BY347" s="40"/>
      <c r="BZ347" s="40"/>
      <c r="CA347" s="40"/>
      <c r="CB347" s="40"/>
      <c r="CC347" s="8"/>
    </row>
    <row r="348" ht="18.75" customHeight="1">
      <c r="A348" s="40"/>
      <c r="B348" s="17"/>
      <c r="D348" s="40"/>
      <c r="G348" s="42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2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W348" s="40"/>
      <c r="AX348" s="65"/>
      <c r="AY348" s="65"/>
      <c r="AZ348" s="16"/>
      <c r="BA348" s="16"/>
      <c r="BB348" s="65"/>
      <c r="BC348" s="16"/>
      <c r="BD348" s="16"/>
      <c r="BE348" s="16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17"/>
      <c r="BX348" s="9"/>
      <c r="BY348" s="40"/>
      <c r="BZ348" s="40"/>
      <c r="CA348" s="40"/>
      <c r="CB348" s="40"/>
      <c r="CC348" s="8"/>
    </row>
    <row r="349" ht="18.75" customHeight="1">
      <c r="A349" s="40"/>
      <c r="B349" s="17"/>
      <c r="D349" s="40"/>
      <c r="G349" s="42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2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W349" s="40"/>
      <c r="AX349" s="65"/>
      <c r="AY349" s="65"/>
      <c r="AZ349" s="16"/>
      <c r="BA349" s="16"/>
      <c r="BB349" s="65"/>
      <c r="BC349" s="16"/>
      <c r="BD349" s="16"/>
      <c r="BE349" s="16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17"/>
      <c r="BX349" s="9"/>
      <c r="BY349" s="40"/>
      <c r="BZ349" s="40"/>
      <c r="CA349" s="40"/>
      <c r="CB349" s="40"/>
      <c r="CC349" s="8"/>
    </row>
    <row r="350" ht="18.75" customHeight="1">
      <c r="A350" s="40"/>
      <c r="B350" s="17"/>
      <c r="D350" s="40"/>
      <c r="G350" s="42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2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W350" s="40"/>
      <c r="AX350" s="65"/>
      <c r="AY350" s="65"/>
      <c r="AZ350" s="16"/>
      <c r="BA350" s="16"/>
      <c r="BB350" s="65"/>
      <c r="BC350" s="16"/>
      <c r="BD350" s="16"/>
      <c r="BE350" s="16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17"/>
      <c r="BX350" s="9"/>
      <c r="BY350" s="40"/>
      <c r="BZ350" s="40"/>
      <c r="CA350" s="40"/>
      <c r="CB350" s="40"/>
      <c r="CC350" s="8"/>
    </row>
    <row r="351" ht="18.75" customHeight="1">
      <c r="A351" s="40"/>
      <c r="B351" s="17"/>
      <c r="D351" s="40"/>
      <c r="G351" s="42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2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W351" s="40"/>
      <c r="AX351" s="65"/>
      <c r="AY351" s="65"/>
      <c r="AZ351" s="16"/>
      <c r="BA351" s="16"/>
      <c r="BB351" s="65"/>
      <c r="BC351" s="16"/>
      <c r="BD351" s="16"/>
      <c r="BE351" s="16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17"/>
      <c r="BX351" s="9"/>
      <c r="BY351" s="40"/>
      <c r="BZ351" s="40"/>
      <c r="CA351" s="40"/>
      <c r="CB351" s="40"/>
      <c r="CC351" s="8"/>
    </row>
    <row r="352" ht="18.75" customHeight="1">
      <c r="A352" s="40"/>
      <c r="B352" s="17"/>
      <c r="D352" s="40"/>
      <c r="G352" s="42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2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W352" s="40"/>
      <c r="AX352" s="65"/>
      <c r="AY352" s="65"/>
      <c r="AZ352" s="16"/>
      <c r="BA352" s="16"/>
      <c r="BB352" s="65"/>
      <c r="BC352" s="16"/>
      <c r="BD352" s="16"/>
      <c r="BE352" s="16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17"/>
      <c r="BX352" s="9"/>
      <c r="BY352" s="40"/>
      <c r="BZ352" s="40"/>
      <c r="CA352" s="40"/>
      <c r="CB352" s="40"/>
      <c r="CC352" s="8"/>
    </row>
    <row r="353" ht="18.75" customHeight="1">
      <c r="A353" s="40"/>
      <c r="B353" s="17"/>
      <c r="D353" s="40"/>
      <c r="G353" s="42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2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W353" s="40"/>
      <c r="AX353" s="65"/>
      <c r="AY353" s="65"/>
      <c r="AZ353" s="16"/>
      <c r="BA353" s="16"/>
      <c r="BB353" s="65"/>
      <c r="BC353" s="16"/>
      <c r="BD353" s="16"/>
      <c r="BE353" s="16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17"/>
      <c r="BX353" s="9"/>
      <c r="BY353" s="40"/>
      <c r="BZ353" s="40"/>
      <c r="CA353" s="40"/>
      <c r="CB353" s="40"/>
      <c r="CC353" s="8"/>
    </row>
    <row r="354" ht="18.75" customHeight="1">
      <c r="A354" s="40"/>
      <c r="B354" s="17"/>
      <c r="D354" s="40"/>
      <c r="G354" s="42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2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W354" s="40"/>
      <c r="AX354" s="65"/>
      <c r="AY354" s="65"/>
      <c r="AZ354" s="16"/>
      <c r="BA354" s="16"/>
      <c r="BB354" s="65"/>
      <c r="BC354" s="16"/>
      <c r="BD354" s="16"/>
      <c r="BE354" s="16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17"/>
      <c r="BX354" s="9"/>
      <c r="BY354" s="40"/>
      <c r="BZ354" s="40"/>
      <c r="CA354" s="40"/>
      <c r="CB354" s="40"/>
      <c r="CC354" s="8"/>
    </row>
    <row r="355" ht="18.75" customHeight="1">
      <c r="A355" s="40"/>
      <c r="B355" s="17"/>
      <c r="D355" s="40"/>
      <c r="G355" s="42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2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W355" s="40"/>
      <c r="AX355" s="65"/>
      <c r="AY355" s="65"/>
      <c r="AZ355" s="16"/>
      <c r="BA355" s="16"/>
      <c r="BB355" s="65"/>
      <c r="BC355" s="16"/>
      <c r="BD355" s="16"/>
      <c r="BE355" s="16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17"/>
      <c r="BX355" s="9"/>
      <c r="BY355" s="40"/>
      <c r="BZ355" s="40"/>
      <c r="CA355" s="40"/>
      <c r="CB355" s="40"/>
      <c r="CC355" s="8"/>
    </row>
    <row r="356" ht="18.75" customHeight="1">
      <c r="A356" s="40"/>
      <c r="B356" s="17"/>
      <c r="D356" s="40"/>
      <c r="G356" s="42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2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W356" s="40"/>
      <c r="AX356" s="65"/>
      <c r="AY356" s="65"/>
      <c r="AZ356" s="16"/>
      <c r="BA356" s="16"/>
      <c r="BB356" s="65"/>
      <c r="BC356" s="16"/>
      <c r="BD356" s="16"/>
      <c r="BE356" s="16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17"/>
      <c r="BX356" s="9"/>
      <c r="BY356" s="40"/>
      <c r="BZ356" s="40"/>
      <c r="CA356" s="40"/>
      <c r="CB356" s="40"/>
      <c r="CC356" s="8"/>
    </row>
    <row r="357" ht="18.75" customHeight="1">
      <c r="A357" s="40"/>
      <c r="B357" s="17"/>
      <c r="D357" s="40"/>
      <c r="G357" s="42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2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W357" s="40"/>
      <c r="AX357" s="65"/>
      <c r="AY357" s="65"/>
      <c r="AZ357" s="16"/>
      <c r="BA357" s="16"/>
      <c r="BB357" s="65"/>
      <c r="BC357" s="16"/>
      <c r="BD357" s="16"/>
      <c r="BE357" s="16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17"/>
      <c r="BX357" s="9"/>
      <c r="BY357" s="40"/>
      <c r="BZ357" s="40"/>
      <c r="CA357" s="40"/>
      <c r="CB357" s="40"/>
      <c r="CC357" s="8"/>
    </row>
    <row r="358" ht="18.75" customHeight="1">
      <c r="A358" s="40"/>
      <c r="B358" s="17"/>
      <c r="D358" s="40"/>
      <c r="G358" s="42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2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W358" s="40"/>
      <c r="AX358" s="65"/>
      <c r="AY358" s="65"/>
      <c r="AZ358" s="16"/>
      <c r="BA358" s="16"/>
      <c r="BB358" s="65"/>
      <c r="BC358" s="16"/>
      <c r="BD358" s="16"/>
      <c r="BE358" s="16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17"/>
      <c r="BX358" s="9"/>
      <c r="BY358" s="40"/>
      <c r="BZ358" s="40"/>
      <c r="CA358" s="40"/>
      <c r="CB358" s="40"/>
      <c r="CC358" s="8"/>
    </row>
    <row r="359" ht="18.75" customHeight="1">
      <c r="A359" s="40"/>
      <c r="B359" s="17"/>
      <c r="D359" s="40"/>
      <c r="G359" s="42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2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W359" s="40"/>
      <c r="AX359" s="65"/>
      <c r="AY359" s="65"/>
      <c r="AZ359" s="16"/>
      <c r="BA359" s="16"/>
      <c r="BB359" s="65"/>
      <c r="BC359" s="16"/>
      <c r="BD359" s="16"/>
      <c r="BE359" s="16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17"/>
      <c r="BX359" s="9"/>
      <c r="BY359" s="40"/>
      <c r="BZ359" s="40"/>
      <c r="CA359" s="40"/>
      <c r="CB359" s="40"/>
      <c r="CC359" s="8"/>
    </row>
    <row r="360" ht="18.75" customHeight="1">
      <c r="A360" s="40"/>
      <c r="B360" s="17"/>
      <c r="D360" s="40"/>
      <c r="G360" s="42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2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W360" s="40"/>
      <c r="AX360" s="65"/>
      <c r="AY360" s="65"/>
      <c r="AZ360" s="16"/>
      <c r="BA360" s="16"/>
      <c r="BB360" s="65"/>
      <c r="BC360" s="16"/>
      <c r="BD360" s="16"/>
      <c r="BE360" s="16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17"/>
      <c r="BX360" s="9"/>
      <c r="BY360" s="40"/>
      <c r="BZ360" s="40"/>
      <c r="CA360" s="40"/>
      <c r="CB360" s="40"/>
      <c r="CC360" s="8"/>
    </row>
    <row r="361" ht="18.75" customHeight="1">
      <c r="A361" s="40"/>
      <c r="B361" s="17"/>
      <c r="D361" s="40"/>
      <c r="G361" s="42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2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W361" s="40"/>
      <c r="AX361" s="65"/>
      <c r="AY361" s="65"/>
      <c r="AZ361" s="16"/>
      <c r="BA361" s="16"/>
      <c r="BB361" s="65"/>
      <c r="BC361" s="16"/>
      <c r="BD361" s="16"/>
      <c r="BE361" s="16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17"/>
      <c r="BX361" s="9"/>
      <c r="BY361" s="40"/>
      <c r="BZ361" s="40"/>
      <c r="CA361" s="40"/>
      <c r="CB361" s="40"/>
      <c r="CC361" s="8"/>
    </row>
    <row r="362" ht="18.75" customHeight="1">
      <c r="A362" s="40"/>
      <c r="B362" s="17"/>
      <c r="D362" s="40"/>
      <c r="G362" s="42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2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W362" s="40"/>
      <c r="AX362" s="65"/>
      <c r="AY362" s="65"/>
      <c r="AZ362" s="16"/>
      <c r="BA362" s="16"/>
      <c r="BB362" s="65"/>
      <c r="BC362" s="16"/>
      <c r="BD362" s="16"/>
      <c r="BE362" s="16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17"/>
      <c r="BX362" s="9"/>
      <c r="BY362" s="40"/>
      <c r="BZ362" s="40"/>
      <c r="CA362" s="40"/>
      <c r="CB362" s="40"/>
      <c r="CC362" s="8"/>
    </row>
    <row r="363" ht="18.75" customHeight="1">
      <c r="A363" s="40"/>
      <c r="B363" s="17"/>
      <c r="D363" s="40"/>
      <c r="G363" s="42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2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W363" s="40"/>
      <c r="AX363" s="65"/>
      <c r="AY363" s="65"/>
      <c r="AZ363" s="16"/>
      <c r="BA363" s="16"/>
      <c r="BB363" s="65"/>
      <c r="BC363" s="16"/>
      <c r="BD363" s="16"/>
      <c r="BE363" s="16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17"/>
      <c r="BX363" s="9"/>
      <c r="BY363" s="40"/>
      <c r="BZ363" s="40"/>
      <c r="CA363" s="40"/>
      <c r="CB363" s="40"/>
      <c r="CC363" s="8"/>
    </row>
    <row r="364" ht="18.75" customHeight="1">
      <c r="A364" s="40"/>
      <c r="B364" s="17"/>
      <c r="D364" s="40"/>
      <c r="G364" s="42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2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W364" s="40"/>
      <c r="AX364" s="65"/>
      <c r="AY364" s="65"/>
      <c r="AZ364" s="16"/>
      <c r="BA364" s="16"/>
      <c r="BB364" s="65"/>
      <c r="BC364" s="16"/>
      <c r="BD364" s="16"/>
      <c r="BE364" s="16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17"/>
      <c r="BX364" s="9"/>
      <c r="BY364" s="40"/>
      <c r="BZ364" s="40"/>
      <c r="CA364" s="40"/>
      <c r="CB364" s="40"/>
      <c r="CC364" s="8"/>
    </row>
    <row r="365" ht="18.75" customHeight="1">
      <c r="A365" s="40"/>
      <c r="B365" s="17"/>
      <c r="D365" s="40"/>
      <c r="G365" s="42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2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W365" s="40"/>
      <c r="AX365" s="65"/>
      <c r="AY365" s="65"/>
      <c r="AZ365" s="16"/>
      <c r="BA365" s="16"/>
      <c r="BB365" s="65"/>
      <c r="BC365" s="16"/>
      <c r="BD365" s="16"/>
      <c r="BE365" s="16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17"/>
      <c r="BX365" s="9"/>
      <c r="BY365" s="40"/>
      <c r="BZ365" s="40"/>
      <c r="CA365" s="40"/>
      <c r="CB365" s="40"/>
      <c r="CC365" s="8"/>
    </row>
    <row r="366" ht="18.75" customHeight="1">
      <c r="A366" s="40"/>
      <c r="B366" s="17"/>
      <c r="D366" s="40"/>
      <c r="G366" s="42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2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W366" s="40"/>
      <c r="AX366" s="65"/>
      <c r="AY366" s="65"/>
      <c r="AZ366" s="16"/>
      <c r="BA366" s="16"/>
      <c r="BB366" s="65"/>
      <c r="BC366" s="16"/>
      <c r="BD366" s="16"/>
      <c r="BE366" s="16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17"/>
      <c r="BX366" s="9"/>
      <c r="BY366" s="40"/>
      <c r="BZ366" s="40"/>
      <c r="CA366" s="40"/>
      <c r="CB366" s="40"/>
      <c r="CC366" s="8"/>
    </row>
    <row r="367" ht="18.75" customHeight="1">
      <c r="A367" s="40"/>
      <c r="B367" s="17"/>
      <c r="D367" s="40"/>
      <c r="G367" s="42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2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W367" s="40"/>
      <c r="AX367" s="65"/>
      <c r="AY367" s="65"/>
      <c r="AZ367" s="16"/>
      <c r="BA367" s="16"/>
      <c r="BB367" s="65"/>
      <c r="BC367" s="16"/>
      <c r="BD367" s="16"/>
      <c r="BE367" s="16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17"/>
      <c r="BX367" s="9"/>
      <c r="BY367" s="40"/>
      <c r="BZ367" s="40"/>
      <c r="CA367" s="40"/>
      <c r="CB367" s="40"/>
      <c r="CC367" s="8"/>
    </row>
    <row r="368" ht="18.75" customHeight="1">
      <c r="A368" s="40"/>
      <c r="B368" s="17"/>
      <c r="D368" s="40"/>
      <c r="G368" s="42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2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W368" s="40"/>
      <c r="AX368" s="65"/>
      <c r="AY368" s="65"/>
      <c r="AZ368" s="16"/>
      <c r="BA368" s="16"/>
      <c r="BB368" s="65"/>
      <c r="BC368" s="16"/>
      <c r="BD368" s="16"/>
      <c r="BE368" s="16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17"/>
      <c r="BX368" s="9"/>
      <c r="BY368" s="40"/>
      <c r="BZ368" s="40"/>
      <c r="CA368" s="40"/>
      <c r="CB368" s="40"/>
      <c r="CC368" s="8"/>
    </row>
    <row r="369" ht="18.75" customHeight="1">
      <c r="A369" s="40"/>
      <c r="B369" s="17"/>
      <c r="D369" s="40"/>
      <c r="G369" s="42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2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W369" s="40"/>
      <c r="AX369" s="65"/>
      <c r="AY369" s="65"/>
      <c r="AZ369" s="16"/>
      <c r="BA369" s="16"/>
      <c r="BB369" s="65"/>
      <c r="BC369" s="16"/>
      <c r="BD369" s="16"/>
      <c r="BE369" s="16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17"/>
      <c r="BX369" s="9"/>
      <c r="BY369" s="40"/>
      <c r="BZ369" s="40"/>
      <c r="CA369" s="40"/>
      <c r="CB369" s="40"/>
      <c r="CC369" s="8"/>
    </row>
    <row r="370" ht="18.75" customHeight="1">
      <c r="A370" s="40"/>
      <c r="B370" s="17"/>
      <c r="D370" s="40"/>
      <c r="G370" s="42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2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W370" s="40"/>
      <c r="AX370" s="65"/>
      <c r="AY370" s="65"/>
      <c r="AZ370" s="16"/>
      <c r="BA370" s="16"/>
      <c r="BB370" s="65"/>
      <c r="BC370" s="16"/>
      <c r="BD370" s="16"/>
      <c r="BE370" s="16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17"/>
      <c r="BX370" s="9"/>
      <c r="BY370" s="40"/>
      <c r="BZ370" s="40"/>
      <c r="CA370" s="40"/>
      <c r="CB370" s="40"/>
      <c r="CC370" s="8"/>
    </row>
    <row r="371" ht="18.75" customHeight="1">
      <c r="A371" s="40"/>
      <c r="B371" s="17"/>
      <c r="D371" s="40"/>
      <c r="G371" s="42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2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W371" s="40"/>
      <c r="AX371" s="65"/>
      <c r="AY371" s="65"/>
      <c r="AZ371" s="16"/>
      <c r="BA371" s="16"/>
      <c r="BB371" s="65"/>
      <c r="BC371" s="16"/>
      <c r="BD371" s="16"/>
      <c r="BE371" s="16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17"/>
      <c r="BX371" s="9"/>
      <c r="BY371" s="40"/>
      <c r="BZ371" s="40"/>
      <c r="CA371" s="40"/>
      <c r="CB371" s="40"/>
      <c r="CC371" s="8"/>
    </row>
    <row r="372" ht="18.75" customHeight="1">
      <c r="A372" s="40"/>
      <c r="B372" s="17"/>
      <c r="D372" s="40"/>
      <c r="G372" s="42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2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W372" s="40"/>
      <c r="AX372" s="65"/>
      <c r="AY372" s="65"/>
      <c r="AZ372" s="16"/>
      <c r="BA372" s="16"/>
      <c r="BB372" s="65"/>
      <c r="BC372" s="16"/>
      <c r="BD372" s="16"/>
      <c r="BE372" s="16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17"/>
      <c r="BX372" s="9"/>
      <c r="BY372" s="40"/>
      <c r="BZ372" s="40"/>
      <c r="CA372" s="40"/>
      <c r="CB372" s="40"/>
      <c r="CC372" s="8"/>
    </row>
    <row r="373" ht="18.75" customHeight="1">
      <c r="A373" s="40"/>
      <c r="B373" s="17"/>
      <c r="D373" s="40"/>
      <c r="G373" s="42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2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W373" s="40"/>
      <c r="AX373" s="65"/>
      <c r="AY373" s="65"/>
      <c r="AZ373" s="16"/>
      <c r="BA373" s="16"/>
      <c r="BB373" s="65"/>
      <c r="BC373" s="16"/>
      <c r="BD373" s="16"/>
      <c r="BE373" s="16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17"/>
      <c r="BX373" s="9"/>
      <c r="BY373" s="40"/>
      <c r="BZ373" s="40"/>
      <c r="CA373" s="40"/>
      <c r="CB373" s="40"/>
      <c r="CC373" s="8"/>
    </row>
    <row r="374" ht="18.75" customHeight="1">
      <c r="A374" s="40"/>
      <c r="B374" s="17"/>
      <c r="D374" s="40"/>
      <c r="G374" s="42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2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W374" s="40"/>
      <c r="AX374" s="65"/>
      <c r="AY374" s="65"/>
      <c r="AZ374" s="16"/>
      <c r="BA374" s="16"/>
      <c r="BB374" s="65"/>
      <c r="BC374" s="16"/>
      <c r="BD374" s="16"/>
      <c r="BE374" s="16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17"/>
      <c r="BX374" s="9"/>
      <c r="BY374" s="40"/>
      <c r="BZ374" s="40"/>
      <c r="CA374" s="40"/>
      <c r="CB374" s="40"/>
      <c r="CC374" s="8"/>
    </row>
    <row r="375" ht="18.75" customHeight="1">
      <c r="A375" s="40"/>
      <c r="B375" s="17"/>
      <c r="D375" s="40"/>
      <c r="G375" s="42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2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W375" s="40"/>
      <c r="AX375" s="65"/>
      <c r="AY375" s="65"/>
      <c r="AZ375" s="16"/>
      <c r="BA375" s="16"/>
      <c r="BB375" s="65"/>
      <c r="BC375" s="16"/>
      <c r="BD375" s="16"/>
      <c r="BE375" s="16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17"/>
      <c r="BX375" s="9"/>
      <c r="BY375" s="40"/>
      <c r="BZ375" s="40"/>
      <c r="CA375" s="40"/>
      <c r="CB375" s="40"/>
      <c r="CC375" s="8"/>
    </row>
    <row r="376" ht="18.75" customHeight="1">
      <c r="A376" s="40"/>
      <c r="B376" s="17"/>
      <c r="D376" s="40"/>
      <c r="G376" s="42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2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W376" s="40"/>
      <c r="AX376" s="65"/>
      <c r="AY376" s="65"/>
      <c r="AZ376" s="16"/>
      <c r="BA376" s="16"/>
      <c r="BB376" s="65"/>
      <c r="BC376" s="16"/>
      <c r="BD376" s="16"/>
      <c r="BE376" s="16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17"/>
      <c r="BX376" s="9"/>
      <c r="BY376" s="40"/>
      <c r="BZ376" s="40"/>
      <c r="CA376" s="40"/>
      <c r="CB376" s="40"/>
      <c r="CC376" s="8"/>
    </row>
    <row r="377" ht="18.75" customHeight="1">
      <c r="A377" s="40"/>
      <c r="B377" s="17"/>
      <c r="D377" s="40"/>
      <c r="G377" s="42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2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W377" s="40"/>
      <c r="AX377" s="65"/>
      <c r="AY377" s="65"/>
      <c r="AZ377" s="16"/>
      <c r="BA377" s="16"/>
      <c r="BB377" s="65"/>
      <c r="BC377" s="16"/>
      <c r="BD377" s="16"/>
      <c r="BE377" s="16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17"/>
      <c r="BX377" s="9"/>
      <c r="BY377" s="40"/>
      <c r="BZ377" s="40"/>
      <c r="CA377" s="40"/>
      <c r="CB377" s="40"/>
      <c r="CC377" s="8"/>
    </row>
    <row r="378" ht="18.75" customHeight="1">
      <c r="A378" s="40"/>
      <c r="B378" s="17"/>
      <c r="D378" s="40"/>
      <c r="G378" s="42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2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W378" s="40"/>
      <c r="AX378" s="65"/>
      <c r="AY378" s="65"/>
      <c r="AZ378" s="16"/>
      <c r="BA378" s="16"/>
      <c r="BB378" s="65"/>
      <c r="BC378" s="16"/>
      <c r="BD378" s="16"/>
      <c r="BE378" s="16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17"/>
      <c r="BX378" s="9"/>
      <c r="BY378" s="40"/>
      <c r="BZ378" s="40"/>
      <c r="CA378" s="40"/>
      <c r="CB378" s="40"/>
      <c r="CC378" s="8"/>
    </row>
    <row r="379" ht="18.75" customHeight="1">
      <c r="A379" s="40"/>
      <c r="B379" s="17"/>
      <c r="D379" s="40"/>
      <c r="G379" s="42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2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W379" s="40"/>
      <c r="AX379" s="65"/>
      <c r="AY379" s="65"/>
      <c r="AZ379" s="16"/>
      <c r="BA379" s="16"/>
      <c r="BB379" s="65"/>
      <c r="BC379" s="16"/>
      <c r="BD379" s="16"/>
      <c r="BE379" s="16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17"/>
      <c r="BX379" s="9"/>
      <c r="BY379" s="40"/>
      <c r="BZ379" s="40"/>
      <c r="CA379" s="40"/>
      <c r="CB379" s="40"/>
      <c r="CC379" s="8"/>
    </row>
    <row r="380" ht="18.75" customHeight="1">
      <c r="A380" s="40"/>
      <c r="B380" s="17"/>
      <c r="D380" s="40"/>
      <c r="G380" s="42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2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W380" s="40"/>
      <c r="AX380" s="65"/>
      <c r="AY380" s="65"/>
      <c r="AZ380" s="16"/>
      <c r="BA380" s="16"/>
      <c r="BB380" s="65"/>
      <c r="BC380" s="16"/>
      <c r="BD380" s="16"/>
      <c r="BE380" s="16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17"/>
      <c r="BX380" s="9"/>
      <c r="BY380" s="40"/>
      <c r="BZ380" s="40"/>
      <c r="CA380" s="40"/>
      <c r="CB380" s="40"/>
      <c r="CC380" s="8"/>
    </row>
    <row r="381" ht="18.75" customHeight="1">
      <c r="A381" s="40"/>
      <c r="B381" s="17"/>
      <c r="D381" s="40"/>
      <c r="G381" s="42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2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W381" s="40"/>
      <c r="AX381" s="65"/>
      <c r="AY381" s="65"/>
      <c r="AZ381" s="16"/>
      <c r="BA381" s="16"/>
      <c r="BB381" s="65"/>
      <c r="BC381" s="16"/>
      <c r="BD381" s="16"/>
      <c r="BE381" s="16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17"/>
      <c r="BX381" s="9"/>
      <c r="BY381" s="40"/>
      <c r="BZ381" s="40"/>
      <c r="CA381" s="40"/>
      <c r="CB381" s="40"/>
      <c r="CC381" s="8"/>
    </row>
    <row r="382" ht="18.75" customHeight="1">
      <c r="A382" s="40"/>
      <c r="B382" s="17"/>
      <c r="D382" s="40"/>
      <c r="G382" s="42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2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W382" s="40"/>
      <c r="AX382" s="65"/>
      <c r="AY382" s="65"/>
      <c r="AZ382" s="16"/>
      <c r="BA382" s="16"/>
      <c r="BB382" s="65"/>
      <c r="BC382" s="16"/>
      <c r="BD382" s="16"/>
      <c r="BE382" s="16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17"/>
      <c r="BX382" s="9"/>
      <c r="BY382" s="40"/>
      <c r="BZ382" s="40"/>
      <c r="CA382" s="40"/>
      <c r="CB382" s="40"/>
      <c r="CC382" s="8"/>
    </row>
    <row r="383" ht="18.75" customHeight="1">
      <c r="A383" s="40"/>
      <c r="B383" s="17"/>
      <c r="D383" s="40"/>
      <c r="G383" s="42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2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W383" s="40"/>
      <c r="AX383" s="65"/>
      <c r="AY383" s="65"/>
      <c r="AZ383" s="16"/>
      <c r="BA383" s="16"/>
      <c r="BB383" s="65"/>
      <c r="BC383" s="16"/>
      <c r="BD383" s="16"/>
      <c r="BE383" s="16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17"/>
      <c r="BX383" s="9"/>
      <c r="BY383" s="40"/>
      <c r="BZ383" s="40"/>
      <c r="CA383" s="40"/>
      <c r="CB383" s="40"/>
      <c r="CC383" s="8"/>
    </row>
    <row r="384" ht="18.75" customHeight="1">
      <c r="A384" s="40"/>
      <c r="B384" s="17"/>
      <c r="D384" s="40"/>
      <c r="G384" s="42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2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W384" s="40"/>
      <c r="AX384" s="65"/>
      <c r="AY384" s="65"/>
      <c r="AZ384" s="16"/>
      <c r="BA384" s="16"/>
      <c r="BB384" s="65"/>
      <c r="BC384" s="16"/>
      <c r="BD384" s="16"/>
      <c r="BE384" s="16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17"/>
      <c r="BX384" s="9"/>
      <c r="BY384" s="40"/>
      <c r="BZ384" s="40"/>
      <c r="CA384" s="40"/>
      <c r="CB384" s="40"/>
      <c r="CC384" s="8"/>
    </row>
    <row r="385" ht="18.75" customHeight="1">
      <c r="A385" s="40"/>
      <c r="B385" s="17"/>
      <c r="D385" s="40"/>
      <c r="G385" s="42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2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W385" s="40"/>
      <c r="AX385" s="65"/>
      <c r="AY385" s="65"/>
      <c r="AZ385" s="16"/>
      <c r="BA385" s="16"/>
      <c r="BB385" s="65"/>
      <c r="BC385" s="16"/>
      <c r="BD385" s="16"/>
      <c r="BE385" s="16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17"/>
      <c r="BX385" s="9"/>
      <c r="BY385" s="40"/>
      <c r="BZ385" s="40"/>
      <c r="CA385" s="40"/>
      <c r="CB385" s="40"/>
      <c r="CC385" s="8"/>
    </row>
    <row r="386" ht="18.75" customHeight="1">
      <c r="A386" s="40"/>
      <c r="B386" s="17"/>
      <c r="D386" s="40"/>
      <c r="G386" s="42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2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W386" s="40"/>
      <c r="AX386" s="65"/>
      <c r="AY386" s="65"/>
      <c r="AZ386" s="16"/>
      <c r="BA386" s="16"/>
      <c r="BB386" s="65"/>
      <c r="BC386" s="16"/>
      <c r="BD386" s="16"/>
      <c r="BE386" s="16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17"/>
      <c r="BX386" s="9"/>
      <c r="BY386" s="40"/>
      <c r="BZ386" s="40"/>
      <c r="CA386" s="40"/>
      <c r="CB386" s="40"/>
      <c r="CC386" s="8"/>
    </row>
    <row r="387" ht="18.75" customHeight="1">
      <c r="A387" s="40"/>
      <c r="B387" s="17"/>
      <c r="D387" s="40"/>
      <c r="G387" s="42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2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W387" s="40"/>
      <c r="AX387" s="65"/>
      <c r="AY387" s="65"/>
      <c r="AZ387" s="16"/>
      <c r="BA387" s="16"/>
      <c r="BB387" s="65"/>
      <c r="BC387" s="16"/>
      <c r="BD387" s="16"/>
      <c r="BE387" s="16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17"/>
      <c r="BX387" s="9"/>
      <c r="BY387" s="40"/>
      <c r="BZ387" s="40"/>
      <c r="CA387" s="40"/>
      <c r="CB387" s="40"/>
      <c r="CC387" s="8"/>
    </row>
    <row r="388" ht="18.75" customHeight="1">
      <c r="A388" s="40"/>
      <c r="B388" s="17"/>
      <c r="D388" s="40"/>
      <c r="G388" s="42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2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W388" s="40"/>
      <c r="AX388" s="65"/>
      <c r="AY388" s="65"/>
      <c r="AZ388" s="16"/>
      <c r="BA388" s="16"/>
      <c r="BB388" s="65"/>
      <c r="BC388" s="16"/>
      <c r="BD388" s="16"/>
      <c r="BE388" s="16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17"/>
      <c r="BX388" s="9"/>
      <c r="BY388" s="40"/>
      <c r="BZ388" s="40"/>
      <c r="CA388" s="40"/>
      <c r="CB388" s="40"/>
      <c r="CC388" s="8"/>
    </row>
    <row r="389" ht="18.75" customHeight="1">
      <c r="A389" s="40"/>
      <c r="B389" s="17"/>
      <c r="D389" s="40"/>
      <c r="G389" s="42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2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W389" s="40"/>
      <c r="AX389" s="65"/>
      <c r="AY389" s="65"/>
      <c r="AZ389" s="16"/>
      <c r="BA389" s="16"/>
      <c r="BB389" s="65"/>
      <c r="BC389" s="16"/>
      <c r="BD389" s="16"/>
      <c r="BE389" s="16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17"/>
      <c r="BX389" s="9"/>
      <c r="BY389" s="40"/>
      <c r="BZ389" s="40"/>
      <c r="CA389" s="40"/>
      <c r="CB389" s="40"/>
      <c r="CC389" s="8"/>
    </row>
    <row r="390" ht="18.75" customHeight="1">
      <c r="A390" s="40"/>
      <c r="B390" s="17"/>
      <c r="D390" s="40"/>
      <c r="G390" s="42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2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W390" s="40"/>
      <c r="AX390" s="65"/>
      <c r="AY390" s="65"/>
      <c r="AZ390" s="16"/>
      <c r="BA390" s="16"/>
      <c r="BB390" s="65"/>
      <c r="BC390" s="16"/>
      <c r="BD390" s="16"/>
      <c r="BE390" s="16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17"/>
      <c r="BX390" s="9"/>
      <c r="BY390" s="40"/>
      <c r="BZ390" s="40"/>
      <c r="CA390" s="40"/>
      <c r="CB390" s="40"/>
      <c r="CC390" s="8"/>
    </row>
    <row r="391" ht="18.75" customHeight="1">
      <c r="A391" s="40"/>
      <c r="B391" s="17"/>
      <c r="D391" s="40"/>
      <c r="G391" s="42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2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W391" s="40"/>
      <c r="AX391" s="65"/>
      <c r="AY391" s="65"/>
      <c r="AZ391" s="16"/>
      <c r="BA391" s="16"/>
      <c r="BB391" s="65"/>
      <c r="BC391" s="16"/>
      <c r="BD391" s="16"/>
      <c r="BE391" s="16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17"/>
      <c r="BX391" s="9"/>
      <c r="BY391" s="40"/>
      <c r="BZ391" s="40"/>
      <c r="CA391" s="40"/>
      <c r="CB391" s="40"/>
      <c r="CC391" s="8"/>
    </row>
    <row r="392" ht="18.75" customHeight="1">
      <c r="A392" s="40"/>
      <c r="B392" s="17"/>
      <c r="D392" s="40"/>
      <c r="G392" s="42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2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W392" s="40"/>
      <c r="AX392" s="65"/>
      <c r="AY392" s="65"/>
      <c r="AZ392" s="16"/>
      <c r="BA392" s="16"/>
      <c r="BB392" s="65"/>
      <c r="BC392" s="16"/>
      <c r="BD392" s="16"/>
      <c r="BE392" s="16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17"/>
      <c r="BX392" s="9"/>
      <c r="BY392" s="40"/>
      <c r="BZ392" s="40"/>
      <c r="CA392" s="40"/>
      <c r="CB392" s="40"/>
      <c r="CC392" s="8"/>
    </row>
    <row r="393" ht="18.75" customHeight="1">
      <c r="A393" s="40"/>
      <c r="B393" s="17"/>
      <c r="D393" s="40"/>
      <c r="G393" s="42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2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W393" s="40"/>
      <c r="AX393" s="65"/>
      <c r="AY393" s="65"/>
      <c r="AZ393" s="16"/>
      <c r="BA393" s="16"/>
      <c r="BB393" s="65"/>
      <c r="BC393" s="16"/>
      <c r="BD393" s="16"/>
      <c r="BE393" s="16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17"/>
      <c r="BX393" s="9"/>
      <c r="BY393" s="40"/>
      <c r="BZ393" s="40"/>
      <c r="CA393" s="40"/>
      <c r="CB393" s="40"/>
      <c r="CC393" s="8"/>
    </row>
    <row r="394" ht="18.75" customHeight="1">
      <c r="A394" s="40"/>
      <c r="B394" s="17"/>
      <c r="D394" s="40"/>
      <c r="G394" s="42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2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W394" s="40"/>
      <c r="AX394" s="65"/>
      <c r="AY394" s="65"/>
      <c r="AZ394" s="16"/>
      <c r="BA394" s="16"/>
      <c r="BB394" s="65"/>
      <c r="BC394" s="16"/>
      <c r="BD394" s="16"/>
      <c r="BE394" s="16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17"/>
      <c r="BX394" s="9"/>
      <c r="BY394" s="40"/>
      <c r="BZ394" s="40"/>
      <c r="CA394" s="40"/>
      <c r="CB394" s="40"/>
      <c r="CC394" s="8"/>
    </row>
    <row r="395" ht="18.75" customHeight="1">
      <c r="A395" s="40"/>
      <c r="B395" s="17"/>
      <c r="D395" s="40"/>
      <c r="G395" s="42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2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W395" s="40"/>
      <c r="AX395" s="65"/>
      <c r="AY395" s="65"/>
      <c r="AZ395" s="16"/>
      <c r="BA395" s="16"/>
      <c r="BB395" s="65"/>
      <c r="BC395" s="16"/>
      <c r="BD395" s="16"/>
      <c r="BE395" s="16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17"/>
      <c r="BX395" s="9"/>
      <c r="BY395" s="40"/>
      <c r="BZ395" s="40"/>
      <c r="CA395" s="40"/>
      <c r="CB395" s="40"/>
      <c r="CC395" s="8"/>
    </row>
    <row r="396" ht="18.75" customHeight="1">
      <c r="A396" s="40"/>
      <c r="B396" s="17"/>
      <c r="D396" s="40"/>
      <c r="G396" s="42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2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W396" s="40"/>
      <c r="AX396" s="65"/>
      <c r="AY396" s="65"/>
      <c r="AZ396" s="16"/>
      <c r="BA396" s="16"/>
      <c r="BB396" s="65"/>
      <c r="BC396" s="16"/>
      <c r="BD396" s="16"/>
      <c r="BE396" s="16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17"/>
      <c r="BX396" s="9"/>
      <c r="BY396" s="40"/>
      <c r="BZ396" s="40"/>
      <c r="CA396" s="40"/>
      <c r="CB396" s="40"/>
      <c r="CC396" s="8"/>
    </row>
    <row r="397" ht="18.75" customHeight="1">
      <c r="A397" s="40"/>
      <c r="B397" s="17"/>
      <c r="D397" s="40"/>
      <c r="G397" s="42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2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W397" s="40"/>
      <c r="AX397" s="65"/>
      <c r="AY397" s="65"/>
      <c r="AZ397" s="16"/>
      <c r="BA397" s="16"/>
      <c r="BB397" s="65"/>
      <c r="BC397" s="16"/>
      <c r="BD397" s="16"/>
      <c r="BE397" s="16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17"/>
      <c r="BX397" s="9"/>
      <c r="BY397" s="40"/>
      <c r="BZ397" s="40"/>
      <c r="CA397" s="40"/>
      <c r="CB397" s="40"/>
      <c r="CC397" s="8"/>
    </row>
    <row r="398" ht="18.75" customHeight="1">
      <c r="A398" s="40"/>
      <c r="B398" s="17"/>
      <c r="D398" s="40"/>
      <c r="G398" s="42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2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W398" s="40"/>
      <c r="AX398" s="65"/>
      <c r="AY398" s="65"/>
      <c r="AZ398" s="16"/>
      <c r="BA398" s="16"/>
      <c r="BB398" s="65"/>
      <c r="BC398" s="16"/>
      <c r="BD398" s="16"/>
      <c r="BE398" s="16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17"/>
      <c r="BX398" s="9"/>
      <c r="BY398" s="40"/>
      <c r="BZ398" s="40"/>
      <c r="CA398" s="40"/>
      <c r="CB398" s="40"/>
      <c r="CC398" s="8"/>
    </row>
    <row r="399" ht="18.75" customHeight="1">
      <c r="A399" s="40"/>
      <c r="B399" s="17"/>
      <c r="D399" s="40"/>
      <c r="G399" s="42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2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W399" s="40"/>
      <c r="AX399" s="65"/>
      <c r="AY399" s="65"/>
      <c r="AZ399" s="16"/>
      <c r="BA399" s="16"/>
      <c r="BB399" s="65"/>
      <c r="BC399" s="16"/>
      <c r="BD399" s="16"/>
      <c r="BE399" s="16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17"/>
      <c r="BX399" s="9"/>
      <c r="BY399" s="40"/>
      <c r="BZ399" s="40"/>
      <c r="CA399" s="40"/>
      <c r="CB399" s="40"/>
      <c r="CC399" s="8"/>
    </row>
    <row r="400" ht="18.75" customHeight="1">
      <c r="A400" s="40"/>
      <c r="B400" s="17"/>
      <c r="D400" s="40"/>
      <c r="G400" s="42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2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W400" s="40"/>
      <c r="AX400" s="65"/>
      <c r="AY400" s="65"/>
      <c r="AZ400" s="16"/>
      <c r="BA400" s="16"/>
      <c r="BB400" s="65"/>
      <c r="BC400" s="16"/>
      <c r="BD400" s="16"/>
      <c r="BE400" s="16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17"/>
      <c r="BX400" s="9"/>
      <c r="BY400" s="40"/>
      <c r="BZ400" s="40"/>
      <c r="CA400" s="40"/>
      <c r="CB400" s="40"/>
      <c r="CC400" s="8"/>
    </row>
    <row r="401" ht="18.75" customHeight="1">
      <c r="A401" s="40"/>
      <c r="B401" s="17"/>
      <c r="D401" s="40"/>
      <c r="G401" s="42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2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W401" s="40"/>
      <c r="AX401" s="65"/>
      <c r="AY401" s="65"/>
      <c r="AZ401" s="16"/>
      <c r="BA401" s="16"/>
      <c r="BB401" s="65"/>
      <c r="BC401" s="16"/>
      <c r="BD401" s="16"/>
      <c r="BE401" s="16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17"/>
      <c r="BX401" s="9"/>
      <c r="BY401" s="40"/>
      <c r="BZ401" s="40"/>
      <c r="CA401" s="40"/>
      <c r="CB401" s="40"/>
      <c r="CC401" s="8"/>
    </row>
    <row r="402" ht="18.75" customHeight="1">
      <c r="A402" s="40"/>
      <c r="B402" s="17"/>
      <c r="D402" s="40"/>
      <c r="G402" s="42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2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W402" s="40"/>
      <c r="AX402" s="65"/>
      <c r="AY402" s="65"/>
      <c r="AZ402" s="16"/>
      <c r="BA402" s="16"/>
      <c r="BB402" s="65"/>
      <c r="BC402" s="16"/>
      <c r="BD402" s="16"/>
      <c r="BE402" s="16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17"/>
      <c r="BX402" s="9"/>
      <c r="BY402" s="40"/>
      <c r="BZ402" s="40"/>
      <c r="CA402" s="40"/>
      <c r="CB402" s="40"/>
      <c r="CC402" s="8"/>
    </row>
    <row r="403" ht="18.75" customHeight="1">
      <c r="A403" s="40"/>
      <c r="B403" s="17"/>
      <c r="D403" s="40"/>
      <c r="G403" s="42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2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W403" s="40"/>
      <c r="AX403" s="65"/>
      <c r="AY403" s="65"/>
      <c r="AZ403" s="16"/>
      <c r="BA403" s="16"/>
      <c r="BB403" s="65"/>
      <c r="BC403" s="16"/>
      <c r="BD403" s="16"/>
      <c r="BE403" s="16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17"/>
      <c r="BX403" s="9"/>
      <c r="BY403" s="40"/>
      <c r="BZ403" s="40"/>
      <c r="CA403" s="40"/>
      <c r="CB403" s="40"/>
      <c r="CC403" s="8"/>
    </row>
    <row r="404" ht="18.75" customHeight="1">
      <c r="A404" s="40"/>
      <c r="B404" s="17"/>
      <c r="D404" s="40"/>
      <c r="G404" s="42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2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W404" s="40"/>
      <c r="AX404" s="65"/>
      <c r="AY404" s="65"/>
      <c r="AZ404" s="16"/>
      <c r="BA404" s="16"/>
      <c r="BB404" s="65"/>
      <c r="BC404" s="16"/>
      <c r="BD404" s="16"/>
      <c r="BE404" s="16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17"/>
      <c r="BX404" s="9"/>
      <c r="BY404" s="40"/>
      <c r="BZ404" s="40"/>
      <c r="CA404" s="40"/>
      <c r="CB404" s="40"/>
      <c r="CC404" s="8"/>
    </row>
    <row r="405" ht="18.75" customHeight="1">
      <c r="A405" s="40"/>
      <c r="B405" s="17"/>
      <c r="D405" s="40"/>
      <c r="G405" s="42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2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W405" s="40"/>
      <c r="AX405" s="65"/>
      <c r="AY405" s="65"/>
      <c r="AZ405" s="16"/>
      <c r="BA405" s="16"/>
      <c r="BB405" s="65"/>
      <c r="BC405" s="16"/>
      <c r="BD405" s="16"/>
      <c r="BE405" s="16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17"/>
      <c r="BX405" s="9"/>
      <c r="BY405" s="40"/>
      <c r="BZ405" s="40"/>
      <c r="CA405" s="40"/>
      <c r="CB405" s="40"/>
      <c r="CC405" s="8"/>
    </row>
    <row r="406" ht="18.75" customHeight="1">
      <c r="A406" s="40"/>
      <c r="B406" s="17"/>
      <c r="D406" s="40"/>
      <c r="G406" s="42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2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W406" s="40"/>
      <c r="AX406" s="65"/>
      <c r="AY406" s="65"/>
      <c r="AZ406" s="16"/>
      <c r="BA406" s="16"/>
      <c r="BB406" s="65"/>
      <c r="BC406" s="16"/>
      <c r="BD406" s="16"/>
      <c r="BE406" s="16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17"/>
      <c r="BX406" s="9"/>
      <c r="BY406" s="40"/>
      <c r="BZ406" s="40"/>
      <c r="CA406" s="40"/>
      <c r="CB406" s="40"/>
      <c r="CC406" s="8"/>
    </row>
    <row r="407" ht="18.75" customHeight="1">
      <c r="A407" s="40"/>
      <c r="B407" s="17"/>
      <c r="D407" s="40"/>
      <c r="G407" s="42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2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W407" s="40"/>
      <c r="AX407" s="65"/>
      <c r="AY407" s="65"/>
      <c r="AZ407" s="16"/>
      <c r="BA407" s="16"/>
      <c r="BB407" s="65"/>
      <c r="BC407" s="16"/>
      <c r="BD407" s="16"/>
      <c r="BE407" s="16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17"/>
      <c r="BX407" s="9"/>
      <c r="BY407" s="40"/>
      <c r="BZ407" s="40"/>
      <c r="CA407" s="40"/>
      <c r="CB407" s="40"/>
      <c r="CC407" s="8"/>
    </row>
    <row r="408" ht="18.75" customHeight="1">
      <c r="A408" s="40"/>
      <c r="B408" s="17"/>
      <c r="D408" s="40"/>
      <c r="G408" s="42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2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W408" s="40"/>
      <c r="AX408" s="65"/>
      <c r="AY408" s="65"/>
      <c r="AZ408" s="16"/>
      <c r="BA408" s="16"/>
      <c r="BB408" s="65"/>
      <c r="BC408" s="16"/>
      <c r="BD408" s="16"/>
      <c r="BE408" s="16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17"/>
      <c r="BX408" s="9"/>
      <c r="BY408" s="40"/>
      <c r="BZ408" s="40"/>
      <c r="CA408" s="40"/>
      <c r="CB408" s="40"/>
      <c r="CC408" s="8"/>
    </row>
    <row r="409" ht="18.75" customHeight="1">
      <c r="A409" s="40"/>
      <c r="B409" s="17"/>
      <c r="D409" s="40"/>
      <c r="G409" s="42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2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W409" s="40"/>
      <c r="AX409" s="65"/>
      <c r="AY409" s="65"/>
      <c r="AZ409" s="16"/>
      <c r="BA409" s="16"/>
      <c r="BB409" s="65"/>
      <c r="BC409" s="16"/>
      <c r="BD409" s="16"/>
      <c r="BE409" s="16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17"/>
      <c r="BX409" s="9"/>
      <c r="BY409" s="40"/>
      <c r="BZ409" s="40"/>
      <c r="CA409" s="40"/>
      <c r="CB409" s="40"/>
      <c r="CC409" s="8"/>
    </row>
    <row r="410" ht="18.75" customHeight="1">
      <c r="A410" s="40"/>
      <c r="B410" s="17"/>
      <c r="D410" s="40"/>
      <c r="G410" s="42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2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W410" s="40"/>
      <c r="AX410" s="65"/>
      <c r="AY410" s="65"/>
      <c r="AZ410" s="16"/>
      <c r="BA410" s="16"/>
      <c r="BB410" s="65"/>
      <c r="BC410" s="16"/>
      <c r="BD410" s="16"/>
      <c r="BE410" s="16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17"/>
      <c r="BX410" s="9"/>
      <c r="BY410" s="40"/>
      <c r="BZ410" s="40"/>
      <c r="CA410" s="40"/>
      <c r="CB410" s="40"/>
      <c r="CC410" s="8"/>
    </row>
    <row r="411" ht="18.75" customHeight="1">
      <c r="A411" s="40"/>
      <c r="B411" s="17"/>
      <c r="D411" s="40"/>
      <c r="G411" s="42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2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W411" s="40"/>
      <c r="AX411" s="65"/>
      <c r="AY411" s="65"/>
      <c r="AZ411" s="16"/>
      <c r="BA411" s="16"/>
      <c r="BB411" s="65"/>
      <c r="BC411" s="16"/>
      <c r="BD411" s="16"/>
      <c r="BE411" s="16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17"/>
      <c r="BX411" s="9"/>
      <c r="BY411" s="40"/>
      <c r="BZ411" s="40"/>
      <c r="CA411" s="40"/>
      <c r="CB411" s="40"/>
      <c r="CC411" s="8"/>
    </row>
    <row r="412" ht="18.75" customHeight="1">
      <c r="A412" s="40"/>
      <c r="B412" s="17"/>
      <c r="D412" s="40"/>
      <c r="G412" s="42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2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W412" s="40"/>
      <c r="AX412" s="65"/>
      <c r="AY412" s="65"/>
      <c r="AZ412" s="16"/>
      <c r="BA412" s="16"/>
      <c r="BB412" s="65"/>
      <c r="BC412" s="16"/>
      <c r="BD412" s="16"/>
      <c r="BE412" s="16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17"/>
      <c r="BX412" s="9"/>
      <c r="BY412" s="40"/>
      <c r="BZ412" s="40"/>
      <c r="CA412" s="40"/>
      <c r="CB412" s="40"/>
      <c r="CC412" s="8"/>
    </row>
    <row r="413" ht="18.75" customHeight="1">
      <c r="A413" s="40"/>
      <c r="B413" s="17"/>
      <c r="D413" s="40"/>
      <c r="G413" s="42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2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W413" s="40"/>
      <c r="AX413" s="65"/>
      <c r="AY413" s="65"/>
      <c r="AZ413" s="16"/>
      <c r="BA413" s="16"/>
      <c r="BB413" s="65"/>
      <c r="BC413" s="16"/>
      <c r="BD413" s="16"/>
      <c r="BE413" s="16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17"/>
      <c r="BX413" s="9"/>
      <c r="BY413" s="40"/>
      <c r="BZ413" s="40"/>
      <c r="CA413" s="40"/>
      <c r="CB413" s="40"/>
      <c r="CC413" s="8"/>
    </row>
    <row r="414" ht="18.75" customHeight="1">
      <c r="A414" s="40"/>
      <c r="B414" s="17"/>
      <c r="D414" s="40"/>
      <c r="G414" s="42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2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W414" s="40"/>
      <c r="AX414" s="65"/>
      <c r="AY414" s="65"/>
      <c r="AZ414" s="16"/>
      <c r="BA414" s="16"/>
      <c r="BB414" s="65"/>
      <c r="BC414" s="16"/>
      <c r="BD414" s="16"/>
      <c r="BE414" s="16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17"/>
      <c r="BX414" s="9"/>
      <c r="BY414" s="40"/>
      <c r="BZ414" s="40"/>
      <c r="CA414" s="40"/>
      <c r="CB414" s="40"/>
      <c r="CC414" s="8"/>
    </row>
    <row r="415" ht="18.75" customHeight="1">
      <c r="A415" s="40"/>
      <c r="B415" s="17"/>
      <c r="D415" s="40"/>
      <c r="G415" s="42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2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W415" s="40"/>
      <c r="AX415" s="65"/>
      <c r="AY415" s="65"/>
      <c r="AZ415" s="16"/>
      <c r="BA415" s="16"/>
      <c r="BB415" s="65"/>
      <c r="BC415" s="16"/>
      <c r="BD415" s="16"/>
      <c r="BE415" s="16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17"/>
      <c r="BX415" s="9"/>
      <c r="BY415" s="40"/>
      <c r="BZ415" s="40"/>
      <c r="CA415" s="40"/>
      <c r="CB415" s="40"/>
      <c r="CC415" s="8"/>
    </row>
    <row r="416" ht="18.75" customHeight="1">
      <c r="A416" s="40"/>
      <c r="B416" s="17"/>
      <c r="D416" s="40"/>
      <c r="G416" s="42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2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W416" s="40"/>
      <c r="AX416" s="65"/>
      <c r="AY416" s="65"/>
      <c r="AZ416" s="16"/>
      <c r="BA416" s="16"/>
      <c r="BB416" s="65"/>
      <c r="BC416" s="16"/>
      <c r="BD416" s="16"/>
      <c r="BE416" s="16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17"/>
      <c r="BX416" s="9"/>
      <c r="BY416" s="40"/>
      <c r="BZ416" s="40"/>
      <c r="CA416" s="40"/>
      <c r="CB416" s="40"/>
      <c r="CC416" s="8"/>
    </row>
    <row r="417" ht="18.75" customHeight="1">
      <c r="A417" s="40"/>
      <c r="B417" s="17"/>
      <c r="D417" s="40"/>
      <c r="G417" s="42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2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W417" s="40"/>
      <c r="AX417" s="65"/>
      <c r="AY417" s="65"/>
      <c r="AZ417" s="16"/>
      <c r="BA417" s="16"/>
      <c r="BB417" s="65"/>
      <c r="BC417" s="16"/>
      <c r="BD417" s="16"/>
      <c r="BE417" s="16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17"/>
      <c r="BX417" s="9"/>
      <c r="BY417" s="40"/>
      <c r="BZ417" s="40"/>
      <c r="CA417" s="40"/>
      <c r="CB417" s="40"/>
      <c r="CC417" s="8"/>
    </row>
    <row r="418" ht="18.75" customHeight="1">
      <c r="A418" s="40"/>
      <c r="B418" s="17"/>
      <c r="D418" s="40"/>
      <c r="G418" s="42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2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W418" s="40"/>
      <c r="AX418" s="65"/>
      <c r="AY418" s="65"/>
      <c r="AZ418" s="16"/>
      <c r="BA418" s="16"/>
      <c r="BB418" s="65"/>
      <c r="BC418" s="16"/>
      <c r="BD418" s="16"/>
      <c r="BE418" s="16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17"/>
      <c r="BX418" s="9"/>
      <c r="BY418" s="40"/>
      <c r="BZ418" s="40"/>
      <c r="CA418" s="40"/>
      <c r="CB418" s="40"/>
      <c r="CC418" s="8"/>
    </row>
    <row r="419" ht="18.75" customHeight="1">
      <c r="A419" s="40"/>
      <c r="B419" s="17"/>
      <c r="D419" s="40"/>
      <c r="G419" s="42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2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W419" s="40"/>
      <c r="AX419" s="65"/>
      <c r="AY419" s="65"/>
      <c r="AZ419" s="16"/>
      <c r="BA419" s="16"/>
      <c r="BB419" s="65"/>
      <c r="BC419" s="16"/>
      <c r="BD419" s="16"/>
      <c r="BE419" s="16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17"/>
      <c r="BX419" s="9"/>
      <c r="BY419" s="40"/>
      <c r="BZ419" s="40"/>
      <c r="CA419" s="40"/>
      <c r="CB419" s="40"/>
      <c r="CC419" s="8"/>
    </row>
    <row r="420" ht="18.75" customHeight="1">
      <c r="A420" s="40"/>
      <c r="B420" s="17"/>
      <c r="D420" s="40"/>
      <c r="G420" s="42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2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W420" s="40"/>
      <c r="AX420" s="65"/>
      <c r="AY420" s="65"/>
      <c r="AZ420" s="16"/>
      <c r="BA420" s="16"/>
      <c r="BB420" s="65"/>
      <c r="BC420" s="16"/>
      <c r="BD420" s="16"/>
      <c r="BE420" s="16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17"/>
      <c r="BX420" s="9"/>
      <c r="BY420" s="40"/>
      <c r="BZ420" s="40"/>
      <c r="CA420" s="40"/>
      <c r="CB420" s="40"/>
      <c r="CC420" s="8"/>
    </row>
    <row r="421" ht="18.75" customHeight="1">
      <c r="A421" s="40"/>
      <c r="B421" s="17"/>
      <c r="D421" s="40"/>
      <c r="G421" s="42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2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W421" s="40"/>
      <c r="AX421" s="65"/>
      <c r="AY421" s="65"/>
      <c r="AZ421" s="16"/>
      <c r="BA421" s="16"/>
      <c r="BB421" s="65"/>
      <c r="BC421" s="16"/>
      <c r="BD421" s="16"/>
      <c r="BE421" s="16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17"/>
      <c r="BX421" s="9"/>
      <c r="BY421" s="40"/>
      <c r="BZ421" s="40"/>
      <c r="CA421" s="40"/>
      <c r="CB421" s="40"/>
      <c r="CC421" s="8"/>
    </row>
    <row r="422" ht="18.75" customHeight="1">
      <c r="A422" s="40"/>
      <c r="B422" s="17"/>
      <c r="D422" s="40"/>
      <c r="G422" s="42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2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W422" s="40"/>
      <c r="AX422" s="65"/>
      <c r="AY422" s="65"/>
      <c r="AZ422" s="16"/>
      <c r="BA422" s="16"/>
      <c r="BB422" s="65"/>
      <c r="BC422" s="16"/>
      <c r="BD422" s="16"/>
      <c r="BE422" s="16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17"/>
      <c r="BX422" s="9"/>
      <c r="BY422" s="40"/>
      <c r="BZ422" s="40"/>
      <c r="CA422" s="40"/>
      <c r="CB422" s="40"/>
      <c r="CC422" s="8"/>
    </row>
    <row r="423" ht="18.75" customHeight="1">
      <c r="A423" s="40"/>
      <c r="B423" s="17"/>
      <c r="D423" s="40"/>
      <c r="G423" s="42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2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W423" s="40"/>
      <c r="AX423" s="65"/>
      <c r="AY423" s="65"/>
      <c r="AZ423" s="16"/>
      <c r="BA423" s="16"/>
      <c r="BB423" s="65"/>
      <c r="BC423" s="16"/>
      <c r="BD423" s="16"/>
      <c r="BE423" s="16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17"/>
      <c r="BX423" s="9"/>
      <c r="BY423" s="40"/>
      <c r="BZ423" s="40"/>
      <c r="CA423" s="40"/>
      <c r="CB423" s="40"/>
      <c r="CC423" s="8"/>
    </row>
    <row r="424" ht="18.75" customHeight="1">
      <c r="A424" s="40"/>
      <c r="B424" s="17"/>
      <c r="D424" s="40"/>
      <c r="G424" s="42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2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W424" s="40"/>
      <c r="AX424" s="65"/>
      <c r="AY424" s="65"/>
      <c r="AZ424" s="16"/>
      <c r="BA424" s="16"/>
      <c r="BB424" s="65"/>
      <c r="BC424" s="16"/>
      <c r="BD424" s="16"/>
      <c r="BE424" s="16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17"/>
      <c r="BX424" s="9"/>
      <c r="BY424" s="40"/>
      <c r="BZ424" s="40"/>
      <c r="CA424" s="40"/>
      <c r="CB424" s="40"/>
      <c r="CC424" s="8"/>
    </row>
    <row r="425" ht="18.75" customHeight="1">
      <c r="A425" s="40"/>
      <c r="B425" s="17"/>
      <c r="D425" s="40"/>
      <c r="G425" s="42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2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W425" s="40"/>
      <c r="AX425" s="65"/>
      <c r="AY425" s="65"/>
      <c r="AZ425" s="16"/>
      <c r="BA425" s="16"/>
      <c r="BB425" s="65"/>
      <c r="BC425" s="16"/>
      <c r="BD425" s="16"/>
      <c r="BE425" s="16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17"/>
      <c r="BX425" s="9"/>
      <c r="BY425" s="40"/>
      <c r="BZ425" s="40"/>
      <c r="CA425" s="40"/>
      <c r="CB425" s="40"/>
      <c r="CC425" s="8"/>
    </row>
    <row r="426" ht="18.75" customHeight="1">
      <c r="A426" s="40"/>
      <c r="B426" s="17"/>
      <c r="D426" s="40"/>
      <c r="G426" s="42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2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W426" s="40"/>
      <c r="AX426" s="65"/>
      <c r="AY426" s="65"/>
      <c r="AZ426" s="16"/>
      <c r="BA426" s="16"/>
      <c r="BB426" s="65"/>
      <c r="BC426" s="16"/>
      <c r="BD426" s="16"/>
      <c r="BE426" s="16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17"/>
      <c r="BX426" s="9"/>
      <c r="BY426" s="40"/>
      <c r="BZ426" s="40"/>
      <c r="CA426" s="40"/>
      <c r="CB426" s="40"/>
      <c r="CC426" s="8"/>
    </row>
    <row r="427" ht="18.75" customHeight="1">
      <c r="A427" s="40"/>
      <c r="B427" s="17"/>
      <c r="D427" s="40"/>
      <c r="G427" s="42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2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W427" s="40"/>
      <c r="AX427" s="65"/>
      <c r="AY427" s="65"/>
      <c r="AZ427" s="16"/>
      <c r="BA427" s="16"/>
      <c r="BB427" s="65"/>
      <c r="BC427" s="16"/>
      <c r="BD427" s="16"/>
      <c r="BE427" s="16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17"/>
      <c r="BX427" s="9"/>
      <c r="BY427" s="40"/>
      <c r="BZ427" s="40"/>
      <c r="CA427" s="40"/>
      <c r="CB427" s="40"/>
      <c r="CC427" s="8"/>
    </row>
    <row r="428" ht="18.75" customHeight="1">
      <c r="A428" s="40"/>
      <c r="B428" s="17"/>
      <c r="D428" s="40"/>
      <c r="G428" s="42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2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W428" s="40"/>
      <c r="AX428" s="65"/>
      <c r="AY428" s="65"/>
      <c r="AZ428" s="16"/>
      <c r="BA428" s="16"/>
      <c r="BB428" s="65"/>
      <c r="BC428" s="16"/>
      <c r="BD428" s="16"/>
      <c r="BE428" s="16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17"/>
      <c r="BX428" s="9"/>
      <c r="BY428" s="40"/>
      <c r="BZ428" s="40"/>
      <c r="CA428" s="40"/>
      <c r="CB428" s="40"/>
      <c r="CC428" s="8"/>
    </row>
    <row r="429" ht="18.75" customHeight="1">
      <c r="A429" s="40"/>
      <c r="B429" s="17"/>
      <c r="D429" s="40"/>
      <c r="G429" s="42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2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W429" s="40"/>
      <c r="AX429" s="65"/>
      <c r="AY429" s="65"/>
      <c r="AZ429" s="16"/>
      <c r="BA429" s="16"/>
      <c r="BB429" s="65"/>
      <c r="BC429" s="16"/>
      <c r="BD429" s="16"/>
      <c r="BE429" s="16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17"/>
      <c r="BX429" s="9"/>
      <c r="BY429" s="40"/>
      <c r="BZ429" s="40"/>
      <c r="CA429" s="40"/>
      <c r="CB429" s="40"/>
      <c r="CC429" s="8"/>
    </row>
    <row r="430" ht="18.75" customHeight="1">
      <c r="A430" s="40"/>
      <c r="B430" s="17"/>
      <c r="D430" s="40"/>
      <c r="G430" s="42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2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W430" s="40"/>
      <c r="AX430" s="65"/>
      <c r="AY430" s="65"/>
      <c r="AZ430" s="16"/>
      <c r="BA430" s="16"/>
      <c r="BB430" s="65"/>
      <c r="BC430" s="16"/>
      <c r="BD430" s="16"/>
      <c r="BE430" s="16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17"/>
      <c r="BX430" s="9"/>
      <c r="BY430" s="40"/>
      <c r="BZ430" s="40"/>
      <c r="CA430" s="40"/>
      <c r="CB430" s="40"/>
      <c r="CC430" s="8"/>
    </row>
    <row r="431" ht="18.75" customHeight="1">
      <c r="A431" s="40"/>
      <c r="B431" s="17"/>
      <c r="D431" s="40"/>
      <c r="G431" s="42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2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W431" s="40"/>
      <c r="AX431" s="65"/>
      <c r="AY431" s="65"/>
      <c r="AZ431" s="16"/>
      <c r="BA431" s="16"/>
      <c r="BB431" s="65"/>
      <c r="BC431" s="16"/>
      <c r="BD431" s="16"/>
      <c r="BE431" s="16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17"/>
      <c r="BX431" s="9"/>
      <c r="BY431" s="40"/>
      <c r="BZ431" s="40"/>
      <c r="CA431" s="40"/>
      <c r="CB431" s="40"/>
      <c r="CC431" s="8"/>
    </row>
    <row r="432" ht="18.75" customHeight="1">
      <c r="A432" s="40"/>
      <c r="B432" s="17"/>
      <c r="D432" s="40"/>
      <c r="G432" s="42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2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W432" s="40"/>
      <c r="AX432" s="65"/>
      <c r="AY432" s="65"/>
      <c r="AZ432" s="16"/>
      <c r="BA432" s="16"/>
      <c r="BB432" s="65"/>
      <c r="BC432" s="16"/>
      <c r="BD432" s="16"/>
      <c r="BE432" s="16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17"/>
      <c r="BX432" s="9"/>
      <c r="BY432" s="40"/>
      <c r="BZ432" s="40"/>
      <c r="CA432" s="40"/>
      <c r="CB432" s="40"/>
      <c r="CC432" s="8"/>
    </row>
    <row r="433" ht="18.75" customHeight="1">
      <c r="A433" s="40"/>
      <c r="B433" s="17"/>
      <c r="D433" s="40"/>
      <c r="G433" s="42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2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W433" s="40"/>
      <c r="AX433" s="65"/>
      <c r="AY433" s="65"/>
      <c r="AZ433" s="16"/>
      <c r="BA433" s="16"/>
      <c r="BB433" s="65"/>
      <c r="BC433" s="16"/>
      <c r="BD433" s="16"/>
      <c r="BE433" s="16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17"/>
      <c r="BX433" s="9"/>
      <c r="BY433" s="40"/>
      <c r="BZ433" s="40"/>
      <c r="CA433" s="40"/>
      <c r="CB433" s="40"/>
      <c r="CC433" s="8"/>
    </row>
    <row r="434" ht="18.75" customHeight="1">
      <c r="A434" s="40"/>
      <c r="B434" s="17"/>
      <c r="D434" s="40"/>
      <c r="G434" s="42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2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W434" s="40"/>
      <c r="AX434" s="65"/>
      <c r="AY434" s="65"/>
      <c r="AZ434" s="16"/>
      <c r="BA434" s="16"/>
      <c r="BB434" s="65"/>
      <c r="BC434" s="16"/>
      <c r="BD434" s="16"/>
      <c r="BE434" s="16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17"/>
      <c r="BX434" s="9"/>
      <c r="BY434" s="40"/>
      <c r="BZ434" s="40"/>
      <c r="CA434" s="40"/>
      <c r="CB434" s="40"/>
      <c r="CC434" s="8"/>
    </row>
    <row r="435" ht="18.75" customHeight="1">
      <c r="A435" s="40"/>
      <c r="B435" s="17"/>
      <c r="D435" s="40"/>
      <c r="G435" s="42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2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W435" s="40"/>
      <c r="AX435" s="65"/>
      <c r="AY435" s="65"/>
      <c r="AZ435" s="16"/>
      <c r="BA435" s="16"/>
      <c r="BB435" s="65"/>
      <c r="BC435" s="16"/>
      <c r="BD435" s="16"/>
      <c r="BE435" s="16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17"/>
      <c r="BX435" s="9"/>
      <c r="BY435" s="40"/>
      <c r="BZ435" s="40"/>
      <c r="CA435" s="40"/>
      <c r="CB435" s="40"/>
      <c r="CC435" s="8"/>
    </row>
    <row r="436" ht="18.75" customHeight="1">
      <c r="A436" s="40"/>
      <c r="B436" s="17"/>
      <c r="D436" s="40"/>
      <c r="G436" s="42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2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W436" s="40"/>
      <c r="AX436" s="65"/>
      <c r="AY436" s="65"/>
      <c r="AZ436" s="16"/>
      <c r="BA436" s="16"/>
      <c r="BB436" s="65"/>
      <c r="BC436" s="16"/>
      <c r="BD436" s="16"/>
      <c r="BE436" s="16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17"/>
      <c r="BX436" s="9"/>
      <c r="BY436" s="40"/>
      <c r="BZ436" s="40"/>
      <c r="CA436" s="40"/>
      <c r="CB436" s="40"/>
      <c r="CC436" s="8"/>
    </row>
    <row r="437" ht="18.75" customHeight="1">
      <c r="A437" s="40"/>
      <c r="B437" s="17"/>
      <c r="D437" s="40"/>
      <c r="G437" s="42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2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W437" s="40"/>
      <c r="AX437" s="65"/>
      <c r="AY437" s="65"/>
      <c r="AZ437" s="16"/>
      <c r="BA437" s="16"/>
      <c r="BB437" s="65"/>
      <c r="BC437" s="16"/>
      <c r="BD437" s="16"/>
      <c r="BE437" s="16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17"/>
      <c r="BX437" s="9"/>
      <c r="BY437" s="40"/>
      <c r="BZ437" s="40"/>
      <c r="CA437" s="40"/>
      <c r="CB437" s="40"/>
      <c r="CC437" s="8"/>
    </row>
    <row r="438" ht="18.75" customHeight="1">
      <c r="A438" s="40"/>
      <c r="B438" s="17"/>
      <c r="D438" s="40"/>
      <c r="G438" s="42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2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W438" s="40"/>
      <c r="AX438" s="65"/>
      <c r="AY438" s="65"/>
      <c r="AZ438" s="16"/>
      <c r="BA438" s="16"/>
      <c r="BB438" s="65"/>
      <c r="BC438" s="16"/>
      <c r="BD438" s="16"/>
      <c r="BE438" s="16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17"/>
      <c r="BX438" s="9"/>
      <c r="BY438" s="40"/>
      <c r="BZ438" s="40"/>
      <c r="CA438" s="40"/>
      <c r="CB438" s="40"/>
      <c r="CC438" s="8"/>
    </row>
    <row r="439" ht="18.75" customHeight="1">
      <c r="A439" s="40"/>
      <c r="B439" s="17"/>
      <c r="D439" s="40"/>
      <c r="G439" s="42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2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W439" s="40"/>
      <c r="AX439" s="65"/>
      <c r="AY439" s="65"/>
      <c r="AZ439" s="16"/>
      <c r="BA439" s="16"/>
      <c r="BB439" s="65"/>
      <c r="BC439" s="16"/>
      <c r="BD439" s="16"/>
      <c r="BE439" s="16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17"/>
      <c r="BX439" s="9"/>
      <c r="BY439" s="40"/>
      <c r="BZ439" s="40"/>
      <c r="CA439" s="40"/>
      <c r="CB439" s="40"/>
      <c r="CC439" s="8"/>
    </row>
    <row r="440" ht="18.75" customHeight="1">
      <c r="A440" s="40"/>
      <c r="B440" s="17"/>
      <c r="D440" s="40"/>
      <c r="G440" s="42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2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W440" s="40"/>
      <c r="AX440" s="65"/>
      <c r="AY440" s="65"/>
      <c r="AZ440" s="16"/>
      <c r="BA440" s="16"/>
      <c r="BB440" s="65"/>
      <c r="BC440" s="16"/>
      <c r="BD440" s="16"/>
      <c r="BE440" s="16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17"/>
      <c r="BX440" s="9"/>
      <c r="BY440" s="40"/>
      <c r="BZ440" s="40"/>
      <c r="CA440" s="40"/>
      <c r="CB440" s="40"/>
      <c r="CC440" s="8"/>
    </row>
    <row r="441" ht="18.75" customHeight="1">
      <c r="A441" s="40"/>
      <c r="B441" s="17"/>
      <c r="D441" s="40"/>
      <c r="G441" s="42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2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W441" s="40"/>
      <c r="AX441" s="65"/>
      <c r="AY441" s="65"/>
      <c r="AZ441" s="16"/>
      <c r="BA441" s="16"/>
      <c r="BB441" s="65"/>
      <c r="BC441" s="16"/>
      <c r="BD441" s="16"/>
      <c r="BE441" s="16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17"/>
      <c r="BX441" s="9"/>
      <c r="BY441" s="40"/>
      <c r="BZ441" s="40"/>
      <c r="CA441" s="40"/>
      <c r="CB441" s="40"/>
      <c r="CC441" s="8"/>
    </row>
    <row r="442" ht="18.75" customHeight="1">
      <c r="A442" s="40"/>
      <c r="B442" s="17"/>
      <c r="D442" s="40"/>
      <c r="G442" s="42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2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W442" s="40"/>
      <c r="AX442" s="65"/>
      <c r="AY442" s="65"/>
      <c r="AZ442" s="16"/>
      <c r="BA442" s="16"/>
      <c r="BB442" s="65"/>
      <c r="BC442" s="16"/>
      <c r="BD442" s="16"/>
      <c r="BE442" s="16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17"/>
      <c r="BX442" s="9"/>
      <c r="BY442" s="40"/>
      <c r="BZ442" s="40"/>
      <c r="CA442" s="40"/>
      <c r="CB442" s="40"/>
      <c r="CC442" s="8"/>
    </row>
    <row r="443" ht="18.75" customHeight="1">
      <c r="A443" s="40"/>
      <c r="B443" s="17"/>
      <c r="D443" s="40"/>
      <c r="G443" s="42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2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W443" s="40"/>
      <c r="AX443" s="65"/>
      <c r="AY443" s="65"/>
      <c r="AZ443" s="16"/>
      <c r="BA443" s="16"/>
      <c r="BB443" s="65"/>
      <c r="BC443" s="16"/>
      <c r="BD443" s="16"/>
      <c r="BE443" s="16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17"/>
      <c r="BX443" s="9"/>
      <c r="BY443" s="40"/>
      <c r="BZ443" s="40"/>
      <c r="CA443" s="40"/>
      <c r="CB443" s="40"/>
      <c r="CC443" s="8"/>
    </row>
    <row r="444" ht="18.75" customHeight="1">
      <c r="A444" s="40"/>
      <c r="B444" s="17"/>
      <c r="D444" s="40"/>
      <c r="G444" s="42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2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W444" s="40"/>
      <c r="AX444" s="65"/>
      <c r="AY444" s="65"/>
      <c r="AZ444" s="16"/>
      <c r="BA444" s="16"/>
      <c r="BB444" s="65"/>
      <c r="BC444" s="16"/>
      <c r="BD444" s="16"/>
      <c r="BE444" s="16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17"/>
      <c r="BX444" s="9"/>
      <c r="BY444" s="40"/>
      <c r="BZ444" s="40"/>
      <c r="CA444" s="40"/>
      <c r="CB444" s="40"/>
      <c r="CC444" s="8"/>
    </row>
    <row r="445" ht="18.75" customHeight="1">
      <c r="A445" s="40"/>
      <c r="B445" s="17"/>
      <c r="D445" s="40"/>
      <c r="G445" s="42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2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W445" s="40"/>
      <c r="AX445" s="65"/>
      <c r="AY445" s="65"/>
      <c r="AZ445" s="16"/>
      <c r="BA445" s="16"/>
      <c r="BB445" s="65"/>
      <c r="BC445" s="16"/>
      <c r="BD445" s="16"/>
      <c r="BE445" s="16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17"/>
      <c r="BX445" s="9"/>
      <c r="BY445" s="40"/>
      <c r="BZ445" s="40"/>
      <c r="CA445" s="40"/>
      <c r="CB445" s="40"/>
      <c r="CC445" s="8"/>
    </row>
    <row r="446" ht="18.75" customHeight="1">
      <c r="A446" s="40"/>
      <c r="B446" s="17"/>
      <c r="D446" s="40"/>
      <c r="G446" s="42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2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W446" s="40"/>
      <c r="AX446" s="65"/>
      <c r="AY446" s="65"/>
      <c r="AZ446" s="16"/>
      <c r="BA446" s="16"/>
      <c r="BB446" s="65"/>
      <c r="BC446" s="16"/>
      <c r="BD446" s="16"/>
      <c r="BE446" s="16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17"/>
      <c r="BX446" s="9"/>
      <c r="BY446" s="40"/>
      <c r="BZ446" s="40"/>
      <c r="CA446" s="40"/>
      <c r="CB446" s="40"/>
      <c r="CC446" s="8"/>
    </row>
    <row r="447" ht="18.75" customHeight="1">
      <c r="A447" s="40"/>
      <c r="B447" s="17"/>
      <c r="D447" s="40"/>
      <c r="G447" s="42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2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W447" s="40"/>
      <c r="AX447" s="65"/>
      <c r="AY447" s="65"/>
      <c r="AZ447" s="16"/>
      <c r="BA447" s="16"/>
      <c r="BB447" s="65"/>
      <c r="BC447" s="16"/>
      <c r="BD447" s="16"/>
      <c r="BE447" s="16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17"/>
      <c r="BX447" s="9"/>
      <c r="BY447" s="40"/>
      <c r="BZ447" s="40"/>
      <c r="CA447" s="40"/>
      <c r="CB447" s="40"/>
      <c r="CC447" s="8"/>
    </row>
    <row r="448" ht="18.75" customHeight="1">
      <c r="A448" s="40"/>
      <c r="B448" s="17"/>
      <c r="D448" s="40"/>
      <c r="G448" s="42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2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W448" s="40"/>
      <c r="AX448" s="65"/>
      <c r="AY448" s="65"/>
      <c r="AZ448" s="16"/>
      <c r="BA448" s="16"/>
      <c r="BB448" s="65"/>
      <c r="BC448" s="16"/>
      <c r="BD448" s="16"/>
      <c r="BE448" s="16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17"/>
      <c r="BX448" s="9"/>
      <c r="BY448" s="40"/>
      <c r="BZ448" s="40"/>
      <c r="CA448" s="40"/>
      <c r="CB448" s="40"/>
      <c r="CC448" s="8"/>
    </row>
    <row r="449" ht="18.75" customHeight="1">
      <c r="A449" s="40"/>
      <c r="B449" s="17"/>
      <c r="D449" s="40"/>
      <c r="G449" s="42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2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W449" s="40"/>
      <c r="AX449" s="65"/>
      <c r="AY449" s="65"/>
      <c r="AZ449" s="16"/>
      <c r="BA449" s="16"/>
      <c r="BB449" s="65"/>
      <c r="BC449" s="16"/>
      <c r="BD449" s="16"/>
      <c r="BE449" s="16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17"/>
      <c r="BX449" s="9"/>
      <c r="BY449" s="40"/>
      <c r="BZ449" s="40"/>
      <c r="CA449" s="40"/>
      <c r="CB449" s="40"/>
      <c r="CC449" s="8"/>
    </row>
    <row r="450" ht="18.75" customHeight="1">
      <c r="A450" s="40"/>
      <c r="B450" s="17"/>
      <c r="D450" s="40"/>
      <c r="G450" s="42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2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W450" s="40"/>
      <c r="AX450" s="65"/>
      <c r="AY450" s="65"/>
      <c r="AZ450" s="16"/>
      <c r="BA450" s="16"/>
      <c r="BB450" s="65"/>
      <c r="BC450" s="16"/>
      <c r="BD450" s="16"/>
      <c r="BE450" s="16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17"/>
      <c r="BX450" s="9"/>
      <c r="BY450" s="40"/>
      <c r="BZ450" s="40"/>
      <c r="CA450" s="40"/>
      <c r="CB450" s="40"/>
      <c r="CC450" s="8"/>
    </row>
    <row r="451" ht="18.75" customHeight="1">
      <c r="A451" s="40"/>
      <c r="B451" s="17"/>
      <c r="D451" s="40"/>
      <c r="G451" s="42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2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W451" s="40"/>
      <c r="AX451" s="65"/>
      <c r="AY451" s="65"/>
      <c r="AZ451" s="16"/>
      <c r="BA451" s="16"/>
      <c r="BB451" s="65"/>
      <c r="BC451" s="16"/>
      <c r="BD451" s="16"/>
      <c r="BE451" s="16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17"/>
      <c r="BX451" s="9"/>
      <c r="BY451" s="40"/>
      <c r="BZ451" s="40"/>
      <c r="CA451" s="40"/>
      <c r="CB451" s="40"/>
      <c r="CC451" s="8"/>
    </row>
    <row r="452" ht="18.75" customHeight="1">
      <c r="A452" s="40"/>
      <c r="B452" s="17"/>
      <c r="D452" s="40"/>
      <c r="G452" s="42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2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W452" s="40"/>
      <c r="AX452" s="65"/>
      <c r="AY452" s="65"/>
      <c r="AZ452" s="16"/>
      <c r="BA452" s="16"/>
      <c r="BB452" s="65"/>
      <c r="BC452" s="16"/>
      <c r="BD452" s="16"/>
      <c r="BE452" s="16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17"/>
      <c r="BX452" s="9"/>
      <c r="BY452" s="40"/>
      <c r="BZ452" s="40"/>
      <c r="CA452" s="40"/>
      <c r="CB452" s="40"/>
      <c r="CC452" s="8"/>
    </row>
    <row r="453" ht="18.75" customHeight="1">
      <c r="A453" s="40"/>
      <c r="B453" s="17"/>
      <c r="D453" s="40"/>
      <c r="G453" s="42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2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W453" s="40"/>
      <c r="AX453" s="65"/>
      <c r="AY453" s="65"/>
      <c r="AZ453" s="16"/>
      <c r="BA453" s="16"/>
      <c r="BB453" s="65"/>
      <c r="BC453" s="16"/>
      <c r="BD453" s="16"/>
      <c r="BE453" s="16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17"/>
      <c r="BX453" s="9"/>
      <c r="BY453" s="40"/>
      <c r="BZ453" s="40"/>
      <c r="CA453" s="40"/>
      <c r="CB453" s="40"/>
      <c r="CC453" s="8"/>
    </row>
    <row r="454" ht="18.75" customHeight="1">
      <c r="A454" s="40"/>
      <c r="B454" s="17"/>
      <c r="D454" s="40"/>
      <c r="G454" s="42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2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W454" s="40"/>
      <c r="AX454" s="65"/>
      <c r="AY454" s="65"/>
      <c r="AZ454" s="16"/>
      <c r="BA454" s="16"/>
      <c r="BB454" s="65"/>
      <c r="BC454" s="16"/>
      <c r="BD454" s="16"/>
      <c r="BE454" s="16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17"/>
      <c r="BX454" s="9"/>
      <c r="BY454" s="40"/>
      <c r="BZ454" s="40"/>
      <c r="CA454" s="40"/>
      <c r="CB454" s="40"/>
      <c r="CC454" s="8"/>
    </row>
    <row r="455" ht="18.75" customHeight="1">
      <c r="A455" s="40"/>
      <c r="B455" s="17"/>
      <c r="D455" s="40"/>
      <c r="G455" s="42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2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W455" s="40"/>
      <c r="AX455" s="65"/>
      <c r="AY455" s="65"/>
      <c r="AZ455" s="16"/>
      <c r="BA455" s="16"/>
      <c r="BB455" s="65"/>
      <c r="BC455" s="16"/>
      <c r="BD455" s="16"/>
      <c r="BE455" s="16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17"/>
      <c r="BX455" s="9"/>
      <c r="BY455" s="40"/>
      <c r="BZ455" s="40"/>
      <c r="CA455" s="40"/>
      <c r="CB455" s="40"/>
      <c r="CC455" s="8"/>
    </row>
    <row r="456" ht="18.75" customHeight="1">
      <c r="A456" s="40"/>
      <c r="B456" s="17"/>
      <c r="D456" s="40"/>
      <c r="G456" s="42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2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W456" s="40"/>
      <c r="AX456" s="65"/>
      <c r="AY456" s="65"/>
      <c r="AZ456" s="16"/>
      <c r="BA456" s="16"/>
      <c r="BB456" s="65"/>
      <c r="BC456" s="16"/>
      <c r="BD456" s="16"/>
      <c r="BE456" s="16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17"/>
      <c r="BX456" s="9"/>
      <c r="BY456" s="40"/>
      <c r="BZ456" s="40"/>
      <c r="CA456" s="40"/>
      <c r="CB456" s="40"/>
      <c r="CC456" s="8"/>
    </row>
    <row r="457" ht="18.75" customHeight="1">
      <c r="A457" s="40"/>
      <c r="B457" s="17"/>
      <c r="D457" s="40"/>
      <c r="G457" s="42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2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W457" s="40"/>
      <c r="AX457" s="65"/>
      <c r="AY457" s="65"/>
      <c r="AZ457" s="16"/>
      <c r="BA457" s="16"/>
      <c r="BB457" s="65"/>
      <c r="BC457" s="16"/>
      <c r="BD457" s="16"/>
      <c r="BE457" s="16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17"/>
      <c r="BX457" s="9"/>
      <c r="BY457" s="40"/>
      <c r="BZ457" s="40"/>
      <c r="CA457" s="40"/>
      <c r="CB457" s="40"/>
      <c r="CC457" s="8"/>
    </row>
    <row r="458" ht="18.75" customHeight="1">
      <c r="A458" s="40"/>
      <c r="B458" s="17"/>
      <c r="D458" s="40"/>
      <c r="G458" s="42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2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W458" s="40"/>
      <c r="AX458" s="65"/>
      <c r="AY458" s="65"/>
      <c r="AZ458" s="16"/>
      <c r="BA458" s="16"/>
      <c r="BB458" s="65"/>
      <c r="BC458" s="16"/>
      <c r="BD458" s="16"/>
      <c r="BE458" s="16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17"/>
      <c r="BX458" s="9"/>
      <c r="BY458" s="40"/>
      <c r="BZ458" s="40"/>
      <c r="CA458" s="40"/>
      <c r="CB458" s="40"/>
      <c r="CC458" s="8"/>
    </row>
    <row r="459" ht="18.75" customHeight="1">
      <c r="A459" s="40"/>
      <c r="B459" s="17"/>
      <c r="D459" s="40"/>
      <c r="G459" s="42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2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W459" s="40"/>
      <c r="AX459" s="65"/>
      <c r="AY459" s="65"/>
      <c r="AZ459" s="16"/>
      <c r="BA459" s="16"/>
      <c r="BB459" s="65"/>
      <c r="BC459" s="16"/>
      <c r="BD459" s="16"/>
      <c r="BE459" s="16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17"/>
      <c r="BX459" s="9"/>
      <c r="BY459" s="40"/>
      <c r="BZ459" s="40"/>
      <c r="CA459" s="40"/>
      <c r="CB459" s="40"/>
      <c r="CC459" s="8"/>
    </row>
    <row r="460" ht="18.75" customHeight="1">
      <c r="A460" s="40"/>
      <c r="B460" s="17"/>
      <c r="D460" s="40"/>
      <c r="G460" s="42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2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W460" s="40"/>
      <c r="AX460" s="65"/>
      <c r="AY460" s="65"/>
      <c r="AZ460" s="16"/>
      <c r="BA460" s="16"/>
      <c r="BB460" s="65"/>
      <c r="BC460" s="16"/>
      <c r="BD460" s="16"/>
      <c r="BE460" s="16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17"/>
      <c r="BX460" s="9"/>
      <c r="BY460" s="40"/>
      <c r="BZ460" s="40"/>
      <c r="CA460" s="40"/>
      <c r="CB460" s="40"/>
      <c r="CC460" s="8"/>
    </row>
    <row r="461" ht="18.75" customHeight="1">
      <c r="A461" s="40"/>
      <c r="B461" s="17"/>
      <c r="D461" s="40"/>
      <c r="G461" s="42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2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W461" s="40"/>
      <c r="AX461" s="65"/>
      <c r="AY461" s="65"/>
      <c r="AZ461" s="16"/>
      <c r="BA461" s="16"/>
      <c r="BB461" s="65"/>
      <c r="BC461" s="16"/>
      <c r="BD461" s="16"/>
      <c r="BE461" s="16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17"/>
      <c r="BX461" s="9"/>
      <c r="BY461" s="40"/>
      <c r="BZ461" s="40"/>
      <c r="CA461" s="40"/>
      <c r="CB461" s="40"/>
      <c r="CC461" s="8"/>
    </row>
    <row r="462" ht="18.75" customHeight="1">
      <c r="A462" s="40"/>
      <c r="B462" s="17"/>
      <c r="D462" s="40"/>
      <c r="G462" s="42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2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W462" s="40"/>
      <c r="AX462" s="65"/>
      <c r="AY462" s="65"/>
      <c r="AZ462" s="16"/>
      <c r="BA462" s="16"/>
      <c r="BB462" s="65"/>
      <c r="BC462" s="16"/>
      <c r="BD462" s="16"/>
      <c r="BE462" s="16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17"/>
      <c r="BX462" s="9"/>
      <c r="BY462" s="40"/>
      <c r="BZ462" s="40"/>
      <c r="CA462" s="40"/>
      <c r="CB462" s="40"/>
      <c r="CC462" s="8"/>
    </row>
    <row r="463" ht="18.75" customHeight="1">
      <c r="A463" s="40"/>
      <c r="B463" s="17"/>
      <c r="D463" s="40"/>
      <c r="G463" s="42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2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W463" s="40"/>
      <c r="AX463" s="65"/>
      <c r="AY463" s="65"/>
      <c r="AZ463" s="16"/>
      <c r="BA463" s="16"/>
      <c r="BB463" s="65"/>
      <c r="BC463" s="16"/>
      <c r="BD463" s="16"/>
      <c r="BE463" s="16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17"/>
      <c r="BX463" s="9"/>
      <c r="BY463" s="40"/>
      <c r="BZ463" s="40"/>
      <c r="CA463" s="40"/>
      <c r="CB463" s="40"/>
      <c r="CC463" s="8"/>
    </row>
    <row r="464" ht="18.75" customHeight="1">
      <c r="A464" s="40"/>
      <c r="B464" s="17"/>
      <c r="D464" s="40"/>
      <c r="G464" s="42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2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W464" s="40"/>
      <c r="AX464" s="65"/>
      <c r="AY464" s="65"/>
      <c r="AZ464" s="16"/>
      <c r="BA464" s="16"/>
      <c r="BB464" s="65"/>
      <c r="BC464" s="16"/>
      <c r="BD464" s="16"/>
      <c r="BE464" s="16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17"/>
      <c r="BX464" s="9"/>
      <c r="BY464" s="40"/>
      <c r="BZ464" s="40"/>
      <c r="CA464" s="40"/>
      <c r="CB464" s="40"/>
      <c r="CC464" s="8"/>
    </row>
    <row r="465" ht="18.75" customHeight="1">
      <c r="A465" s="40"/>
      <c r="B465" s="17"/>
      <c r="D465" s="40"/>
      <c r="G465" s="42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2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W465" s="40"/>
      <c r="AX465" s="65"/>
      <c r="AY465" s="65"/>
      <c r="AZ465" s="16"/>
      <c r="BA465" s="16"/>
      <c r="BB465" s="65"/>
      <c r="BC465" s="16"/>
      <c r="BD465" s="16"/>
      <c r="BE465" s="16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17"/>
      <c r="BX465" s="9"/>
      <c r="BY465" s="40"/>
      <c r="BZ465" s="40"/>
      <c r="CA465" s="40"/>
      <c r="CB465" s="40"/>
      <c r="CC465" s="8"/>
    </row>
    <row r="466" ht="18.75" customHeight="1">
      <c r="A466" s="40"/>
      <c r="B466" s="17"/>
      <c r="D466" s="40"/>
      <c r="G466" s="42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2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W466" s="40"/>
      <c r="AX466" s="65"/>
      <c r="AY466" s="65"/>
      <c r="AZ466" s="16"/>
      <c r="BA466" s="16"/>
      <c r="BB466" s="65"/>
      <c r="BC466" s="16"/>
      <c r="BD466" s="16"/>
      <c r="BE466" s="16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17"/>
      <c r="BX466" s="9"/>
      <c r="BY466" s="40"/>
      <c r="BZ466" s="40"/>
      <c r="CA466" s="40"/>
      <c r="CB466" s="40"/>
      <c r="CC466" s="8"/>
    </row>
    <row r="467" ht="18.75" customHeight="1">
      <c r="A467" s="40"/>
      <c r="B467" s="17"/>
      <c r="D467" s="40"/>
      <c r="G467" s="42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2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W467" s="40"/>
      <c r="AX467" s="65"/>
      <c r="AY467" s="65"/>
      <c r="AZ467" s="16"/>
      <c r="BA467" s="16"/>
      <c r="BB467" s="65"/>
      <c r="BC467" s="16"/>
      <c r="BD467" s="16"/>
      <c r="BE467" s="16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17"/>
      <c r="BX467" s="9"/>
      <c r="BY467" s="40"/>
      <c r="BZ467" s="40"/>
      <c r="CA467" s="40"/>
      <c r="CB467" s="40"/>
      <c r="CC467" s="8"/>
    </row>
    <row r="468" ht="18.75" customHeight="1">
      <c r="A468" s="40"/>
      <c r="B468" s="17"/>
      <c r="D468" s="40"/>
      <c r="G468" s="42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2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W468" s="40"/>
      <c r="AX468" s="65"/>
      <c r="AY468" s="65"/>
      <c r="AZ468" s="16"/>
      <c r="BA468" s="16"/>
      <c r="BB468" s="65"/>
      <c r="BC468" s="16"/>
      <c r="BD468" s="16"/>
      <c r="BE468" s="16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17"/>
      <c r="BX468" s="9"/>
      <c r="BY468" s="40"/>
      <c r="BZ468" s="40"/>
      <c r="CA468" s="40"/>
      <c r="CB468" s="40"/>
      <c r="CC468" s="8"/>
    </row>
    <row r="469" ht="18.75" customHeight="1">
      <c r="A469" s="40"/>
      <c r="B469" s="17"/>
      <c r="D469" s="40"/>
      <c r="G469" s="42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2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W469" s="40"/>
      <c r="AX469" s="65"/>
      <c r="AY469" s="65"/>
      <c r="AZ469" s="16"/>
      <c r="BA469" s="16"/>
      <c r="BB469" s="65"/>
      <c r="BC469" s="16"/>
      <c r="BD469" s="16"/>
      <c r="BE469" s="16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17"/>
      <c r="BX469" s="9"/>
      <c r="BY469" s="40"/>
      <c r="BZ469" s="40"/>
      <c r="CA469" s="40"/>
      <c r="CB469" s="40"/>
      <c r="CC469" s="8"/>
    </row>
    <row r="470" ht="18.75" customHeight="1">
      <c r="A470" s="40"/>
      <c r="B470" s="17"/>
      <c r="D470" s="40"/>
      <c r="G470" s="42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2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W470" s="40"/>
      <c r="AX470" s="65"/>
      <c r="AY470" s="65"/>
      <c r="AZ470" s="16"/>
      <c r="BA470" s="16"/>
      <c r="BB470" s="65"/>
      <c r="BC470" s="16"/>
      <c r="BD470" s="16"/>
      <c r="BE470" s="16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17"/>
      <c r="BX470" s="9"/>
      <c r="BY470" s="40"/>
      <c r="BZ470" s="40"/>
      <c r="CA470" s="40"/>
      <c r="CB470" s="40"/>
      <c r="CC470" s="8"/>
    </row>
    <row r="471" ht="18.75" customHeight="1">
      <c r="A471" s="40"/>
      <c r="B471" s="17"/>
      <c r="D471" s="40"/>
      <c r="G471" s="42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2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W471" s="40"/>
      <c r="AX471" s="65"/>
      <c r="AY471" s="65"/>
      <c r="AZ471" s="16"/>
      <c r="BA471" s="16"/>
      <c r="BB471" s="65"/>
      <c r="BC471" s="16"/>
      <c r="BD471" s="16"/>
      <c r="BE471" s="16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17"/>
      <c r="BX471" s="9"/>
      <c r="BY471" s="40"/>
      <c r="BZ471" s="40"/>
      <c r="CA471" s="40"/>
      <c r="CB471" s="40"/>
      <c r="CC471" s="8"/>
    </row>
    <row r="472" ht="18.75" customHeight="1">
      <c r="A472" s="40"/>
      <c r="B472" s="17"/>
      <c r="D472" s="40"/>
      <c r="G472" s="42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2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W472" s="40"/>
      <c r="AX472" s="65"/>
      <c r="AY472" s="65"/>
      <c r="AZ472" s="16"/>
      <c r="BA472" s="16"/>
      <c r="BB472" s="65"/>
      <c r="BC472" s="16"/>
      <c r="BD472" s="16"/>
      <c r="BE472" s="16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17"/>
      <c r="BX472" s="9"/>
      <c r="BY472" s="40"/>
      <c r="BZ472" s="40"/>
      <c r="CA472" s="40"/>
      <c r="CB472" s="40"/>
      <c r="CC472" s="8"/>
    </row>
    <row r="473" ht="18.75" customHeight="1">
      <c r="A473" s="40"/>
      <c r="B473" s="17"/>
      <c r="D473" s="40"/>
      <c r="G473" s="42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2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W473" s="40"/>
      <c r="AX473" s="65"/>
      <c r="AY473" s="65"/>
      <c r="AZ473" s="16"/>
      <c r="BA473" s="16"/>
      <c r="BB473" s="65"/>
      <c r="BC473" s="16"/>
      <c r="BD473" s="16"/>
      <c r="BE473" s="16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17"/>
      <c r="BX473" s="9"/>
      <c r="BY473" s="40"/>
      <c r="BZ473" s="40"/>
      <c r="CA473" s="40"/>
      <c r="CB473" s="40"/>
      <c r="CC473" s="8"/>
    </row>
    <row r="474" ht="18.75" customHeight="1">
      <c r="A474" s="40"/>
      <c r="B474" s="17"/>
      <c r="D474" s="40"/>
      <c r="G474" s="42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2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W474" s="40"/>
      <c r="AX474" s="65"/>
      <c r="AY474" s="65"/>
      <c r="AZ474" s="16"/>
      <c r="BA474" s="16"/>
      <c r="BB474" s="65"/>
      <c r="BC474" s="16"/>
      <c r="BD474" s="16"/>
      <c r="BE474" s="16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17"/>
      <c r="BX474" s="9"/>
      <c r="BY474" s="40"/>
      <c r="BZ474" s="40"/>
      <c r="CA474" s="40"/>
      <c r="CB474" s="40"/>
      <c r="CC474" s="8"/>
    </row>
    <row r="475" ht="18.75" customHeight="1">
      <c r="A475" s="40"/>
      <c r="B475" s="17"/>
      <c r="D475" s="40"/>
      <c r="G475" s="42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2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W475" s="40"/>
      <c r="AX475" s="65"/>
      <c r="AY475" s="65"/>
      <c r="AZ475" s="16"/>
      <c r="BA475" s="16"/>
      <c r="BB475" s="65"/>
      <c r="BC475" s="16"/>
      <c r="BD475" s="16"/>
      <c r="BE475" s="16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17"/>
      <c r="BX475" s="9"/>
      <c r="BY475" s="40"/>
      <c r="BZ475" s="40"/>
      <c r="CA475" s="40"/>
      <c r="CB475" s="40"/>
      <c r="CC475" s="8"/>
    </row>
    <row r="476" ht="18.75" customHeight="1">
      <c r="A476" s="40"/>
      <c r="B476" s="17"/>
      <c r="D476" s="40"/>
      <c r="G476" s="42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2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W476" s="40"/>
      <c r="AX476" s="65"/>
      <c r="AY476" s="65"/>
      <c r="AZ476" s="16"/>
      <c r="BA476" s="16"/>
      <c r="BB476" s="65"/>
      <c r="BC476" s="16"/>
      <c r="BD476" s="16"/>
      <c r="BE476" s="16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17"/>
      <c r="BX476" s="9"/>
      <c r="BY476" s="40"/>
      <c r="BZ476" s="40"/>
      <c r="CA476" s="40"/>
      <c r="CB476" s="40"/>
      <c r="CC476" s="8"/>
    </row>
    <row r="477" ht="18.75" customHeight="1">
      <c r="A477" s="40"/>
      <c r="B477" s="17"/>
      <c r="D477" s="40"/>
      <c r="G477" s="42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2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W477" s="40"/>
      <c r="AX477" s="65"/>
      <c r="AY477" s="65"/>
      <c r="AZ477" s="16"/>
      <c r="BA477" s="16"/>
      <c r="BB477" s="65"/>
      <c r="BC477" s="16"/>
      <c r="BD477" s="16"/>
      <c r="BE477" s="16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17"/>
      <c r="BX477" s="9"/>
      <c r="BY477" s="40"/>
      <c r="BZ477" s="40"/>
      <c r="CA477" s="40"/>
      <c r="CB477" s="40"/>
      <c r="CC477" s="8"/>
    </row>
    <row r="478" ht="18.75" customHeight="1">
      <c r="A478" s="40"/>
      <c r="B478" s="17"/>
      <c r="D478" s="40"/>
      <c r="G478" s="42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2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W478" s="40"/>
      <c r="AX478" s="65"/>
      <c r="AY478" s="65"/>
      <c r="AZ478" s="16"/>
      <c r="BA478" s="16"/>
      <c r="BB478" s="65"/>
      <c r="BC478" s="16"/>
      <c r="BD478" s="16"/>
      <c r="BE478" s="16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17"/>
      <c r="BX478" s="9"/>
      <c r="BY478" s="40"/>
      <c r="BZ478" s="40"/>
      <c r="CA478" s="40"/>
      <c r="CB478" s="40"/>
      <c r="CC478" s="8"/>
    </row>
    <row r="479" ht="18.75" customHeight="1">
      <c r="A479" s="40"/>
      <c r="B479" s="17"/>
      <c r="D479" s="40"/>
      <c r="G479" s="42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2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W479" s="40"/>
      <c r="AX479" s="65"/>
      <c r="AY479" s="65"/>
      <c r="AZ479" s="16"/>
      <c r="BA479" s="16"/>
      <c r="BB479" s="65"/>
      <c r="BC479" s="16"/>
      <c r="BD479" s="16"/>
      <c r="BE479" s="16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17"/>
      <c r="BX479" s="9"/>
      <c r="BY479" s="40"/>
      <c r="BZ479" s="40"/>
      <c r="CA479" s="40"/>
      <c r="CB479" s="40"/>
      <c r="CC479" s="8"/>
    </row>
    <row r="480" ht="18.75" customHeight="1">
      <c r="A480" s="40"/>
      <c r="B480" s="17"/>
      <c r="D480" s="40"/>
      <c r="G480" s="42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2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W480" s="40"/>
      <c r="AX480" s="65"/>
      <c r="AY480" s="65"/>
      <c r="AZ480" s="16"/>
      <c r="BA480" s="16"/>
      <c r="BB480" s="65"/>
      <c r="BC480" s="16"/>
      <c r="BD480" s="16"/>
      <c r="BE480" s="16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17"/>
      <c r="BX480" s="9"/>
      <c r="BY480" s="40"/>
      <c r="BZ480" s="40"/>
      <c r="CA480" s="40"/>
      <c r="CB480" s="40"/>
      <c r="CC480" s="8"/>
    </row>
    <row r="481" ht="18.75" customHeight="1">
      <c r="A481" s="40"/>
      <c r="B481" s="17"/>
      <c r="D481" s="40"/>
      <c r="G481" s="42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2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W481" s="40"/>
      <c r="AX481" s="65"/>
      <c r="AY481" s="65"/>
      <c r="AZ481" s="16"/>
      <c r="BA481" s="16"/>
      <c r="BB481" s="65"/>
      <c r="BC481" s="16"/>
      <c r="BD481" s="16"/>
      <c r="BE481" s="16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17"/>
      <c r="BX481" s="9"/>
      <c r="BY481" s="40"/>
      <c r="BZ481" s="40"/>
      <c r="CA481" s="40"/>
      <c r="CB481" s="40"/>
      <c r="CC481" s="8"/>
    </row>
    <row r="482" ht="18.75" customHeight="1">
      <c r="A482" s="40"/>
      <c r="B482" s="17"/>
      <c r="D482" s="40"/>
      <c r="G482" s="42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2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W482" s="40"/>
      <c r="AX482" s="65"/>
      <c r="AY482" s="65"/>
      <c r="AZ482" s="16"/>
      <c r="BA482" s="16"/>
      <c r="BB482" s="65"/>
      <c r="BC482" s="16"/>
      <c r="BD482" s="16"/>
      <c r="BE482" s="16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17"/>
      <c r="BX482" s="9"/>
      <c r="BY482" s="40"/>
      <c r="BZ482" s="40"/>
      <c r="CA482" s="40"/>
      <c r="CB482" s="40"/>
      <c r="CC482" s="8"/>
    </row>
    <row r="483" ht="18.75" customHeight="1">
      <c r="A483" s="40"/>
      <c r="B483" s="17"/>
      <c r="D483" s="40"/>
      <c r="G483" s="42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2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W483" s="40"/>
      <c r="AX483" s="65"/>
      <c r="AY483" s="65"/>
      <c r="AZ483" s="16"/>
      <c r="BA483" s="16"/>
      <c r="BB483" s="65"/>
      <c r="BC483" s="16"/>
      <c r="BD483" s="16"/>
      <c r="BE483" s="16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17"/>
      <c r="BX483" s="9"/>
      <c r="BY483" s="40"/>
      <c r="BZ483" s="40"/>
      <c r="CA483" s="40"/>
      <c r="CB483" s="40"/>
      <c r="CC483" s="8"/>
    </row>
    <row r="484" ht="18.75" customHeight="1">
      <c r="A484" s="40"/>
      <c r="B484" s="17"/>
      <c r="D484" s="40"/>
      <c r="G484" s="42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2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W484" s="40"/>
      <c r="AX484" s="65"/>
      <c r="AY484" s="65"/>
      <c r="AZ484" s="16"/>
      <c r="BA484" s="16"/>
      <c r="BB484" s="65"/>
      <c r="BC484" s="16"/>
      <c r="BD484" s="16"/>
      <c r="BE484" s="16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17"/>
      <c r="BX484" s="9"/>
      <c r="BY484" s="40"/>
      <c r="BZ484" s="40"/>
      <c r="CA484" s="40"/>
      <c r="CB484" s="40"/>
      <c r="CC484" s="8"/>
    </row>
    <row r="485" ht="18.75" customHeight="1">
      <c r="A485" s="40"/>
      <c r="B485" s="17"/>
      <c r="D485" s="40"/>
      <c r="G485" s="42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2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W485" s="40"/>
      <c r="AX485" s="65"/>
      <c r="AY485" s="65"/>
      <c r="AZ485" s="16"/>
      <c r="BA485" s="16"/>
      <c r="BB485" s="65"/>
      <c r="BC485" s="16"/>
      <c r="BD485" s="16"/>
      <c r="BE485" s="16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17"/>
      <c r="BX485" s="9"/>
      <c r="BY485" s="40"/>
      <c r="BZ485" s="40"/>
      <c r="CA485" s="40"/>
      <c r="CB485" s="40"/>
      <c r="CC485" s="8"/>
    </row>
    <row r="486" ht="18.75" customHeight="1">
      <c r="A486" s="40"/>
      <c r="B486" s="17"/>
      <c r="D486" s="40"/>
      <c r="G486" s="42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2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W486" s="40"/>
      <c r="AX486" s="65"/>
      <c r="AY486" s="65"/>
      <c r="AZ486" s="16"/>
      <c r="BA486" s="16"/>
      <c r="BB486" s="65"/>
      <c r="BC486" s="16"/>
      <c r="BD486" s="16"/>
      <c r="BE486" s="16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17"/>
      <c r="BX486" s="9"/>
      <c r="BY486" s="40"/>
      <c r="BZ486" s="40"/>
      <c r="CA486" s="40"/>
      <c r="CB486" s="40"/>
      <c r="CC486" s="8"/>
    </row>
    <row r="487" ht="18.75" customHeight="1">
      <c r="A487" s="40"/>
      <c r="B487" s="17"/>
      <c r="D487" s="40"/>
      <c r="G487" s="42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2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W487" s="40"/>
      <c r="AX487" s="65"/>
      <c r="AY487" s="65"/>
      <c r="AZ487" s="16"/>
      <c r="BA487" s="16"/>
      <c r="BB487" s="65"/>
      <c r="BC487" s="16"/>
      <c r="BD487" s="16"/>
      <c r="BE487" s="16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17"/>
      <c r="BX487" s="9"/>
      <c r="BY487" s="40"/>
      <c r="BZ487" s="40"/>
      <c r="CA487" s="40"/>
      <c r="CB487" s="40"/>
      <c r="CC487" s="8"/>
    </row>
    <row r="488" ht="18.75" customHeight="1">
      <c r="A488" s="40"/>
      <c r="B488" s="17"/>
      <c r="D488" s="40"/>
      <c r="G488" s="42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2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W488" s="40"/>
      <c r="AX488" s="65"/>
      <c r="AY488" s="65"/>
      <c r="AZ488" s="16"/>
      <c r="BA488" s="16"/>
      <c r="BB488" s="65"/>
      <c r="BC488" s="16"/>
      <c r="BD488" s="16"/>
      <c r="BE488" s="16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17"/>
      <c r="BX488" s="9"/>
      <c r="BY488" s="40"/>
      <c r="BZ488" s="40"/>
      <c r="CA488" s="40"/>
      <c r="CB488" s="40"/>
      <c r="CC488" s="8"/>
    </row>
    <row r="489" ht="18.75" customHeight="1">
      <c r="A489" s="40"/>
      <c r="B489" s="17"/>
      <c r="D489" s="40"/>
      <c r="G489" s="42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2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W489" s="40"/>
      <c r="AX489" s="65"/>
      <c r="AY489" s="65"/>
      <c r="AZ489" s="16"/>
      <c r="BA489" s="16"/>
      <c r="BB489" s="65"/>
      <c r="BC489" s="16"/>
      <c r="BD489" s="16"/>
      <c r="BE489" s="16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17"/>
      <c r="BX489" s="9"/>
      <c r="BY489" s="40"/>
      <c r="BZ489" s="40"/>
      <c r="CA489" s="40"/>
      <c r="CB489" s="40"/>
      <c r="CC489" s="8"/>
    </row>
    <row r="490" ht="18.75" customHeight="1">
      <c r="A490" s="40"/>
      <c r="B490" s="17"/>
      <c r="D490" s="40"/>
      <c r="G490" s="42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2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W490" s="40"/>
      <c r="AX490" s="65"/>
      <c r="AY490" s="65"/>
      <c r="AZ490" s="16"/>
      <c r="BA490" s="16"/>
      <c r="BB490" s="65"/>
      <c r="BC490" s="16"/>
      <c r="BD490" s="16"/>
      <c r="BE490" s="16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17"/>
      <c r="BX490" s="9"/>
      <c r="BY490" s="40"/>
      <c r="BZ490" s="40"/>
      <c r="CA490" s="40"/>
      <c r="CB490" s="40"/>
      <c r="CC490" s="8"/>
    </row>
    <row r="491" ht="18.75" customHeight="1">
      <c r="A491" s="40"/>
      <c r="B491" s="17"/>
      <c r="D491" s="40"/>
      <c r="G491" s="42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2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W491" s="40"/>
      <c r="AX491" s="65"/>
      <c r="AY491" s="65"/>
      <c r="AZ491" s="16"/>
      <c r="BA491" s="16"/>
      <c r="BB491" s="65"/>
      <c r="BC491" s="16"/>
      <c r="BD491" s="16"/>
      <c r="BE491" s="16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17"/>
      <c r="BX491" s="9"/>
      <c r="BY491" s="40"/>
      <c r="BZ491" s="40"/>
      <c r="CA491" s="40"/>
      <c r="CB491" s="40"/>
      <c r="CC491" s="8"/>
    </row>
    <row r="492" ht="18.75" customHeight="1">
      <c r="A492" s="40"/>
      <c r="B492" s="17"/>
      <c r="D492" s="40"/>
      <c r="G492" s="42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2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W492" s="40"/>
      <c r="AX492" s="65"/>
      <c r="AY492" s="65"/>
      <c r="AZ492" s="16"/>
      <c r="BA492" s="16"/>
      <c r="BB492" s="65"/>
      <c r="BC492" s="16"/>
      <c r="BD492" s="16"/>
      <c r="BE492" s="16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17"/>
      <c r="BX492" s="9"/>
      <c r="BY492" s="40"/>
      <c r="BZ492" s="40"/>
      <c r="CA492" s="40"/>
      <c r="CB492" s="40"/>
      <c r="CC492" s="8"/>
    </row>
    <row r="493" ht="18.75" customHeight="1">
      <c r="A493" s="40"/>
      <c r="B493" s="17"/>
      <c r="D493" s="40"/>
      <c r="G493" s="42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2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W493" s="40"/>
      <c r="AX493" s="65"/>
      <c r="AY493" s="65"/>
      <c r="AZ493" s="16"/>
      <c r="BA493" s="16"/>
      <c r="BB493" s="65"/>
      <c r="BC493" s="16"/>
      <c r="BD493" s="16"/>
      <c r="BE493" s="16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17"/>
      <c r="BX493" s="9"/>
      <c r="BY493" s="40"/>
      <c r="BZ493" s="40"/>
      <c r="CA493" s="40"/>
      <c r="CB493" s="40"/>
      <c r="CC493" s="8"/>
    </row>
    <row r="494" ht="18.75" customHeight="1">
      <c r="A494" s="40"/>
      <c r="B494" s="17"/>
      <c r="D494" s="40"/>
      <c r="G494" s="42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2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W494" s="40"/>
      <c r="AX494" s="65"/>
      <c r="AY494" s="65"/>
      <c r="AZ494" s="16"/>
      <c r="BA494" s="16"/>
      <c r="BB494" s="65"/>
      <c r="BC494" s="16"/>
      <c r="BD494" s="16"/>
      <c r="BE494" s="16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17"/>
      <c r="BX494" s="9"/>
      <c r="BY494" s="40"/>
      <c r="BZ494" s="40"/>
      <c r="CA494" s="40"/>
      <c r="CB494" s="40"/>
      <c r="CC494" s="8"/>
    </row>
    <row r="495" ht="18.75" customHeight="1">
      <c r="A495" s="40"/>
      <c r="B495" s="17"/>
      <c r="D495" s="40"/>
      <c r="G495" s="42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2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W495" s="40"/>
      <c r="AX495" s="65"/>
      <c r="AY495" s="65"/>
      <c r="AZ495" s="16"/>
      <c r="BA495" s="16"/>
      <c r="BB495" s="65"/>
      <c r="BC495" s="16"/>
      <c r="BD495" s="16"/>
      <c r="BE495" s="16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17"/>
      <c r="BX495" s="9"/>
      <c r="BY495" s="40"/>
      <c r="BZ495" s="40"/>
      <c r="CA495" s="40"/>
      <c r="CB495" s="40"/>
      <c r="CC495" s="8"/>
    </row>
    <row r="496" ht="18.75" customHeight="1">
      <c r="A496" s="40"/>
      <c r="B496" s="17"/>
      <c r="D496" s="40"/>
      <c r="G496" s="42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2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W496" s="40"/>
      <c r="AX496" s="65"/>
      <c r="AY496" s="65"/>
      <c r="AZ496" s="16"/>
      <c r="BA496" s="16"/>
      <c r="BB496" s="65"/>
      <c r="BC496" s="16"/>
      <c r="BD496" s="16"/>
      <c r="BE496" s="16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17"/>
      <c r="BX496" s="9"/>
      <c r="BY496" s="40"/>
      <c r="BZ496" s="40"/>
      <c r="CA496" s="40"/>
      <c r="CB496" s="40"/>
      <c r="CC496" s="8"/>
    </row>
    <row r="497" ht="18.75" customHeight="1">
      <c r="A497" s="40"/>
      <c r="B497" s="17"/>
      <c r="D497" s="40"/>
      <c r="G497" s="42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2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W497" s="40"/>
      <c r="AX497" s="65"/>
      <c r="AY497" s="65"/>
      <c r="AZ497" s="16"/>
      <c r="BA497" s="16"/>
      <c r="BB497" s="65"/>
      <c r="BC497" s="16"/>
      <c r="BD497" s="16"/>
      <c r="BE497" s="16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17"/>
      <c r="BX497" s="9"/>
      <c r="BY497" s="40"/>
      <c r="BZ497" s="40"/>
      <c r="CA497" s="40"/>
      <c r="CB497" s="40"/>
      <c r="CC497" s="8"/>
    </row>
    <row r="498" ht="18.75" customHeight="1">
      <c r="A498" s="40"/>
      <c r="B498" s="17"/>
      <c r="D498" s="40"/>
      <c r="G498" s="42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2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W498" s="40"/>
      <c r="AX498" s="65"/>
      <c r="AY498" s="65"/>
      <c r="AZ498" s="16"/>
      <c r="BA498" s="16"/>
      <c r="BB498" s="65"/>
      <c r="BC498" s="16"/>
      <c r="BD498" s="16"/>
      <c r="BE498" s="16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17"/>
      <c r="BX498" s="9"/>
      <c r="BY498" s="40"/>
      <c r="BZ498" s="40"/>
      <c r="CA498" s="40"/>
      <c r="CB498" s="40"/>
      <c r="CC498" s="8"/>
    </row>
    <row r="499" ht="18.75" customHeight="1">
      <c r="A499" s="40"/>
      <c r="B499" s="17"/>
      <c r="D499" s="40"/>
      <c r="G499" s="42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2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W499" s="40"/>
      <c r="AX499" s="65"/>
      <c r="AY499" s="65"/>
      <c r="AZ499" s="16"/>
      <c r="BA499" s="16"/>
      <c r="BB499" s="65"/>
      <c r="BC499" s="16"/>
      <c r="BD499" s="16"/>
      <c r="BE499" s="16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17"/>
      <c r="BX499" s="9"/>
      <c r="BY499" s="40"/>
      <c r="BZ499" s="40"/>
      <c r="CA499" s="40"/>
      <c r="CB499" s="40"/>
      <c r="CC499" s="8"/>
    </row>
    <row r="500" ht="18.75" customHeight="1">
      <c r="A500" s="40"/>
      <c r="B500" s="17"/>
      <c r="D500" s="40"/>
      <c r="G500" s="42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2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W500" s="40"/>
      <c r="AX500" s="65"/>
      <c r="AY500" s="65"/>
      <c r="AZ500" s="16"/>
      <c r="BA500" s="16"/>
      <c r="BB500" s="65"/>
      <c r="BC500" s="16"/>
      <c r="BD500" s="16"/>
      <c r="BE500" s="16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17"/>
      <c r="BX500" s="9"/>
      <c r="BY500" s="40"/>
      <c r="BZ500" s="40"/>
      <c r="CA500" s="40"/>
      <c r="CB500" s="40"/>
      <c r="CC500" s="8"/>
    </row>
    <row r="501" ht="18.75" customHeight="1">
      <c r="A501" s="40"/>
      <c r="B501" s="17"/>
      <c r="D501" s="40"/>
      <c r="G501" s="42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2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W501" s="40"/>
      <c r="AX501" s="65"/>
      <c r="AY501" s="65"/>
      <c r="AZ501" s="16"/>
      <c r="BA501" s="16"/>
      <c r="BB501" s="65"/>
      <c r="BC501" s="16"/>
      <c r="BD501" s="16"/>
      <c r="BE501" s="16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17"/>
      <c r="BX501" s="9"/>
      <c r="BY501" s="40"/>
      <c r="BZ501" s="40"/>
      <c r="CA501" s="40"/>
      <c r="CB501" s="40"/>
      <c r="CC501" s="8"/>
    </row>
    <row r="502" ht="18.75" customHeight="1">
      <c r="A502" s="40"/>
      <c r="B502" s="17"/>
      <c r="D502" s="40"/>
      <c r="G502" s="42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2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W502" s="40"/>
      <c r="AX502" s="65"/>
      <c r="AY502" s="65"/>
      <c r="AZ502" s="16"/>
      <c r="BA502" s="16"/>
      <c r="BB502" s="65"/>
      <c r="BC502" s="16"/>
      <c r="BD502" s="16"/>
      <c r="BE502" s="16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17"/>
      <c r="BX502" s="9"/>
      <c r="BY502" s="40"/>
      <c r="BZ502" s="40"/>
      <c r="CA502" s="40"/>
      <c r="CB502" s="40"/>
      <c r="CC502" s="8"/>
    </row>
    <row r="503" ht="18.75" customHeight="1">
      <c r="A503" s="40"/>
      <c r="B503" s="17"/>
      <c r="D503" s="40"/>
      <c r="G503" s="42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2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W503" s="40"/>
      <c r="AX503" s="65"/>
      <c r="AY503" s="65"/>
      <c r="AZ503" s="16"/>
      <c r="BA503" s="16"/>
      <c r="BB503" s="65"/>
      <c r="BC503" s="16"/>
      <c r="BD503" s="16"/>
      <c r="BE503" s="16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17"/>
      <c r="BX503" s="9"/>
      <c r="BY503" s="40"/>
      <c r="BZ503" s="40"/>
      <c r="CA503" s="40"/>
      <c r="CB503" s="40"/>
      <c r="CC503" s="8"/>
    </row>
    <row r="504" ht="18.75" customHeight="1">
      <c r="A504" s="40"/>
      <c r="B504" s="17"/>
      <c r="D504" s="40"/>
      <c r="G504" s="42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2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W504" s="40"/>
      <c r="AX504" s="65"/>
      <c r="AY504" s="65"/>
      <c r="AZ504" s="16"/>
      <c r="BA504" s="16"/>
      <c r="BB504" s="65"/>
      <c r="BC504" s="16"/>
      <c r="BD504" s="16"/>
      <c r="BE504" s="16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17"/>
      <c r="BX504" s="9"/>
      <c r="BY504" s="40"/>
      <c r="BZ504" s="40"/>
      <c r="CA504" s="40"/>
      <c r="CB504" s="40"/>
      <c r="CC504" s="8"/>
    </row>
    <row r="505" ht="18.75" customHeight="1">
      <c r="A505" s="40"/>
      <c r="B505" s="17"/>
      <c r="D505" s="40"/>
      <c r="G505" s="42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2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W505" s="40"/>
      <c r="AX505" s="65"/>
      <c r="AY505" s="65"/>
      <c r="AZ505" s="16"/>
      <c r="BA505" s="16"/>
      <c r="BB505" s="65"/>
      <c r="BC505" s="16"/>
      <c r="BD505" s="16"/>
      <c r="BE505" s="16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17"/>
      <c r="BX505" s="9"/>
      <c r="BY505" s="40"/>
      <c r="BZ505" s="40"/>
      <c r="CA505" s="40"/>
      <c r="CB505" s="40"/>
      <c r="CC505" s="8"/>
    </row>
    <row r="506" ht="18.75" customHeight="1">
      <c r="A506" s="40"/>
      <c r="B506" s="17"/>
      <c r="D506" s="40"/>
      <c r="G506" s="42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2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W506" s="40"/>
      <c r="AX506" s="65"/>
      <c r="AY506" s="65"/>
      <c r="AZ506" s="16"/>
      <c r="BA506" s="16"/>
      <c r="BB506" s="65"/>
      <c r="BC506" s="16"/>
      <c r="BD506" s="16"/>
      <c r="BE506" s="16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17"/>
      <c r="BX506" s="9"/>
      <c r="BY506" s="40"/>
      <c r="BZ506" s="40"/>
      <c r="CA506" s="40"/>
      <c r="CB506" s="40"/>
      <c r="CC506" s="8"/>
    </row>
    <row r="507" ht="18.75" customHeight="1">
      <c r="A507" s="40"/>
      <c r="B507" s="17"/>
      <c r="D507" s="40"/>
      <c r="G507" s="42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2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W507" s="40"/>
      <c r="AX507" s="65"/>
      <c r="AY507" s="65"/>
      <c r="AZ507" s="16"/>
      <c r="BA507" s="16"/>
      <c r="BB507" s="65"/>
      <c r="BC507" s="16"/>
      <c r="BD507" s="16"/>
      <c r="BE507" s="16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17"/>
      <c r="BX507" s="9"/>
      <c r="BY507" s="40"/>
      <c r="BZ507" s="40"/>
      <c r="CA507" s="40"/>
      <c r="CB507" s="40"/>
      <c r="CC507" s="8"/>
    </row>
    <row r="508" ht="18.75" customHeight="1">
      <c r="A508" s="40"/>
      <c r="B508" s="17"/>
      <c r="D508" s="40"/>
      <c r="G508" s="42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2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W508" s="40"/>
      <c r="AX508" s="65"/>
      <c r="AY508" s="65"/>
      <c r="AZ508" s="16"/>
      <c r="BA508" s="16"/>
      <c r="BB508" s="65"/>
      <c r="BC508" s="16"/>
      <c r="BD508" s="16"/>
      <c r="BE508" s="16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17"/>
      <c r="BX508" s="9"/>
      <c r="BY508" s="40"/>
      <c r="BZ508" s="40"/>
      <c r="CA508" s="40"/>
      <c r="CB508" s="40"/>
      <c r="CC508" s="8"/>
    </row>
    <row r="509" ht="18.75" customHeight="1">
      <c r="A509" s="40"/>
      <c r="B509" s="17"/>
      <c r="D509" s="40"/>
      <c r="G509" s="42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2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W509" s="40"/>
      <c r="AX509" s="65"/>
      <c r="AY509" s="65"/>
      <c r="AZ509" s="16"/>
      <c r="BA509" s="16"/>
      <c r="BB509" s="65"/>
      <c r="BC509" s="16"/>
      <c r="BD509" s="16"/>
      <c r="BE509" s="16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17"/>
      <c r="BX509" s="9"/>
      <c r="BY509" s="40"/>
      <c r="BZ509" s="40"/>
      <c r="CA509" s="40"/>
      <c r="CB509" s="40"/>
      <c r="CC509" s="8"/>
    </row>
    <row r="510" ht="18.75" customHeight="1">
      <c r="A510" s="40"/>
      <c r="B510" s="17"/>
      <c r="D510" s="40"/>
      <c r="G510" s="42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2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W510" s="40"/>
      <c r="AX510" s="65"/>
      <c r="AY510" s="65"/>
      <c r="AZ510" s="16"/>
      <c r="BA510" s="16"/>
      <c r="BB510" s="65"/>
      <c r="BC510" s="16"/>
      <c r="BD510" s="16"/>
      <c r="BE510" s="16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17"/>
      <c r="BX510" s="9"/>
      <c r="BY510" s="40"/>
      <c r="BZ510" s="40"/>
      <c r="CA510" s="40"/>
      <c r="CB510" s="40"/>
      <c r="CC510" s="8"/>
    </row>
    <row r="511" ht="18.75" customHeight="1">
      <c r="A511" s="40"/>
      <c r="B511" s="17"/>
      <c r="D511" s="40"/>
      <c r="G511" s="42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2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W511" s="40"/>
      <c r="AX511" s="65"/>
      <c r="AY511" s="65"/>
      <c r="AZ511" s="16"/>
      <c r="BA511" s="16"/>
      <c r="BB511" s="65"/>
      <c r="BC511" s="16"/>
      <c r="BD511" s="16"/>
      <c r="BE511" s="16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17"/>
      <c r="BX511" s="9"/>
      <c r="BY511" s="40"/>
      <c r="BZ511" s="40"/>
      <c r="CA511" s="40"/>
      <c r="CB511" s="40"/>
      <c r="CC511" s="8"/>
    </row>
    <row r="512" ht="18.75" customHeight="1">
      <c r="A512" s="40"/>
      <c r="B512" s="17"/>
      <c r="D512" s="40"/>
      <c r="G512" s="42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2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W512" s="40"/>
      <c r="AX512" s="65"/>
      <c r="AY512" s="65"/>
      <c r="AZ512" s="16"/>
      <c r="BA512" s="16"/>
      <c r="BB512" s="65"/>
      <c r="BC512" s="16"/>
      <c r="BD512" s="16"/>
      <c r="BE512" s="16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17"/>
      <c r="BX512" s="9"/>
      <c r="BY512" s="40"/>
      <c r="BZ512" s="40"/>
      <c r="CA512" s="40"/>
      <c r="CB512" s="40"/>
      <c r="CC512" s="8"/>
    </row>
    <row r="513" ht="18.75" customHeight="1">
      <c r="A513" s="40"/>
      <c r="B513" s="17"/>
      <c r="D513" s="40"/>
      <c r="G513" s="42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2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W513" s="40"/>
      <c r="AX513" s="65"/>
      <c r="AY513" s="65"/>
      <c r="AZ513" s="16"/>
      <c r="BA513" s="16"/>
      <c r="BB513" s="65"/>
      <c r="BC513" s="16"/>
      <c r="BD513" s="16"/>
      <c r="BE513" s="16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17"/>
      <c r="BX513" s="9"/>
      <c r="BY513" s="40"/>
      <c r="BZ513" s="40"/>
      <c r="CA513" s="40"/>
      <c r="CB513" s="40"/>
      <c r="CC513" s="8"/>
    </row>
    <row r="514" ht="18.75" customHeight="1">
      <c r="A514" s="40"/>
      <c r="B514" s="17"/>
      <c r="D514" s="40"/>
      <c r="G514" s="42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2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W514" s="40"/>
      <c r="AX514" s="65"/>
      <c r="AY514" s="65"/>
      <c r="AZ514" s="16"/>
      <c r="BA514" s="16"/>
      <c r="BB514" s="65"/>
      <c r="BC514" s="16"/>
      <c r="BD514" s="16"/>
      <c r="BE514" s="16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17"/>
      <c r="BX514" s="9"/>
      <c r="BY514" s="40"/>
      <c r="BZ514" s="40"/>
      <c r="CA514" s="40"/>
      <c r="CB514" s="40"/>
      <c r="CC514" s="8"/>
    </row>
    <row r="515" ht="18.75" customHeight="1">
      <c r="A515" s="40"/>
      <c r="B515" s="17"/>
      <c r="D515" s="40"/>
      <c r="G515" s="42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2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W515" s="40"/>
      <c r="AX515" s="65"/>
      <c r="AY515" s="65"/>
      <c r="AZ515" s="16"/>
      <c r="BA515" s="16"/>
      <c r="BB515" s="65"/>
      <c r="BC515" s="16"/>
      <c r="BD515" s="16"/>
      <c r="BE515" s="16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17"/>
      <c r="BX515" s="9"/>
      <c r="BY515" s="40"/>
      <c r="BZ515" s="40"/>
      <c r="CA515" s="40"/>
      <c r="CB515" s="40"/>
      <c r="CC515" s="8"/>
    </row>
    <row r="516" ht="18.75" customHeight="1">
      <c r="A516" s="40"/>
      <c r="B516" s="17"/>
      <c r="D516" s="40"/>
      <c r="G516" s="42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2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W516" s="40"/>
      <c r="AX516" s="65"/>
      <c r="AY516" s="65"/>
      <c r="AZ516" s="16"/>
      <c r="BA516" s="16"/>
      <c r="BB516" s="65"/>
      <c r="BC516" s="16"/>
      <c r="BD516" s="16"/>
      <c r="BE516" s="16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17"/>
      <c r="BX516" s="9"/>
      <c r="BY516" s="40"/>
      <c r="BZ516" s="40"/>
      <c r="CA516" s="40"/>
      <c r="CB516" s="40"/>
      <c r="CC516" s="8"/>
    </row>
    <row r="517" ht="18.75" customHeight="1">
      <c r="A517" s="40"/>
      <c r="B517" s="17"/>
      <c r="D517" s="40"/>
      <c r="G517" s="42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2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W517" s="40"/>
      <c r="AX517" s="65"/>
      <c r="AY517" s="65"/>
      <c r="AZ517" s="16"/>
      <c r="BA517" s="16"/>
      <c r="BB517" s="65"/>
      <c r="BC517" s="16"/>
      <c r="BD517" s="16"/>
      <c r="BE517" s="16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17"/>
      <c r="BX517" s="9"/>
      <c r="BY517" s="40"/>
      <c r="BZ517" s="40"/>
      <c r="CA517" s="40"/>
      <c r="CB517" s="40"/>
      <c r="CC517" s="8"/>
    </row>
    <row r="518" ht="18.75" customHeight="1">
      <c r="A518" s="40"/>
      <c r="B518" s="17"/>
      <c r="D518" s="40"/>
      <c r="G518" s="42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2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W518" s="40"/>
      <c r="AX518" s="65"/>
      <c r="AY518" s="65"/>
      <c r="AZ518" s="16"/>
      <c r="BA518" s="16"/>
      <c r="BB518" s="65"/>
      <c r="BC518" s="16"/>
      <c r="BD518" s="16"/>
      <c r="BE518" s="16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17"/>
      <c r="BX518" s="9"/>
      <c r="BY518" s="40"/>
      <c r="BZ518" s="40"/>
      <c r="CA518" s="40"/>
      <c r="CB518" s="40"/>
      <c r="CC518" s="8"/>
    </row>
    <row r="519" ht="18.75" customHeight="1">
      <c r="A519" s="40"/>
      <c r="B519" s="17"/>
      <c r="D519" s="40"/>
      <c r="G519" s="42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2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W519" s="40"/>
      <c r="AX519" s="65"/>
      <c r="AY519" s="65"/>
      <c r="AZ519" s="16"/>
      <c r="BA519" s="16"/>
      <c r="BB519" s="65"/>
      <c r="BC519" s="16"/>
      <c r="BD519" s="16"/>
      <c r="BE519" s="16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17"/>
      <c r="BX519" s="9"/>
      <c r="BY519" s="40"/>
      <c r="BZ519" s="40"/>
      <c r="CA519" s="40"/>
      <c r="CB519" s="40"/>
      <c r="CC519" s="8"/>
    </row>
    <row r="520" ht="18.75" customHeight="1">
      <c r="A520" s="40"/>
      <c r="B520" s="17"/>
      <c r="D520" s="40"/>
      <c r="G520" s="42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2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W520" s="40"/>
      <c r="AX520" s="65"/>
      <c r="AY520" s="65"/>
      <c r="AZ520" s="16"/>
      <c r="BA520" s="16"/>
      <c r="BB520" s="65"/>
      <c r="BC520" s="16"/>
      <c r="BD520" s="16"/>
      <c r="BE520" s="16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17"/>
      <c r="BX520" s="9"/>
      <c r="BY520" s="40"/>
      <c r="BZ520" s="40"/>
      <c r="CA520" s="40"/>
      <c r="CB520" s="40"/>
      <c r="CC520" s="8"/>
    </row>
    <row r="521" ht="18.75" customHeight="1">
      <c r="A521" s="40"/>
      <c r="B521" s="17"/>
      <c r="D521" s="40"/>
      <c r="G521" s="42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2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W521" s="40"/>
      <c r="AX521" s="65"/>
      <c r="AY521" s="65"/>
      <c r="AZ521" s="16"/>
      <c r="BA521" s="16"/>
      <c r="BB521" s="65"/>
      <c r="BC521" s="16"/>
      <c r="BD521" s="16"/>
      <c r="BE521" s="16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17"/>
      <c r="BX521" s="9"/>
      <c r="BY521" s="40"/>
      <c r="BZ521" s="40"/>
      <c r="CA521" s="40"/>
      <c r="CB521" s="40"/>
      <c r="CC521" s="8"/>
    </row>
    <row r="522" ht="18.75" customHeight="1">
      <c r="A522" s="40"/>
      <c r="B522" s="17"/>
      <c r="D522" s="40"/>
      <c r="G522" s="42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2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W522" s="40"/>
      <c r="AX522" s="65"/>
      <c r="AY522" s="65"/>
      <c r="AZ522" s="16"/>
      <c r="BA522" s="16"/>
      <c r="BB522" s="65"/>
      <c r="BC522" s="16"/>
      <c r="BD522" s="16"/>
      <c r="BE522" s="16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17"/>
      <c r="BX522" s="9"/>
      <c r="BY522" s="40"/>
      <c r="BZ522" s="40"/>
      <c r="CA522" s="40"/>
      <c r="CB522" s="40"/>
      <c r="CC522" s="8"/>
    </row>
    <row r="523" ht="18.75" customHeight="1">
      <c r="A523" s="40"/>
      <c r="B523" s="17"/>
      <c r="D523" s="40"/>
      <c r="G523" s="42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2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W523" s="40"/>
      <c r="AX523" s="65"/>
      <c r="AY523" s="65"/>
      <c r="AZ523" s="16"/>
      <c r="BA523" s="16"/>
      <c r="BB523" s="65"/>
      <c r="BC523" s="16"/>
      <c r="BD523" s="16"/>
      <c r="BE523" s="16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17"/>
      <c r="BX523" s="9"/>
      <c r="BY523" s="40"/>
      <c r="BZ523" s="40"/>
      <c r="CA523" s="40"/>
      <c r="CB523" s="40"/>
      <c r="CC523" s="8"/>
    </row>
    <row r="524" ht="18.75" customHeight="1">
      <c r="A524" s="40"/>
      <c r="B524" s="17"/>
      <c r="D524" s="40"/>
      <c r="G524" s="42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2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W524" s="40"/>
      <c r="AX524" s="65"/>
      <c r="AY524" s="65"/>
      <c r="AZ524" s="16"/>
      <c r="BA524" s="16"/>
      <c r="BB524" s="65"/>
      <c r="BC524" s="16"/>
      <c r="BD524" s="16"/>
      <c r="BE524" s="16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17"/>
      <c r="BX524" s="9"/>
      <c r="BY524" s="40"/>
      <c r="BZ524" s="40"/>
      <c r="CA524" s="40"/>
      <c r="CB524" s="40"/>
      <c r="CC524" s="8"/>
    </row>
    <row r="525" ht="18.75" customHeight="1">
      <c r="A525" s="40"/>
      <c r="B525" s="17"/>
      <c r="D525" s="40"/>
      <c r="G525" s="42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2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W525" s="40"/>
      <c r="AX525" s="65"/>
      <c r="AY525" s="65"/>
      <c r="AZ525" s="16"/>
      <c r="BA525" s="16"/>
      <c r="BB525" s="65"/>
      <c r="BC525" s="16"/>
      <c r="BD525" s="16"/>
      <c r="BE525" s="16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17"/>
      <c r="BX525" s="9"/>
      <c r="BY525" s="40"/>
      <c r="BZ525" s="40"/>
      <c r="CA525" s="40"/>
      <c r="CB525" s="40"/>
      <c r="CC525" s="8"/>
    </row>
    <row r="526" ht="18.75" customHeight="1">
      <c r="A526" s="40"/>
      <c r="B526" s="17"/>
      <c r="D526" s="40"/>
      <c r="G526" s="42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2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W526" s="40"/>
      <c r="AX526" s="65"/>
      <c r="AY526" s="65"/>
      <c r="AZ526" s="16"/>
      <c r="BA526" s="16"/>
      <c r="BB526" s="65"/>
      <c r="BC526" s="16"/>
      <c r="BD526" s="16"/>
      <c r="BE526" s="16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17"/>
      <c r="BX526" s="9"/>
      <c r="BY526" s="40"/>
      <c r="BZ526" s="40"/>
      <c r="CA526" s="40"/>
      <c r="CB526" s="40"/>
      <c r="CC526" s="8"/>
    </row>
    <row r="527" ht="18.75" customHeight="1">
      <c r="A527" s="40"/>
      <c r="B527" s="17"/>
      <c r="D527" s="40"/>
      <c r="G527" s="42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2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W527" s="40"/>
      <c r="AX527" s="65"/>
      <c r="AY527" s="65"/>
      <c r="AZ527" s="16"/>
      <c r="BA527" s="16"/>
      <c r="BB527" s="65"/>
      <c r="BC527" s="16"/>
      <c r="BD527" s="16"/>
      <c r="BE527" s="16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17"/>
      <c r="BX527" s="9"/>
      <c r="BY527" s="40"/>
      <c r="BZ527" s="40"/>
      <c r="CA527" s="40"/>
      <c r="CB527" s="40"/>
      <c r="CC527" s="8"/>
    </row>
    <row r="528" ht="18.75" customHeight="1">
      <c r="A528" s="40"/>
      <c r="B528" s="17"/>
      <c r="D528" s="40"/>
      <c r="G528" s="42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2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W528" s="40"/>
      <c r="AX528" s="65"/>
      <c r="AY528" s="65"/>
      <c r="AZ528" s="16"/>
      <c r="BA528" s="16"/>
      <c r="BB528" s="65"/>
      <c r="BC528" s="16"/>
      <c r="BD528" s="16"/>
      <c r="BE528" s="16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17"/>
      <c r="BX528" s="9"/>
      <c r="BY528" s="40"/>
      <c r="BZ528" s="40"/>
      <c r="CA528" s="40"/>
      <c r="CB528" s="40"/>
      <c r="CC528" s="8"/>
    </row>
    <row r="529" ht="18.75" customHeight="1">
      <c r="A529" s="40"/>
      <c r="B529" s="17"/>
      <c r="D529" s="40"/>
      <c r="G529" s="42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2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W529" s="40"/>
      <c r="AX529" s="65"/>
      <c r="AY529" s="65"/>
      <c r="AZ529" s="16"/>
      <c r="BA529" s="16"/>
      <c r="BB529" s="65"/>
      <c r="BC529" s="16"/>
      <c r="BD529" s="16"/>
      <c r="BE529" s="16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17"/>
      <c r="BX529" s="9"/>
      <c r="BY529" s="40"/>
      <c r="BZ529" s="40"/>
      <c r="CA529" s="40"/>
      <c r="CB529" s="40"/>
      <c r="CC529" s="8"/>
    </row>
    <row r="530" ht="18.75" customHeight="1">
      <c r="A530" s="40"/>
      <c r="B530" s="17"/>
      <c r="D530" s="40"/>
      <c r="G530" s="42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2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W530" s="40"/>
      <c r="AX530" s="65"/>
      <c r="AY530" s="65"/>
      <c r="AZ530" s="16"/>
      <c r="BA530" s="16"/>
      <c r="BB530" s="65"/>
      <c r="BC530" s="16"/>
      <c r="BD530" s="16"/>
      <c r="BE530" s="16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17"/>
      <c r="BX530" s="9"/>
      <c r="BY530" s="40"/>
      <c r="BZ530" s="40"/>
      <c r="CA530" s="40"/>
      <c r="CB530" s="40"/>
      <c r="CC530" s="8"/>
    </row>
    <row r="531" ht="18.75" customHeight="1">
      <c r="A531" s="40"/>
      <c r="B531" s="17"/>
      <c r="D531" s="40"/>
      <c r="G531" s="42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2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W531" s="40"/>
      <c r="AX531" s="65"/>
      <c r="AY531" s="65"/>
      <c r="AZ531" s="16"/>
      <c r="BA531" s="16"/>
      <c r="BB531" s="65"/>
      <c r="BC531" s="16"/>
      <c r="BD531" s="16"/>
      <c r="BE531" s="16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17"/>
      <c r="BX531" s="9"/>
      <c r="BY531" s="40"/>
      <c r="BZ531" s="40"/>
      <c r="CA531" s="40"/>
      <c r="CB531" s="40"/>
      <c r="CC531" s="8"/>
    </row>
    <row r="532" ht="18.75" customHeight="1">
      <c r="A532" s="40"/>
      <c r="B532" s="17"/>
      <c r="D532" s="40"/>
      <c r="G532" s="42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2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W532" s="40"/>
      <c r="AX532" s="65"/>
      <c r="AY532" s="65"/>
      <c r="AZ532" s="16"/>
      <c r="BA532" s="16"/>
      <c r="BB532" s="65"/>
      <c r="BC532" s="16"/>
      <c r="BD532" s="16"/>
      <c r="BE532" s="16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17"/>
      <c r="BX532" s="9"/>
      <c r="BY532" s="40"/>
      <c r="BZ532" s="40"/>
      <c r="CA532" s="40"/>
      <c r="CB532" s="40"/>
      <c r="CC532" s="8"/>
    </row>
    <row r="533" ht="18.75" customHeight="1">
      <c r="A533" s="40"/>
      <c r="B533" s="17"/>
      <c r="D533" s="40"/>
      <c r="G533" s="42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2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W533" s="40"/>
      <c r="AX533" s="65"/>
      <c r="AY533" s="65"/>
      <c r="AZ533" s="16"/>
      <c r="BA533" s="16"/>
      <c r="BB533" s="65"/>
      <c r="BC533" s="16"/>
      <c r="BD533" s="16"/>
      <c r="BE533" s="16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17"/>
      <c r="BX533" s="9"/>
      <c r="BY533" s="40"/>
      <c r="BZ533" s="40"/>
      <c r="CA533" s="40"/>
      <c r="CB533" s="40"/>
      <c r="CC533" s="8"/>
    </row>
    <row r="534" ht="18.75" customHeight="1">
      <c r="A534" s="40"/>
      <c r="B534" s="17"/>
      <c r="D534" s="40"/>
      <c r="G534" s="42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2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W534" s="40"/>
      <c r="AX534" s="65"/>
      <c r="AY534" s="65"/>
      <c r="AZ534" s="16"/>
      <c r="BA534" s="16"/>
      <c r="BB534" s="65"/>
      <c r="BC534" s="16"/>
      <c r="BD534" s="16"/>
      <c r="BE534" s="16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17"/>
      <c r="BX534" s="9"/>
      <c r="BY534" s="40"/>
      <c r="BZ534" s="40"/>
      <c r="CA534" s="40"/>
      <c r="CB534" s="40"/>
      <c r="CC534" s="8"/>
    </row>
    <row r="535" ht="18.75" customHeight="1">
      <c r="A535" s="40"/>
      <c r="B535" s="17"/>
      <c r="D535" s="40"/>
      <c r="G535" s="42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2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W535" s="40"/>
      <c r="AX535" s="65"/>
      <c r="AY535" s="65"/>
      <c r="AZ535" s="16"/>
      <c r="BA535" s="16"/>
      <c r="BB535" s="65"/>
      <c r="BC535" s="16"/>
      <c r="BD535" s="16"/>
      <c r="BE535" s="16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17"/>
      <c r="BX535" s="9"/>
      <c r="BY535" s="40"/>
      <c r="BZ535" s="40"/>
      <c r="CA535" s="40"/>
      <c r="CB535" s="40"/>
      <c r="CC535" s="8"/>
    </row>
    <row r="536" ht="18.75" customHeight="1">
      <c r="A536" s="40"/>
      <c r="B536" s="17"/>
      <c r="D536" s="40"/>
      <c r="G536" s="42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2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W536" s="40"/>
      <c r="AX536" s="65"/>
      <c r="AY536" s="65"/>
      <c r="AZ536" s="16"/>
      <c r="BA536" s="16"/>
      <c r="BB536" s="65"/>
      <c r="BC536" s="16"/>
      <c r="BD536" s="16"/>
      <c r="BE536" s="16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17"/>
      <c r="BX536" s="9"/>
      <c r="BY536" s="40"/>
      <c r="BZ536" s="40"/>
      <c r="CA536" s="40"/>
      <c r="CB536" s="40"/>
      <c r="CC536" s="8"/>
    </row>
    <row r="537" ht="18.75" customHeight="1">
      <c r="A537" s="40"/>
      <c r="B537" s="17"/>
      <c r="D537" s="40"/>
      <c r="G537" s="42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2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W537" s="40"/>
      <c r="AX537" s="65"/>
      <c r="AY537" s="65"/>
      <c r="AZ537" s="16"/>
      <c r="BA537" s="16"/>
      <c r="BB537" s="65"/>
      <c r="BC537" s="16"/>
      <c r="BD537" s="16"/>
      <c r="BE537" s="16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17"/>
      <c r="BX537" s="9"/>
      <c r="BY537" s="40"/>
      <c r="BZ537" s="40"/>
      <c r="CA537" s="40"/>
      <c r="CB537" s="40"/>
      <c r="CC537" s="8"/>
    </row>
    <row r="538" ht="18.75" customHeight="1">
      <c r="A538" s="40"/>
      <c r="B538" s="17"/>
      <c r="D538" s="40"/>
      <c r="G538" s="42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2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W538" s="40"/>
      <c r="AX538" s="65"/>
      <c r="AY538" s="65"/>
      <c r="AZ538" s="16"/>
      <c r="BA538" s="16"/>
      <c r="BB538" s="65"/>
      <c r="BC538" s="16"/>
      <c r="BD538" s="16"/>
      <c r="BE538" s="16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17"/>
      <c r="BX538" s="9"/>
      <c r="BY538" s="40"/>
      <c r="BZ538" s="40"/>
      <c r="CA538" s="40"/>
      <c r="CB538" s="40"/>
      <c r="CC538" s="8"/>
    </row>
    <row r="539" ht="18.75" customHeight="1">
      <c r="A539" s="40"/>
      <c r="B539" s="17"/>
      <c r="D539" s="40"/>
      <c r="G539" s="42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2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W539" s="40"/>
      <c r="AX539" s="65"/>
      <c r="AY539" s="65"/>
      <c r="AZ539" s="16"/>
      <c r="BA539" s="16"/>
      <c r="BB539" s="65"/>
      <c r="BC539" s="16"/>
      <c r="BD539" s="16"/>
      <c r="BE539" s="16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17"/>
      <c r="BX539" s="9"/>
      <c r="BY539" s="40"/>
      <c r="BZ539" s="40"/>
      <c r="CA539" s="40"/>
      <c r="CB539" s="40"/>
      <c r="CC539" s="8"/>
    </row>
    <row r="540" ht="18.75" customHeight="1">
      <c r="A540" s="40"/>
      <c r="B540" s="17"/>
      <c r="D540" s="40"/>
      <c r="G540" s="42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2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W540" s="40"/>
      <c r="AX540" s="65"/>
      <c r="AY540" s="65"/>
      <c r="AZ540" s="16"/>
      <c r="BA540" s="16"/>
      <c r="BB540" s="65"/>
      <c r="BC540" s="16"/>
      <c r="BD540" s="16"/>
      <c r="BE540" s="16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17"/>
      <c r="BX540" s="9"/>
      <c r="BY540" s="40"/>
      <c r="BZ540" s="40"/>
      <c r="CA540" s="40"/>
      <c r="CB540" s="40"/>
      <c r="CC540" s="8"/>
    </row>
    <row r="541" ht="18.75" customHeight="1">
      <c r="A541" s="40"/>
      <c r="B541" s="17"/>
      <c r="D541" s="40"/>
      <c r="G541" s="42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2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W541" s="40"/>
      <c r="AX541" s="65"/>
      <c r="AY541" s="65"/>
      <c r="AZ541" s="16"/>
      <c r="BA541" s="16"/>
      <c r="BB541" s="65"/>
      <c r="BC541" s="16"/>
      <c r="BD541" s="16"/>
      <c r="BE541" s="16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17"/>
      <c r="BX541" s="9"/>
      <c r="BY541" s="40"/>
      <c r="BZ541" s="40"/>
      <c r="CA541" s="40"/>
      <c r="CB541" s="40"/>
      <c r="CC541" s="8"/>
    </row>
    <row r="542" ht="18.75" customHeight="1">
      <c r="A542" s="40"/>
      <c r="B542" s="17"/>
      <c r="D542" s="40"/>
      <c r="G542" s="42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2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W542" s="40"/>
      <c r="AX542" s="65"/>
      <c r="AY542" s="65"/>
      <c r="AZ542" s="16"/>
      <c r="BA542" s="16"/>
      <c r="BB542" s="65"/>
      <c r="BC542" s="16"/>
      <c r="BD542" s="16"/>
      <c r="BE542" s="16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17"/>
      <c r="BX542" s="9"/>
      <c r="BY542" s="40"/>
      <c r="BZ542" s="40"/>
      <c r="CA542" s="40"/>
      <c r="CB542" s="40"/>
      <c r="CC542" s="8"/>
    </row>
    <row r="543" ht="18.75" customHeight="1">
      <c r="A543" s="40"/>
      <c r="B543" s="17"/>
      <c r="D543" s="40"/>
      <c r="G543" s="42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2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W543" s="40"/>
      <c r="AX543" s="65"/>
      <c r="AY543" s="65"/>
      <c r="AZ543" s="16"/>
      <c r="BA543" s="16"/>
      <c r="BB543" s="65"/>
      <c r="BC543" s="16"/>
      <c r="BD543" s="16"/>
      <c r="BE543" s="16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17"/>
      <c r="BX543" s="9"/>
      <c r="BY543" s="40"/>
      <c r="BZ543" s="40"/>
      <c r="CA543" s="40"/>
      <c r="CB543" s="40"/>
      <c r="CC543" s="8"/>
    </row>
    <row r="544" ht="18.75" customHeight="1">
      <c r="A544" s="40"/>
      <c r="B544" s="17"/>
      <c r="D544" s="40"/>
      <c r="G544" s="42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2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W544" s="40"/>
      <c r="AX544" s="65"/>
      <c r="AY544" s="65"/>
      <c r="AZ544" s="16"/>
      <c r="BA544" s="16"/>
      <c r="BB544" s="65"/>
      <c r="BC544" s="16"/>
      <c r="BD544" s="16"/>
      <c r="BE544" s="16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17"/>
      <c r="BX544" s="9"/>
      <c r="BY544" s="40"/>
      <c r="BZ544" s="40"/>
      <c r="CA544" s="40"/>
      <c r="CB544" s="40"/>
      <c r="CC544" s="8"/>
    </row>
    <row r="545" ht="18.75" customHeight="1">
      <c r="A545" s="40"/>
      <c r="B545" s="17"/>
      <c r="D545" s="40"/>
      <c r="G545" s="42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2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W545" s="40"/>
      <c r="AX545" s="65"/>
      <c r="AY545" s="65"/>
      <c r="AZ545" s="16"/>
      <c r="BA545" s="16"/>
      <c r="BB545" s="65"/>
      <c r="BC545" s="16"/>
      <c r="BD545" s="16"/>
      <c r="BE545" s="16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17"/>
      <c r="BX545" s="9"/>
      <c r="BY545" s="40"/>
      <c r="BZ545" s="40"/>
      <c r="CA545" s="40"/>
      <c r="CB545" s="40"/>
      <c r="CC545" s="8"/>
    </row>
    <row r="546" ht="18.75" customHeight="1">
      <c r="A546" s="40"/>
      <c r="B546" s="17"/>
      <c r="D546" s="40"/>
      <c r="G546" s="42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2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W546" s="40"/>
      <c r="AX546" s="65"/>
      <c r="AY546" s="65"/>
      <c r="AZ546" s="16"/>
      <c r="BA546" s="16"/>
      <c r="BB546" s="65"/>
      <c r="BC546" s="16"/>
      <c r="BD546" s="16"/>
      <c r="BE546" s="16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17"/>
      <c r="BX546" s="9"/>
      <c r="BY546" s="40"/>
      <c r="BZ546" s="40"/>
      <c r="CA546" s="40"/>
      <c r="CB546" s="40"/>
      <c r="CC546" s="8"/>
    </row>
    <row r="547" ht="18.75" customHeight="1">
      <c r="A547" s="40"/>
      <c r="B547" s="17"/>
      <c r="D547" s="40"/>
      <c r="G547" s="42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2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W547" s="40"/>
      <c r="AX547" s="65"/>
      <c r="AY547" s="65"/>
      <c r="AZ547" s="16"/>
      <c r="BA547" s="16"/>
      <c r="BB547" s="65"/>
      <c r="BC547" s="16"/>
      <c r="BD547" s="16"/>
      <c r="BE547" s="16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17"/>
      <c r="BX547" s="9"/>
      <c r="BY547" s="40"/>
      <c r="BZ547" s="40"/>
      <c r="CA547" s="40"/>
      <c r="CB547" s="40"/>
      <c r="CC547" s="8"/>
    </row>
    <row r="548" ht="18.75" customHeight="1">
      <c r="A548" s="40"/>
      <c r="B548" s="17"/>
      <c r="D548" s="40"/>
      <c r="G548" s="42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2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W548" s="40"/>
      <c r="AX548" s="65"/>
      <c r="AY548" s="65"/>
      <c r="AZ548" s="16"/>
      <c r="BA548" s="16"/>
      <c r="BB548" s="65"/>
      <c r="BC548" s="16"/>
      <c r="BD548" s="16"/>
      <c r="BE548" s="16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17"/>
      <c r="BX548" s="9"/>
      <c r="BY548" s="40"/>
      <c r="BZ548" s="40"/>
      <c r="CA548" s="40"/>
      <c r="CB548" s="40"/>
      <c r="CC548" s="8"/>
    </row>
    <row r="549" ht="18.75" customHeight="1">
      <c r="A549" s="40"/>
      <c r="B549" s="17"/>
      <c r="D549" s="40"/>
      <c r="G549" s="42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2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W549" s="40"/>
      <c r="AX549" s="65"/>
      <c r="AY549" s="65"/>
      <c r="AZ549" s="16"/>
      <c r="BA549" s="16"/>
      <c r="BB549" s="65"/>
      <c r="BC549" s="16"/>
      <c r="BD549" s="16"/>
      <c r="BE549" s="16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17"/>
      <c r="BX549" s="9"/>
      <c r="BY549" s="40"/>
      <c r="BZ549" s="40"/>
      <c r="CA549" s="40"/>
      <c r="CB549" s="40"/>
      <c r="CC549" s="8"/>
    </row>
    <row r="550" ht="18.75" customHeight="1">
      <c r="A550" s="40"/>
      <c r="B550" s="17"/>
      <c r="D550" s="40"/>
      <c r="G550" s="42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2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W550" s="40"/>
      <c r="AX550" s="65"/>
      <c r="AY550" s="65"/>
      <c r="AZ550" s="16"/>
      <c r="BA550" s="16"/>
      <c r="BB550" s="65"/>
      <c r="BC550" s="16"/>
      <c r="BD550" s="16"/>
      <c r="BE550" s="16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17"/>
      <c r="BX550" s="9"/>
      <c r="BY550" s="40"/>
      <c r="BZ550" s="40"/>
      <c r="CA550" s="40"/>
      <c r="CB550" s="40"/>
      <c r="CC550" s="8"/>
    </row>
    <row r="551" ht="18.75" customHeight="1">
      <c r="A551" s="40"/>
      <c r="B551" s="17"/>
      <c r="D551" s="40"/>
      <c r="G551" s="42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2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W551" s="40"/>
      <c r="AX551" s="65"/>
      <c r="AY551" s="65"/>
      <c r="AZ551" s="16"/>
      <c r="BA551" s="16"/>
      <c r="BB551" s="65"/>
      <c r="BC551" s="16"/>
      <c r="BD551" s="16"/>
      <c r="BE551" s="16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17"/>
      <c r="BX551" s="9"/>
      <c r="BY551" s="40"/>
      <c r="BZ551" s="40"/>
      <c r="CA551" s="40"/>
      <c r="CB551" s="40"/>
      <c r="CC551" s="8"/>
    </row>
    <row r="552" ht="18.75" customHeight="1">
      <c r="A552" s="40"/>
      <c r="B552" s="17"/>
      <c r="D552" s="40"/>
      <c r="G552" s="42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2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W552" s="40"/>
      <c r="AX552" s="65"/>
      <c r="AY552" s="65"/>
      <c r="AZ552" s="16"/>
      <c r="BA552" s="16"/>
      <c r="BB552" s="65"/>
      <c r="BC552" s="16"/>
      <c r="BD552" s="16"/>
      <c r="BE552" s="16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17"/>
      <c r="BX552" s="9"/>
      <c r="BY552" s="40"/>
      <c r="BZ552" s="40"/>
      <c r="CA552" s="40"/>
      <c r="CB552" s="40"/>
      <c r="CC552" s="8"/>
    </row>
    <row r="553" ht="18.75" customHeight="1">
      <c r="A553" s="40"/>
      <c r="B553" s="17"/>
      <c r="D553" s="40"/>
      <c r="G553" s="42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2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W553" s="40"/>
      <c r="AX553" s="65"/>
      <c r="AY553" s="65"/>
      <c r="AZ553" s="16"/>
      <c r="BA553" s="16"/>
      <c r="BB553" s="65"/>
      <c r="BC553" s="16"/>
      <c r="BD553" s="16"/>
      <c r="BE553" s="16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17"/>
      <c r="BX553" s="9"/>
      <c r="BY553" s="40"/>
      <c r="BZ553" s="40"/>
      <c r="CA553" s="40"/>
      <c r="CB553" s="40"/>
      <c r="CC553" s="8"/>
    </row>
    <row r="554" ht="18.75" customHeight="1">
      <c r="A554" s="40"/>
      <c r="B554" s="17"/>
      <c r="D554" s="40"/>
      <c r="G554" s="42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2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W554" s="40"/>
      <c r="AX554" s="65"/>
      <c r="AY554" s="65"/>
      <c r="AZ554" s="16"/>
      <c r="BA554" s="16"/>
      <c r="BB554" s="65"/>
      <c r="BC554" s="16"/>
      <c r="BD554" s="16"/>
      <c r="BE554" s="16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17"/>
      <c r="BX554" s="9"/>
      <c r="BY554" s="40"/>
      <c r="BZ554" s="40"/>
      <c r="CA554" s="40"/>
      <c r="CB554" s="40"/>
      <c r="CC554" s="8"/>
    </row>
    <row r="555" ht="18.75" customHeight="1">
      <c r="A555" s="40"/>
      <c r="B555" s="17"/>
      <c r="D555" s="40"/>
      <c r="G555" s="42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2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W555" s="40"/>
      <c r="AX555" s="65"/>
      <c r="AY555" s="65"/>
      <c r="AZ555" s="16"/>
      <c r="BA555" s="16"/>
      <c r="BB555" s="65"/>
      <c r="BC555" s="16"/>
      <c r="BD555" s="16"/>
      <c r="BE555" s="16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17"/>
      <c r="BX555" s="9"/>
      <c r="BY555" s="40"/>
      <c r="BZ555" s="40"/>
      <c r="CA555" s="40"/>
      <c r="CB555" s="40"/>
      <c r="CC555" s="8"/>
    </row>
    <row r="556" ht="18.75" customHeight="1">
      <c r="A556" s="40"/>
      <c r="B556" s="17"/>
      <c r="D556" s="40"/>
      <c r="G556" s="42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2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W556" s="40"/>
      <c r="AX556" s="65"/>
      <c r="AY556" s="65"/>
      <c r="AZ556" s="16"/>
      <c r="BA556" s="16"/>
      <c r="BB556" s="65"/>
      <c r="BC556" s="16"/>
      <c r="BD556" s="16"/>
      <c r="BE556" s="16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17"/>
      <c r="BX556" s="9"/>
      <c r="BY556" s="40"/>
      <c r="BZ556" s="40"/>
      <c r="CA556" s="40"/>
      <c r="CB556" s="40"/>
      <c r="CC556" s="8"/>
    </row>
    <row r="557" ht="18.75" customHeight="1">
      <c r="A557" s="40"/>
      <c r="B557" s="17"/>
      <c r="D557" s="40"/>
      <c r="G557" s="42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2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W557" s="40"/>
      <c r="AX557" s="65"/>
      <c r="AY557" s="65"/>
      <c r="AZ557" s="16"/>
      <c r="BA557" s="16"/>
      <c r="BB557" s="65"/>
      <c r="BC557" s="16"/>
      <c r="BD557" s="16"/>
      <c r="BE557" s="16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17"/>
      <c r="BX557" s="9"/>
      <c r="BY557" s="40"/>
      <c r="BZ557" s="40"/>
      <c r="CA557" s="40"/>
      <c r="CB557" s="40"/>
      <c r="CC557" s="8"/>
    </row>
    <row r="558" ht="18.75" customHeight="1">
      <c r="A558" s="40"/>
      <c r="B558" s="17"/>
      <c r="D558" s="40"/>
      <c r="G558" s="42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2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W558" s="40"/>
      <c r="AX558" s="65"/>
      <c r="AY558" s="65"/>
      <c r="AZ558" s="16"/>
      <c r="BA558" s="16"/>
      <c r="BB558" s="65"/>
      <c r="BC558" s="16"/>
      <c r="BD558" s="16"/>
      <c r="BE558" s="16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17"/>
      <c r="BX558" s="9"/>
      <c r="BY558" s="40"/>
      <c r="BZ558" s="40"/>
      <c r="CA558" s="40"/>
      <c r="CB558" s="40"/>
      <c r="CC558" s="8"/>
    </row>
    <row r="559" ht="18.75" customHeight="1">
      <c r="A559" s="40"/>
      <c r="B559" s="17"/>
      <c r="D559" s="40"/>
      <c r="G559" s="42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2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W559" s="40"/>
      <c r="AX559" s="65"/>
      <c r="AY559" s="65"/>
      <c r="AZ559" s="16"/>
      <c r="BA559" s="16"/>
      <c r="BB559" s="65"/>
      <c r="BC559" s="16"/>
      <c r="BD559" s="16"/>
      <c r="BE559" s="16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17"/>
      <c r="BX559" s="9"/>
      <c r="BY559" s="40"/>
      <c r="BZ559" s="40"/>
      <c r="CA559" s="40"/>
      <c r="CB559" s="40"/>
      <c r="CC559" s="8"/>
    </row>
    <row r="560" ht="18.75" customHeight="1">
      <c r="A560" s="40"/>
      <c r="B560" s="17"/>
      <c r="D560" s="40"/>
      <c r="G560" s="42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2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W560" s="40"/>
      <c r="AX560" s="65"/>
      <c r="AY560" s="65"/>
      <c r="AZ560" s="16"/>
      <c r="BA560" s="16"/>
      <c r="BB560" s="65"/>
      <c r="BC560" s="16"/>
      <c r="BD560" s="16"/>
      <c r="BE560" s="16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17"/>
      <c r="BX560" s="9"/>
      <c r="BY560" s="40"/>
      <c r="BZ560" s="40"/>
      <c r="CA560" s="40"/>
      <c r="CB560" s="40"/>
      <c r="CC560" s="8"/>
    </row>
    <row r="561" ht="18.75" customHeight="1">
      <c r="A561" s="40"/>
      <c r="B561" s="17"/>
      <c r="D561" s="40"/>
      <c r="G561" s="42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2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W561" s="40"/>
      <c r="AX561" s="65"/>
      <c r="AY561" s="65"/>
      <c r="AZ561" s="16"/>
      <c r="BA561" s="16"/>
      <c r="BB561" s="65"/>
      <c r="BC561" s="16"/>
      <c r="BD561" s="16"/>
      <c r="BE561" s="16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17"/>
      <c r="BX561" s="9"/>
      <c r="BY561" s="40"/>
      <c r="BZ561" s="40"/>
      <c r="CA561" s="40"/>
      <c r="CB561" s="40"/>
      <c r="CC561" s="8"/>
    </row>
    <row r="562" ht="18.75" customHeight="1">
      <c r="A562" s="40"/>
      <c r="B562" s="17"/>
      <c r="D562" s="40"/>
      <c r="G562" s="42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2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W562" s="40"/>
      <c r="AX562" s="65"/>
      <c r="AY562" s="65"/>
      <c r="AZ562" s="16"/>
      <c r="BA562" s="16"/>
      <c r="BB562" s="65"/>
      <c r="BC562" s="16"/>
      <c r="BD562" s="16"/>
      <c r="BE562" s="16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17"/>
      <c r="BX562" s="9"/>
      <c r="BY562" s="40"/>
      <c r="BZ562" s="40"/>
      <c r="CA562" s="40"/>
      <c r="CB562" s="40"/>
      <c r="CC562" s="8"/>
    </row>
    <row r="563" ht="18.75" customHeight="1">
      <c r="A563" s="40"/>
      <c r="B563" s="17"/>
      <c r="D563" s="40"/>
      <c r="G563" s="42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2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W563" s="40"/>
      <c r="AX563" s="65"/>
      <c r="AY563" s="65"/>
      <c r="AZ563" s="16"/>
      <c r="BA563" s="16"/>
      <c r="BB563" s="65"/>
      <c r="BC563" s="16"/>
      <c r="BD563" s="16"/>
      <c r="BE563" s="16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17"/>
      <c r="BX563" s="9"/>
      <c r="BY563" s="40"/>
      <c r="BZ563" s="40"/>
      <c r="CA563" s="40"/>
      <c r="CB563" s="40"/>
      <c r="CC563" s="8"/>
    </row>
    <row r="564" ht="18.75" customHeight="1">
      <c r="A564" s="40"/>
      <c r="B564" s="17"/>
      <c r="D564" s="40"/>
      <c r="G564" s="42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2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W564" s="40"/>
      <c r="AX564" s="65"/>
      <c r="AY564" s="65"/>
      <c r="AZ564" s="16"/>
      <c r="BA564" s="16"/>
      <c r="BB564" s="65"/>
      <c r="BC564" s="16"/>
      <c r="BD564" s="16"/>
      <c r="BE564" s="16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17"/>
      <c r="BX564" s="9"/>
      <c r="BY564" s="40"/>
      <c r="BZ564" s="40"/>
      <c r="CA564" s="40"/>
      <c r="CB564" s="40"/>
      <c r="CC564" s="8"/>
    </row>
    <row r="565" ht="18.75" customHeight="1">
      <c r="A565" s="40"/>
      <c r="B565" s="17"/>
      <c r="D565" s="40"/>
      <c r="G565" s="42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2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W565" s="40"/>
      <c r="AX565" s="65"/>
      <c r="AY565" s="65"/>
      <c r="AZ565" s="16"/>
      <c r="BA565" s="16"/>
      <c r="BB565" s="65"/>
      <c r="BC565" s="16"/>
      <c r="BD565" s="16"/>
      <c r="BE565" s="16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17"/>
      <c r="BX565" s="9"/>
      <c r="BY565" s="40"/>
      <c r="BZ565" s="40"/>
      <c r="CA565" s="40"/>
      <c r="CB565" s="40"/>
      <c r="CC565" s="8"/>
    </row>
    <row r="566" ht="18.75" customHeight="1">
      <c r="A566" s="40"/>
      <c r="B566" s="17"/>
      <c r="D566" s="40"/>
      <c r="G566" s="42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2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W566" s="40"/>
      <c r="AX566" s="65"/>
      <c r="AY566" s="65"/>
      <c r="AZ566" s="16"/>
      <c r="BA566" s="16"/>
      <c r="BB566" s="65"/>
      <c r="BC566" s="16"/>
      <c r="BD566" s="16"/>
      <c r="BE566" s="16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17"/>
      <c r="BX566" s="9"/>
      <c r="BY566" s="40"/>
      <c r="BZ566" s="40"/>
      <c r="CA566" s="40"/>
      <c r="CB566" s="40"/>
      <c r="CC566" s="8"/>
    </row>
    <row r="567" ht="18.75" customHeight="1">
      <c r="A567" s="40"/>
      <c r="B567" s="17"/>
      <c r="D567" s="40"/>
      <c r="G567" s="42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2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W567" s="40"/>
      <c r="AX567" s="65"/>
      <c r="AY567" s="65"/>
      <c r="AZ567" s="16"/>
      <c r="BA567" s="16"/>
      <c r="BB567" s="65"/>
      <c r="BC567" s="16"/>
      <c r="BD567" s="16"/>
      <c r="BE567" s="16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17"/>
      <c r="BX567" s="9"/>
      <c r="BY567" s="40"/>
      <c r="BZ567" s="40"/>
      <c r="CA567" s="40"/>
      <c r="CB567" s="40"/>
      <c r="CC567" s="8"/>
    </row>
    <row r="568" ht="18.75" customHeight="1">
      <c r="A568" s="40"/>
      <c r="B568" s="17"/>
      <c r="D568" s="40"/>
      <c r="G568" s="42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2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W568" s="40"/>
      <c r="AX568" s="65"/>
      <c r="AY568" s="65"/>
      <c r="AZ568" s="16"/>
      <c r="BA568" s="16"/>
      <c r="BB568" s="65"/>
      <c r="BC568" s="16"/>
      <c r="BD568" s="16"/>
      <c r="BE568" s="16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17"/>
      <c r="BX568" s="9"/>
      <c r="BY568" s="40"/>
      <c r="BZ568" s="40"/>
      <c r="CA568" s="40"/>
      <c r="CB568" s="40"/>
      <c r="CC568" s="8"/>
    </row>
    <row r="569" ht="18.75" customHeight="1">
      <c r="A569" s="40"/>
      <c r="B569" s="17"/>
      <c r="D569" s="40"/>
      <c r="G569" s="42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2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W569" s="40"/>
      <c r="AX569" s="65"/>
      <c r="AY569" s="65"/>
      <c r="AZ569" s="16"/>
      <c r="BA569" s="16"/>
      <c r="BB569" s="65"/>
      <c r="BC569" s="16"/>
      <c r="BD569" s="16"/>
      <c r="BE569" s="16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17"/>
      <c r="BX569" s="9"/>
      <c r="BY569" s="40"/>
      <c r="BZ569" s="40"/>
      <c r="CA569" s="40"/>
      <c r="CB569" s="40"/>
      <c r="CC569" s="8"/>
    </row>
    <row r="570" ht="18.75" customHeight="1">
      <c r="A570" s="40"/>
      <c r="B570" s="17"/>
      <c r="D570" s="40"/>
      <c r="G570" s="42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2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W570" s="40"/>
      <c r="AX570" s="65"/>
      <c r="AY570" s="65"/>
      <c r="AZ570" s="16"/>
      <c r="BA570" s="16"/>
      <c r="BB570" s="65"/>
      <c r="BC570" s="16"/>
      <c r="BD570" s="16"/>
      <c r="BE570" s="16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17"/>
      <c r="BX570" s="9"/>
      <c r="BY570" s="40"/>
      <c r="BZ570" s="40"/>
      <c r="CA570" s="40"/>
      <c r="CB570" s="40"/>
      <c r="CC570" s="8"/>
    </row>
    <row r="571" ht="18.75" customHeight="1">
      <c r="A571" s="40"/>
      <c r="B571" s="17"/>
      <c r="D571" s="40"/>
      <c r="G571" s="42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2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W571" s="40"/>
      <c r="AX571" s="65"/>
      <c r="AY571" s="65"/>
      <c r="AZ571" s="16"/>
      <c r="BA571" s="16"/>
      <c r="BB571" s="65"/>
      <c r="BC571" s="16"/>
      <c r="BD571" s="16"/>
      <c r="BE571" s="16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17"/>
      <c r="BX571" s="9"/>
      <c r="BY571" s="40"/>
      <c r="BZ571" s="40"/>
      <c r="CA571" s="40"/>
      <c r="CB571" s="40"/>
      <c r="CC571" s="8"/>
    </row>
    <row r="572" ht="18.75" customHeight="1">
      <c r="A572" s="40"/>
      <c r="B572" s="17"/>
      <c r="D572" s="40"/>
      <c r="G572" s="42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2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W572" s="40"/>
      <c r="AX572" s="65"/>
      <c r="AY572" s="65"/>
      <c r="AZ572" s="16"/>
      <c r="BA572" s="16"/>
      <c r="BB572" s="65"/>
      <c r="BC572" s="16"/>
      <c r="BD572" s="16"/>
      <c r="BE572" s="16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17"/>
      <c r="BX572" s="9"/>
      <c r="BY572" s="40"/>
      <c r="BZ572" s="40"/>
      <c r="CA572" s="40"/>
      <c r="CB572" s="40"/>
      <c r="CC572" s="8"/>
    </row>
    <row r="573" ht="18.75" customHeight="1">
      <c r="A573" s="40"/>
      <c r="B573" s="17"/>
      <c r="D573" s="40"/>
      <c r="G573" s="42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2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W573" s="40"/>
      <c r="AX573" s="65"/>
      <c r="AY573" s="65"/>
      <c r="AZ573" s="16"/>
      <c r="BA573" s="16"/>
      <c r="BB573" s="65"/>
      <c r="BC573" s="16"/>
      <c r="BD573" s="16"/>
      <c r="BE573" s="16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17"/>
      <c r="BX573" s="9"/>
      <c r="BY573" s="40"/>
      <c r="BZ573" s="40"/>
      <c r="CA573" s="40"/>
      <c r="CB573" s="40"/>
      <c r="CC573" s="8"/>
    </row>
    <row r="574" ht="18.75" customHeight="1">
      <c r="A574" s="40"/>
      <c r="B574" s="17"/>
      <c r="D574" s="40"/>
      <c r="G574" s="42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2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W574" s="40"/>
      <c r="AX574" s="65"/>
      <c r="AY574" s="65"/>
      <c r="AZ574" s="16"/>
      <c r="BA574" s="16"/>
      <c r="BB574" s="65"/>
      <c r="BC574" s="16"/>
      <c r="BD574" s="16"/>
      <c r="BE574" s="16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17"/>
      <c r="BX574" s="9"/>
      <c r="BY574" s="40"/>
      <c r="BZ574" s="40"/>
      <c r="CA574" s="40"/>
      <c r="CB574" s="40"/>
      <c r="CC574" s="8"/>
    </row>
    <row r="575" ht="18.75" customHeight="1">
      <c r="A575" s="40"/>
      <c r="B575" s="17"/>
      <c r="D575" s="40"/>
      <c r="G575" s="42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2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W575" s="40"/>
      <c r="AX575" s="65"/>
      <c r="AY575" s="65"/>
      <c r="AZ575" s="16"/>
      <c r="BA575" s="16"/>
      <c r="BB575" s="65"/>
      <c r="BC575" s="16"/>
      <c r="BD575" s="16"/>
      <c r="BE575" s="16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17"/>
      <c r="BX575" s="9"/>
      <c r="BY575" s="40"/>
      <c r="BZ575" s="40"/>
      <c r="CA575" s="40"/>
      <c r="CB575" s="40"/>
      <c r="CC575" s="8"/>
    </row>
    <row r="576" ht="18.75" customHeight="1">
      <c r="A576" s="40"/>
      <c r="B576" s="17"/>
      <c r="D576" s="40"/>
      <c r="G576" s="42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2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W576" s="40"/>
      <c r="AX576" s="65"/>
      <c r="AY576" s="65"/>
      <c r="AZ576" s="16"/>
      <c r="BA576" s="16"/>
      <c r="BB576" s="65"/>
      <c r="BC576" s="16"/>
      <c r="BD576" s="16"/>
      <c r="BE576" s="16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17"/>
      <c r="BX576" s="9"/>
      <c r="BY576" s="40"/>
      <c r="BZ576" s="40"/>
      <c r="CA576" s="40"/>
      <c r="CB576" s="40"/>
      <c r="CC576" s="8"/>
    </row>
    <row r="577" ht="18.75" customHeight="1">
      <c r="A577" s="40"/>
      <c r="B577" s="17"/>
      <c r="D577" s="40"/>
      <c r="G577" s="42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2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W577" s="40"/>
      <c r="AX577" s="65"/>
      <c r="AY577" s="65"/>
      <c r="AZ577" s="16"/>
      <c r="BA577" s="16"/>
      <c r="BB577" s="65"/>
      <c r="BC577" s="16"/>
      <c r="BD577" s="16"/>
      <c r="BE577" s="16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17"/>
      <c r="BX577" s="9"/>
      <c r="BY577" s="40"/>
      <c r="BZ577" s="40"/>
      <c r="CA577" s="40"/>
      <c r="CB577" s="40"/>
      <c r="CC577" s="8"/>
    </row>
    <row r="578" ht="18.75" customHeight="1">
      <c r="A578" s="40"/>
      <c r="B578" s="17"/>
      <c r="D578" s="40"/>
      <c r="G578" s="42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2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W578" s="40"/>
      <c r="AX578" s="65"/>
      <c r="AY578" s="65"/>
      <c r="AZ578" s="16"/>
      <c r="BA578" s="16"/>
      <c r="BB578" s="65"/>
      <c r="BC578" s="16"/>
      <c r="BD578" s="16"/>
      <c r="BE578" s="16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17"/>
      <c r="BX578" s="9"/>
      <c r="BY578" s="40"/>
      <c r="BZ578" s="40"/>
      <c r="CA578" s="40"/>
      <c r="CB578" s="40"/>
      <c r="CC578" s="8"/>
    </row>
    <row r="579" ht="18.75" customHeight="1">
      <c r="A579" s="40"/>
      <c r="B579" s="17"/>
      <c r="D579" s="40"/>
      <c r="G579" s="42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2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W579" s="40"/>
      <c r="AX579" s="65"/>
      <c r="AY579" s="65"/>
      <c r="AZ579" s="16"/>
      <c r="BA579" s="16"/>
      <c r="BB579" s="65"/>
      <c r="BC579" s="16"/>
      <c r="BD579" s="16"/>
      <c r="BE579" s="16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17"/>
      <c r="BX579" s="9"/>
      <c r="BY579" s="40"/>
      <c r="BZ579" s="40"/>
      <c r="CA579" s="40"/>
      <c r="CB579" s="40"/>
      <c r="CC579" s="8"/>
    </row>
    <row r="580" ht="18.75" customHeight="1">
      <c r="A580" s="40"/>
      <c r="B580" s="17"/>
      <c r="D580" s="40"/>
      <c r="G580" s="42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2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W580" s="40"/>
      <c r="AX580" s="65"/>
      <c r="AY580" s="65"/>
      <c r="AZ580" s="16"/>
      <c r="BA580" s="16"/>
      <c r="BB580" s="65"/>
      <c r="BC580" s="16"/>
      <c r="BD580" s="16"/>
      <c r="BE580" s="16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17"/>
      <c r="BX580" s="9"/>
      <c r="BY580" s="40"/>
      <c r="BZ580" s="40"/>
      <c r="CA580" s="40"/>
      <c r="CB580" s="40"/>
      <c r="CC580" s="8"/>
    </row>
    <row r="581" ht="18.75" customHeight="1">
      <c r="A581" s="40"/>
      <c r="B581" s="17"/>
      <c r="D581" s="40"/>
      <c r="G581" s="42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2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W581" s="40"/>
      <c r="AX581" s="65"/>
      <c r="AY581" s="65"/>
      <c r="AZ581" s="16"/>
      <c r="BA581" s="16"/>
      <c r="BB581" s="65"/>
      <c r="BC581" s="16"/>
      <c r="BD581" s="16"/>
      <c r="BE581" s="16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17"/>
      <c r="BX581" s="9"/>
      <c r="BY581" s="40"/>
      <c r="BZ581" s="40"/>
      <c r="CA581" s="40"/>
      <c r="CB581" s="40"/>
      <c r="CC581" s="8"/>
    </row>
    <row r="582" ht="18.75" customHeight="1">
      <c r="A582" s="40"/>
      <c r="B582" s="17"/>
      <c r="D582" s="40"/>
      <c r="G582" s="42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2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W582" s="40"/>
      <c r="AX582" s="65"/>
      <c r="AY582" s="65"/>
      <c r="AZ582" s="16"/>
      <c r="BA582" s="16"/>
      <c r="BB582" s="65"/>
      <c r="BC582" s="16"/>
      <c r="BD582" s="16"/>
      <c r="BE582" s="16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17"/>
      <c r="BX582" s="9"/>
      <c r="BY582" s="40"/>
      <c r="BZ582" s="40"/>
      <c r="CA582" s="40"/>
      <c r="CB582" s="40"/>
      <c r="CC582" s="8"/>
    </row>
    <row r="583" ht="18.75" customHeight="1">
      <c r="A583" s="40"/>
      <c r="B583" s="17"/>
      <c r="D583" s="40"/>
      <c r="G583" s="42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2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W583" s="40"/>
      <c r="AX583" s="65"/>
      <c r="AY583" s="65"/>
      <c r="AZ583" s="16"/>
      <c r="BA583" s="16"/>
      <c r="BB583" s="65"/>
      <c r="BC583" s="16"/>
      <c r="BD583" s="16"/>
      <c r="BE583" s="16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17"/>
      <c r="BX583" s="9"/>
      <c r="BY583" s="40"/>
      <c r="BZ583" s="40"/>
      <c r="CA583" s="40"/>
      <c r="CB583" s="40"/>
      <c r="CC583" s="8"/>
    </row>
    <row r="584" ht="18.75" customHeight="1">
      <c r="A584" s="40"/>
      <c r="B584" s="17"/>
      <c r="D584" s="40"/>
      <c r="G584" s="42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2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W584" s="40"/>
      <c r="AX584" s="65"/>
      <c r="AY584" s="65"/>
      <c r="AZ584" s="16"/>
      <c r="BA584" s="16"/>
      <c r="BB584" s="65"/>
      <c r="BC584" s="16"/>
      <c r="BD584" s="16"/>
      <c r="BE584" s="16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17"/>
      <c r="BX584" s="9"/>
      <c r="BY584" s="40"/>
      <c r="BZ584" s="40"/>
      <c r="CA584" s="40"/>
      <c r="CB584" s="40"/>
      <c r="CC584" s="8"/>
    </row>
    <row r="585" ht="18.75" customHeight="1">
      <c r="A585" s="40"/>
      <c r="B585" s="17"/>
      <c r="D585" s="40"/>
      <c r="G585" s="42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2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W585" s="40"/>
      <c r="AX585" s="65"/>
      <c r="AY585" s="65"/>
      <c r="AZ585" s="16"/>
      <c r="BA585" s="16"/>
      <c r="BB585" s="65"/>
      <c r="BC585" s="16"/>
      <c r="BD585" s="16"/>
      <c r="BE585" s="16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17"/>
      <c r="BX585" s="9"/>
      <c r="BY585" s="40"/>
      <c r="BZ585" s="40"/>
      <c r="CA585" s="40"/>
      <c r="CB585" s="40"/>
      <c r="CC585" s="8"/>
    </row>
    <row r="586" ht="18.75" customHeight="1">
      <c r="A586" s="40"/>
      <c r="B586" s="17"/>
      <c r="D586" s="40"/>
      <c r="G586" s="42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2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W586" s="40"/>
      <c r="AX586" s="65"/>
      <c r="AY586" s="65"/>
      <c r="AZ586" s="16"/>
      <c r="BA586" s="16"/>
      <c r="BB586" s="65"/>
      <c r="BC586" s="16"/>
      <c r="BD586" s="16"/>
      <c r="BE586" s="16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17"/>
      <c r="BX586" s="9"/>
      <c r="BY586" s="40"/>
      <c r="BZ586" s="40"/>
      <c r="CA586" s="40"/>
      <c r="CB586" s="40"/>
      <c r="CC586" s="8"/>
    </row>
    <row r="587" ht="18.75" customHeight="1">
      <c r="A587" s="40"/>
      <c r="B587" s="17"/>
      <c r="D587" s="40"/>
      <c r="G587" s="42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2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W587" s="40"/>
      <c r="AX587" s="65"/>
      <c r="AY587" s="65"/>
      <c r="AZ587" s="16"/>
      <c r="BA587" s="16"/>
      <c r="BB587" s="65"/>
      <c r="BC587" s="16"/>
      <c r="BD587" s="16"/>
      <c r="BE587" s="16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17"/>
      <c r="BX587" s="9"/>
      <c r="BY587" s="40"/>
      <c r="BZ587" s="40"/>
      <c r="CA587" s="40"/>
      <c r="CB587" s="40"/>
      <c r="CC587" s="8"/>
    </row>
    <row r="588" ht="18.75" customHeight="1">
      <c r="A588" s="40"/>
      <c r="B588" s="17"/>
      <c r="D588" s="40"/>
      <c r="G588" s="42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2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W588" s="40"/>
      <c r="AX588" s="65"/>
      <c r="AY588" s="65"/>
      <c r="AZ588" s="16"/>
      <c r="BA588" s="16"/>
      <c r="BB588" s="65"/>
      <c r="BC588" s="16"/>
      <c r="BD588" s="16"/>
      <c r="BE588" s="16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17"/>
      <c r="BX588" s="9"/>
      <c r="BY588" s="40"/>
      <c r="BZ588" s="40"/>
      <c r="CA588" s="40"/>
      <c r="CB588" s="40"/>
      <c r="CC588" s="8"/>
    </row>
    <row r="589" ht="18.75" customHeight="1">
      <c r="A589" s="40"/>
      <c r="B589" s="17"/>
      <c r="D589" s="40"/>
      <c r="G589" s="42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2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W589" s="40"/>
      <c r="AX589" s="65"/>
      <c r="AY589" s="65"/>
      <c r="AZ589" s="16"/>
      <c r="BA589" s="16"/>
      <c r="BB589" s="65"/>
      <c r="BC589" s="16"/>
      <c r="BD589" s="16"/>
      <c r="BE589" s="16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17"/>
      <c r="BX589" s="9"/>
      <c r="BY589" s="40"/>
      <c r="BZ589" s="40"/>
      <c r="CA589" s="40"/>
      <c r="CB589" s="40"/>
      <c r="CC589" s="8"/>
    </row>
    <row r="590" ht="18.75" customHeight="1">
      <c r="A590" s="40"/>
      <c r="B590" s="17"/>
      <c r="D590" s="40"/>
      <c r="G590" s="42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2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W590" s="40"/>
      <c r="AX590" s="65"/>
      <c r="AY590" s="65"/>
      <c r="AZ590" s="16"/>
      <c r="BA590" s="16"/>
      <c r="BB590" s="65"/>
      <c r="BC590" s="16"/>
      <c r="BD590" s="16"/>
      <c r="BE590" s="16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17"/>
      <c r="BX590" s="9"/>
      <c r="BY590" s="40"/>
      <c r="BZ590" s="40"/>
      <c r="CA590" s="40"/>
      <c r="CB590" s="40"/>
      <c r="CC590" s="8"/>
    </row>
    <row r="591" ht="18.75" customHeight="1">
      <c r="A591" s="40"/>
      <c r="B591" s="17"/>
      <c r="D591" s="40"/>
      <c r="G591" s="42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2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W591" s="40"/>
      <c r="AX591" s="65"/>
      <c r="AY591" s="65"/>
      <c r="AZ591" s="16"/>
      <c r="BA591" s="16"/>
      <c r="BB591" s="65"/>
      <c r="BC591" s="16"/>
      <c r="BD591" s="16"/>
      <c r="BE591" s="16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17"/>
      <c r="BX591" s="9"/>
      <c r="BY591" s="40"/>
      <c r="BZ591" s="40"/>
      <c r="CA591" s="40"/>
      <c r="CB591" s="40"/>
      <c r="CC591" s="8"/>
    </row>
    <row r="592" ht="18.75" customHeight="1">
      <c r="A592" s="40"/>
      <c r="B592" s="17"/>
      <c r="D592" s="40"/>
      <c r="G592" s="42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2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W592" s="40"/>
      <c r="AX592" s="65"/>
      <c r="AY592" s="65"/>
      <c r="AZ592" s="16"/>
      <c r="BA592" s="16"/>
      <c r="BB592" s="65"/>
      <c r="BC592" s="16"/>
      <c r="BD592" s="16"/>
      <c r="BE592" s="16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17"/>
      <c r="BX592" s="9"/>
      <c r="BY592" s="40"/>
      <c r="BZ592" s="40"/>
      <c r="CA592" s="40"/>
      <c r="CB592" s="40"/>
      <c r="CC592" s="8"/>
    </row>
    <row r="593" ht="18.75" customHeight="1">
      <c r="A593" s="40"/>
      <c r="B593" s="17"/>
      <c r="D593" s="40"/>
      <c r="G593" s="42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2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W593" s="40"/>
      <c r="AX593" s="65"/>
      <c r="AY593" s="65"/>
      <c r="AZ593" s="16"/>
      <c r="BA593" s="16"/>
      <c r="BB593" s="65"/>
      <c r="BC593" s="16"/>
      <c r="BD593" s="16"/>
      <c r="BE593" s="16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17"/>
      <c r="BX593" s="9"/>
      <c r="BY593" s="40"/>
      <c r="BZ593" s="40"/>
      <c r="CA593" s="40"/>
      <c r="CB593" s="40"/>
      <c r="CC593" s="8"/>
    </row>
    <row r="594" ht="18.75" customHeight="1">
      <c r="A594" s="40"/>
      <c r="B594" s="17"/>
      <c r="D594" s="40"/>
      <c r="G594" s="42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2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W594" s="40"/>
      <c r="AX594" s="65"/>
      <c r="AY594" s="65"/>
      <c r="AZ594" s="16"/>
      <c r="BA594" s="16"/>
      <c r="BB594" s="65"/>
      <c r="BC594" s="16"/>
      <c r="BD594" s="16"/>
      <c r="BE594" s="16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17"/>
      <c r="BX594" s="9"/>
      <c r="BY594" s="40"/>
      <c r="BZ594" s="40"/>
      <c r="CA594" s="40"/>
      <c r="CB594" s="40"/>
      <c r="CC594" s="8"/>
    </row>
    <row r="595" ht="18.75" customHeight="1">
      <c r="A595" s="40"/>
      <c r="B595" s="17"/>
      <c r="D595" s="40"/>
      <c r="G595" s="42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2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W595" s="40"/>
      <c r="AX595" s="65"/>
      <c r="AY595" s="65"/>
      <c r="AZ595" s="16"/>
      <c r="BA595" s="16"/>
      <c r="BB595" s="65"/>
      <c r="BC595" s="16"/>
      <c r="BD595" s="16"/>
      <c r="BE595" s="16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17"/>
      <c r="BX595" s="9"/>
      <c r="BY595" s="40"/>
      <c r="BZ595" s="40"/>
      <c r="CA595" s="40"/>
      <c r="CB595" s="40"/>
      <c r="CC595" s="8"/>
    </row>
    <row r="596" ht="18.75" customHeight="1">
      <c r="A596" s="40"/>
      <c r="B596" s="17"/>
      <c r="D596" s="40"/>
      <c r="G596" s="42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2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W596" s="40"/>
      <c r="AX596" s="65"/>
      <c r="AY596" s="65"/>
      <c r="AZ596" s="16"/>
      <c r="BA596" s="16"/>
      <c r="BB596" s="65"/>
      <c r="BC596" s="16"/>
      <c r="BD596" s="16"/>
      <c r="BE596" s="16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17"/>
      <c r="BX596" s="9"/>
      <c r="BY596" s="40"/>
      <c r="BZ596" s="40"/>
      <c r="CA596" s="40"/>
      <c r="CB596" s="40"/>
      <c r="CC596" s="8"/>
    </row>
    <row r="597" ht="18.75" customHeight="1">
      <c r="A597" s="40"/>
      <c r="B597" s="17"/>
      <c r="D597" s="40"/>
      <c r="G597" s="42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2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W597" s="40"/>
      <c r="AX597" s="65"/>
      <c r="AY597" s="65"/>
      <c r="AZ597" s="16"/>
      <c r="BA597" s="16"/>
      <c r="BB597" s="65"/>
      <c r="BC597" s="16"/>
      <c r="BD597" s="16"/>
      <c r="BE597" s="16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17"/>
      <c r="BX597" s="9"/>
      <c r="BY597" s="40"/>
      <c r="BZ597" s="40"/>
      <c r="CA597" s="40"/>
      <c r="CB597" s="40"/>
      <c r="CC597" s="8"/>
    </row>
    <row r="598" ht="18.75" customHeight="1">
      <c r="A598" s="40"/>
      <c r="B598" s="17"/>
      <c r="D598" s="40"/>
      <c r="G598" s="42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2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W598" s="40"/>
      <c r="AX598" s="65"/>
      <c r="AY598" s="65"/>
      <c r="AZ598" s="16"/>
      <c r="BA598" s="16"/>
      <c r="BB598" s="65"/>
      <c r="BC598" s="16"/>
      <c r="BD598" s="16"/>
      <c r="BE598" s="16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17"/>
      <c r="BX598" s="9"/>
      <c r="BY598" s="40"/>
      <c r="BZ598" s="40"/>
      <c r="CA598" s="40"/>
      <c r="CB598" s="40"/>
      <c r="CC598" s="8"/>
    </row>
    <row r="599" ht="18.75" customHeight="1">
      <c r="A599" s="40"/>
      <c r="B599" s="17"/>
      <c r="D599" s="40"/>
      <c r="G599" s="42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2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W599" s="40"/>
      <c r="AX599" s="65"/>
      <c r="AY599" s="65"/>
      <c r="AZ599" s="16"/>
      <c r="BA599" s="16"/>
      <c r="BB599" s="65"/>
      <c r="BC599" s="16"/>
      <c r="BD599" s="16"/>
      <c r="BE599" s="16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17"/>
      <c r="BX599" s="9"/>
      <c r="BY599" s="40"/>
      <c r="BZ599" s="40"/>
      <c r="CA599" s="40"/>
      <c r="CB599" s="40"/>
      <c r="CC599" s="8"/>
    </row>
    <row r="600" ht="18.75" customHeight="1">
      <c r="A600" s="40"/>
      <c r="B600" s="17"/>
      <c r="D600" s="40"/>
      <c r="G600" s="42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2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W600" s="40"/>
      <c r="AX600" s="65"/>
      <c r="AY600" s="65"/>
      <c r="AZ600" s="16"/>
      <c r="BA600" s="16"/>
      <c r="BB600" s="65"/>
      <c r="BC600" s="16"/>
      <c r="BD600" s="16"/>
      <c r="BE600" s="16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17"/>
      <c r="BX600" s="9"/>
      <c r="BY600" s="40"/>
      <c r="BZ600" s="40"/>
      <c r="CA600" s="40"/>
      <c r="CB600" s="40"/>
      <c r="CC600" s="8"/>
    </row>
    <row r="601" ht="18.75" customHeight="1">
      <c r="A601" s="40"/>
      <c r="B601" s="17"/>
      <c r="D601" s="40"/>
      <c r="G601" s="42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2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W601" s="40"/>
      <c r="AX601" s="65"/>
      <c r="AY601" s="65"/>
      <c r="AZ601" s="16"/>
      <c r="BA601" s="16"/>
      <c r="BB601" s="65"/>
      <c r="BC601" s="16"/>
      <c r="BD601" s="16"/>
      <c r="BE601" s="16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17"/>
      <c r="BX601" s="9"/>
      <c r="BY601" s="40"/>
      <c r="BZ601" s="40"/>
      <c r="CA601" s="40"/>
      <c r="CB601" s="40"/>
      <c r="CC601" s="8"/>
    </row>
    <row r="602" ht="18.75" customHeight="1">
      <c r="A602" s="40"/>
      <c r="B602" s="17"/>
      <c r="D602" s="40"/>
      <c r="G602" s="42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2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W602" s="40"/>
      <c r="AX602" s="65"/>
      <c r="AY602" s="65"/>
      <c r="AZ602" s="16"/>
      <c r="BA602" s="16"/>
      <c r="BB602" s="65"/>
      <c r="BC602" s="16"/>
      <c r="BD602" s="16"/>
      <c r="BE602" s="16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17"/>
      <c r="BX602" s="9"/>
      <c r="BY602" s="40"/>
      <c r="BZ602" s="40"/>
      <c r="CA602" s="40"/>
      <c r="CB602" s="40"/>
      <c r="CC602" s="8"/>
    </row>
    <row r="603" ht="18.75" customHeight="1">
      <c r="A603" s="40"/>
      <c r="B603" s="17"/>
      <c r="D603" s="40"/>
      <c r="G603" s="42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2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W603" s="40"/>
      <c r="AX603" s="65"/>
      <c r="AY603" s="65"/>
      <c r="AZ603" s="16"/>
      <c r="BA603" s="16"/>
      <c r="BB603" s="65"/>
      <c r="BC603" s="16"/>
      <c r="BD603" s="16"/>
      <c r="BE603" s="16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17"/>
      <c r="BX603" s="9"/>
      <c r="BY603" s="40"/>
      <c r="BZ603" s="40"/>
      <c r="CA603" s="40"/>
      <c r="CB603" s="40"/>
      <c r="CC603" s="8"/>
    </row>
    <row r="604" ht="18.75" customHeight="1">
      <c r="A604" s="40"/>
      <c r="B604" s="17"/>
      <c r="D604" s="40"/>
      <c r="G604" s="42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2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W604" s="40"/>
      <c r="AX604" s="65"/>
      <c r="AY604" s="65"/>
      <c r="AZ604" s="16"/>
      <c r="BA604" s="16"/>
      <c r="BB604" s="65"/>
      <c r="BC604" s="16"/>
      <c r="BD604" s="16"/>
      <c r="BE604" s="16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17"/>
      <c r="BX604" s="9"/>
      <c r="BY604" s="40"/>
      <c r="BZ604" s="40"/>
      <c r="CA604" s="40"/>
      <c r="CB604" s="40"/>
      <c r="CC604" s="8"/>
    </row>
    <row r="605" ht="18.75" customHeight="1">
      <c r="A605" s="40"/>
      <c r="B605" s="17"/>
      <c r="D605" s="40"/>
      <c r="G605" s="42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2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W605" s="40"/>
      <c r="AX605" s="65"/>
      <c r="AY605" s="65"/>
      <c r="AZ605" s="16"/>
      <c r="BA605" s="16"/>
      <c r="BB605" s="65"/>
      <c r="BC605" s="16"/>
      <c r="BD605" s="16"/>
      <c r="BE605" s="16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17"/>
      <c r="BX605" s="9"/>
      <c r="BY605" s="40"/>
      <c r="BZ605" s="40"/>
      <c r="CA605" s="40"/>
      <c r="CB605" s="40"/>
      <c r="CC605" s="8"/>
    </row>
    <row r="606" ht="18.75" customHeight="1">
      <c r="A606" s="40"/>
      <c r="B606" s="17"/>
      <c r="D606" s="40"/>
      <c r="G606" s="42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2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W606" s="40"/>
      <c r="AX606" s="65"/>
      <c r="AY606" s="65"/>
      <c r="AZ606" s="16"/>
      <c r="BA606" s="16"/>
      <c r="BB606" s="65"/>
      <c r="BC606" s="16"/>
      <c r="BD606" s="16"/>
      <c r="BE606" s="16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17"/>
      <c r="BX606" s="9"/>
      <c r="BY606" s="40"/>
      <c r="BZ606" s="40"/>
      <c r="CA606" s="40"/>
      <c r="CB606" s="40"/>
      <c r="CC606" s="8"/>
    </row>
    <row r="607" ht="18.75" customHeight="1">
      <c r="A607" s="40"/>
      <c r="B607" s="17"/>
      <c r="D607" s="40"/>
      <c r="G607" s="42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2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W607" s="40"/>
      <c r="AX607" s="65"/>
      <c r="AY607" s="65"/>
      <c r="AZ607" s="16"/>
      <c r="BA607" s="16"/>
      <c r="BB607" s="65"/>
      <c r="BC607" s="16"/>
      <c r="BD607" s="16"/>
      <c r="BE607" s="16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17"/>
      <c r="BX607" s="9"/>
      <c r="BY607" s="40"/>
      <c r="BZ607" s="40"/>
      <c r="CA607" s="40"/>
      <c r="CB607" s="40"/>
      <c r="CC607" s="8"/>
    </row>
    <row r="608" ht="18.75" customHeight="1">
      <c r="A608" s="40"/>
      <c r="B608" s="17"/>
      <c r="D608" s="40"/>
      <c r="G608" s="42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2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W608" s="40"/>
      <c r="AX608" s="65"/>
      <c r="AY608" s="65"/>
      <c r="AZ608" s="16"/>
      <c r="BA608" s="16"/>
      <c r="BB608" s="65"/>
      <c r="BC608" s="16"/>
      <c r="BD608" s="16"/>
      <c r="BE608" s="16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17"/>
      <c r="BX608" s="9"/>
      <c r="BY608" s="40"/>
      <c r="BZ608" s="40"/>
      <c r="CA608" s="40"/>
      <c r="CB608" s="40"/>
      <c r="CC608" s="8"/>
    </row>
    <row r="609" ht="18.75" customHeight="1">
      <c r="A609" s="40"/>
      <c r="B609" s="17"/>
      <c r="D609" s="40"/>
      <c r="G609" s="42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2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W609" s="40"/>
      <c r="AX609" s="65"/>
      <c r="AY609" s="65"/>
      <c r="AZ609" s="16"/>
      <c r="BA609" s="16"/>
      <c r="BB609" s="65"/>
      <c r="BC609" s="16"/>
      <c r="BD609" s="16"/>
      <c r="BE609" s="16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17"/>
      <c r="BX609" s="9"/>
      <c r="BY609" s="40"/>
      <c r="BZ609" s="40"/>
      <c r="CA609" s="40"/>
      <c r="CB609" s="40"/>
      <c r="CC609" s="8"/>
    </row>
    <row r="610" ht="18.75" customHeight="1">
      <c r="A610" s="40"/>
      <c r="B610" s="17"/>
      <c r="D610" s="40"/>
      <c r="G610" s="42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2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W610" s="40"/>
      <c r="AX610" s="65"/>
      <c r="AY610" s="65"/>
      <c r="AZ610" s="16"/>
      <c r="BA610" s="16"/>
      <c r="BB610" s="65"/>
      <c r="BC610" s="16"/>
      <c r="BD610" s="16"/>
      <c r="BE610" s="16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17"/>
      <c r="BX610" s="9"/>
      <c r="BY610" s="40"/>
      <c r="BZ610" s="40"/>
      <c r="CA610" s="40"/>
      <c r="CB610" s="40"/>
      <c r="CC610" s="8"/>
    </row>
    <row r="611" ht="18.75" customHeight="1">
      <c r="A611" s="40"/>
      <c r="B611" s="17"/>
      <c r="D611" s="40"/>
      <c r="G611" s="42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2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W611" s="40"/>
      <c r="AX611" s="65"/>
      <c r="AY611" s="65"/>
      <c r="AZ611" s="16"/>
      <c r="BA611" s="16"/>
      <c r="BB611" s="65"/>
      <c r="BC611" s="16"/>
      <c r="BD611" s="16"/>
      <c r="BE611" s="16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17"/>
      <c r="BX611" s="9"/>
      <c r="BY611" s="40"/>
      <c r="BZ611" s="40"/>
      <c r="CA611" s="40"/>
      <c r="CB611" s="40"/>
      <c r="CC611" s="8"/>
    </row>
    <row r="612" ht="18.75" customHeight="1">
      <c r="A612" s="40"/>
      <c r="B612" s="17"/>
      <c r="D612" s="40"/>
      <c r="G612" s="42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2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W612" s="40"/>
      <c r="AX612" s="65"/>
      <c r="AY612" s="65"/>
      <c r="AZ612" s="16"/>
      <c r="BA612" s="16"/>
      <c r="BB612" s="65"/>
      <c r="BC612" s="16"/>
      <c r="BD612" s="16"/>
      <c r="BE612" s="16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17"/>
      <c r="BX612" s="9"/>
      <c r="BY612" s="40"/>
      <c r="BZ612" s="40"/>
      <c r="CA612" s="40"/>
      <c r="CB612" s="40"/>
      <c r="CC612" s="8"/>
    </row>
    <row r="613" ht="18.75" customHeight="1">
      <c r="A613" s="40"/>
      <c r="B613" s="17"/>
      <c r="D613" s="40"/>
      <c r="G613" s="42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2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W613" s="40"/>
      <c r="AX613" s="65"/>
      <c r="AY613" s="65"/>
      <c r="AZ613" s="16"/>
      <c r="BA613" s="16"/>
      <c r="BB613" s="65"/>
      <c r="BC613" s="16"/>
      <c r="BD613" s="16"/>
      <c r="BE613" s="16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17"/>
      <c r="BX613" s="9"/>
      <c r="BY613" s="40"/>
      <c r="BZ613" s="40"/>
      <c r="CA613" s="40"/>
      <c r="CB613" s="40"/>
      <c r="CC613" s="8"/>
    </row>
    <row r="614" ht="18.75" customHeight="1">
      <c r="A614" s="40"/>
      <c r="B614" s="17"/>
      <c r="D614" s="40"/>
      <c r="G614" s="42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2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W614" s="40"/>
      <c r="AX614" s="65"/>
      <c r="AY614" s="65"/>
      <c r="AZ614" s="16"/>
      <c r="BA614" s="16"/>
      <c r="BB614" s="65"/>
      <c r="BC614" s="16"/>
      <c r="BD614" s="16"/>
      <c r="BE614" s="16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17"/>
      <c r="BX614" s="9"/>
      <c r="BY614" s="40"/>
      <c r="BZ614" s="40"/>
      <c r="CA614" s="40"/>
      <c r="CB614" s="40"/>
      <c r="CC614" s="8"/>
    </row>
    <row r="615" ht="18.75" customHeight="1">
      <c r="A615" s="40"/>
      <c r="B615" s="17"/>
      <c r="D615" s="40"/>
      <c r="G615" s="42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2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W615" s="40"/>
      <c r="AX615" s="65"/>
      <c r="AY615" s="65"/>
      <c r="AZ615" s="16"/>
      <c r="BA615" s="16"/>
      <c r="BB615" s="65"/>
      <c r="BC615" s="16"/>
      <c r="BD615" s="16"/>
      <c r="BE615" s="16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17"/>
      <c r="BX615" s="9"/>
      <c r="BY615" s="40"/>
      <c r="BZ615" s="40"/>
      <c r="CA615" s="40"/>
      <c r="CB615" s="40"/>
      <c r="CC615" s="8"/>
    </row>
    <row r="616" ht="18.75" customHeight="1">
      <c r="A616" s="40"/>
      <c r="B616" s="17"/>
      <c r="D616" s="40"/>
      <c r="G616" s="42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2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W616" s="40"/>
      <c r="AX616" s="65"/>
      <c r="AY616" s="65"/>
      <c r="AZ616" s="16"/>
      <c r="BA616" s="16"/>
      <c r="BB616" s="65"/>
      <c r="BC616" s="16"/>
      <c r="BD616" s="16"/>
      <c r="BE616" s="16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17"/>
      <c r="BX616" s="9"/>
      <c r="BY616" s="40"/>
      <c r="BZ616" s="40"/>
      <c r="CA616" s="40"/>
      <c r="CB616" s="40"/>
      <c r="CC616" s="8"/>
    </row>
    <row r="617" ht="18.75" customHeight="1">
      <c r="A617" s="40"/>
      <c r="B617" s="17"/>
      <c r="D617" s="40"/>
      <c r="G617" s="42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2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W617" s="40"/>
      <c r="AX617" s="65"/>
      <c r="AY617" s="65"/>
      <c r="AZ617" s="16"/>
      <c r="BA617" s="16"/>
      <c r="BB617" s="65"/>
      <c r="BC617" s="16"/>
      <c r="BD617" s="16"/>
      <c r="BE617" s="16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17"/>
      <c r="BX617" s="9"/>
      <c r="BY617" s="40"/>
      <c r="BZ617" s="40"/>
      <c r="CA617" s="40"/>
      <c r="CB617" s="40"/>
      <c r="CC617" s="8"/>
    </row>
    <row r="618" ht="18.75" customHeight="1">
      <c r="A618" s="40"/>
      <c r="B618" s="17"/>
      <c r="D618" s="40"/>
      <c r="G618" s="42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2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W618" s="40"/>
      <c r="AX618" s="65"/>
      <c r="AY618" s="65"/>
      <c r="AZ618" s="16"/>
      <c r="BA618" s="16"/>
      <c r="BB618" s="65"/>
      <c r="BC618" s="16"/>
      <c r="BD618" s="16"/>
      <c r="BE618" s="16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17"/>
      <c r="BX618" s="9"/>
      <c r="BY618" s="40"/>
      <c r="BZ618" s="40"/>
      <c r="CA618" s="40"/>
      <c r="CB618" s="40"/>
      <c r="CC618" s="8"/>
    </row>
    <row r="619" ht="18.75" customHeight="1">
      <c r="A619" s="40"/>
      <c r="B619" s="17"/>
      <c r="D619" s="40"/>
      <c r="G619" s="42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2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W619" s="40"/>
      <c r="AX619" s="65"/>
      <c r="AY619" s="65"/>
      <c r="AZ619" s="16"/>
      <c r="BA619" s="16"/>
      <c r="BB619" s="65"/>
      <c r="BC619" s="16"/>
      <c r="BD619" s="16"/>
      <c r="BE619" s="16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17"/>
      <c r="BX619" s="9"/>
      <c r="BY619" s="40"/>
      <c r="BZ619" s="40"/>
      <c r="CA619" s="40"/>
      <c r="CB619" s="40"/>
      <c r="CC619" s="8"/>
    </row>
    <row r="620" ht="18.75" customHeight="1">
      <c r="A620" s="40"/>
      <c r="B620" s="17"/>
      <c r="D620" s="40"/>
      <c r="G620" s="42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2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W620" s="40"/>
      <c r="AX620" s="65"/>
      <c r="AY620" s="65"/>
      <c r="AZ620" s="16"/>
      <c r="BA620" s="16"/>
      <c r="BB620" s="65"/>
      <c r="BC620" s="16"/>
      <c r="BD620" s="16"/>
      <c r="BE620" s="16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17"/>
      <c r="BX620" s="9"/>
      <c r="BY620" s="40"/>
      <c r="BZ620" s="40"/>
      <c r="CA620" s="40"/>
      <c r="CB620" s="40"/>
      <c r="CC620" s="8"/>
    </row>
    <row r="621" ht="18.75" customHeight="1">
      <c r="A621" s="40"/>
      <c r="B621" s="17"/>
      <c r="D621" s="40"/>
      <c r="G621" s="42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2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W621" s="40"/>
      <c r="AX621" s="65"/>
      <c r="AY621" s="65"/>
      <c r="AZ621" s="16"/>
      <c r="BA621" s="16"/>
      <c r="BB621" s="65"/>
      <c r="BC621" s="16"/>
      <c r="BD621" s="16"/>
      <c r="BE621" s="16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17"/>
      <c r="BX621" s="9"/>
      <c r="BY621" s="40"/>
      <c r="BZ621" s="40"/>
      <c r="CA621" s="40"/>
      <c r="CB621" s="40"/>
      <c r="CC621" s="8"/>
    </row>
    <row r="622" ht="18.75" customHeight="1">
      <c r="A622" s="40"/>
      <c r="B622" s="17"/>
      <c r="D622" s="40"/>
      <c r="G622" s="42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2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W622" s="40"/>
      <c r="AX622" s="65"/>
      <c r="AY622" s="65"/>
      <c r="AZ622" s="16"/>
      <c r="BA622" s="16"/>
      <c r="BB622" s="65"/>
      <c r="BC622" s="16"/>
      <c r="BD622" s="16"/>
      <c r="BE622" s="16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17"/>
      <c r="BX622" s="9"/>
      <c r="BY622" s="40"/>
      <c r="BZ622" s="40"/>
      <c r="CA622" s="40"/>
      <c r="CB622" s="40"/>
      <c r="CC622" s="8"/>
    </row>
    <row r="623" ht="18.75" customHeight="1">
      <c r="A623" s="40"/>
      <c r="B623" s="17"/>
      <c r="D623" s="40"/>
      <c r="G623" s="42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2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W623" s="40"/>
      <c r="AX623" s="65"/>
      <c r="AY623" s="65"/>
      <c r="AZ623" s="16"/>
      <c r="BA623" s="16"/>
      <c r="BB623" s="65"/>
      <c r="BC623" s="16"/>
      <c r="BD623" s="16"/>
      <c r="BE623" s="16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17"/>
      <c r="BX623" s="9"/>
      <c r="BY623" s="40"/>
      <c r="BZ623" s="40"/>
      <c r="CA623" s="40"/>
      <c r="CB623" s="40"/>
      <c r="CC623" s="8"/>
    </row>
    <row r="624" ht="18.75" customHeight="1">
      <c r="A624" s="40"/>
      <c r="B624" s="17"/>
      <c r="D624" s="40"/>
      <c r="G624" s="42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2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W624" s="40"/>
      <c r="AX624" s="65"/>
      <c r="AY624" s="65"/>
      <c r="AZ624" s="16"/>
      <c r="BA624" s="16"/>
      <c r="BB624" s="65"/>
      <c r="BC624" s="16"/>
      <c r="BD624" s="16"/>
      <c r="BE624" s="16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17"/>
      <c r="BX624" s="9"/>
      <c r="BY624" s="40"/>
      <c r="BZ624" s="40"/>
      <c r="CA624" s="40"/>
      <c r="CB624" s="40"/>
      <c r="CC624" s="8"/>
    </row>
    <row r="625" ht="18.75" customHeight="1">
      <c r="A625" s="40"/>
      <c r="B625" s="17"/>
      <c r="D625" s="40"/>
      <c r="G625" s="42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2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W625" s="40"/>
      <c r="AX625" s="65"/>
      <c r="AY625" s="65"/>
      <c r="AZ625" s="16"/>
      <c r="BA625" s="16"/>
      <c r="BB625" s="65"/>
      <c r="BC625" s="16"/>
      <c r="BD625" s="16"/>
      <c r="BE625" s="16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17"/>
      <c r="BX625" s="9"/>
      <c r="BY625" s="40"/>
      <c r="BZ625" s="40"/>
      <c r="CA625" s="40"/>
      <c r="CB625" s="40"/>
      <c r="CC625" s="8"/>
    </row>
    <row r="626" ht="18.75" customHeight="1">
      <c r="A626" s="40"/>
      <c r="B626" s="17"/>
      <c r="D626" s="40"/>
      <c r="G626" s="42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2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W626" s="40"/>
      <c r="AX626" s="65"/>
      <c r="AY626" s="65"/>
      <c r="AZ626" s="16"/>
      <c r="BA626" s="16"/>
      <c r="BB626" s="65"/>
      <c r="BC626" s="16"/>
      <c r="BD626" s="16"/>
      <c r="BE626" s="16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17"/>
      <c r="BX626" s="9"/>
      <c r="BY626" s="40"/>
      <c r="BZ626" s="40"/>
      <c r="CA626" s="40"/>
      <c r="CB626" s="40"/>
      <c r="CC626" s="8"/>
    </row>
    <row r="627" ht="18.75" customHeight="1">
      <c r="A627" s="40"/>
      <c r="B627" s="17"/>
      <c r="D627" s="40"/>
      <c r="G627" s="42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2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W627" s="40"/>
      <c r="AX627" s="65"/>
      <c r="AY627" s="65"/>
      <c r="AZ627" s="16"/>
      <c r="BA627" s="16"/>
      <c r="BB627" s="65"/>
      <c r="BC627" s="16"/>
      <c r="BD627" s="16"/>
      <c r="BE627" s="16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17"/>
      <c r="BX627" s="9"/>
      <c r="BY627" s="40"/>
      <c r="BZ627" s="40"/>
      <c r="CA627" s="40"/>
      <c r="CB627" s="40"/>
      <c r="CC627" s="8"/>
    </row>
    <row r="628" ht="18.75" customHeight="1">
      <c r="A628" s="40"/>
      <c r="B628" s="17"/>
      <c r="D628" s="40"/>
      <c r="G628" s="42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2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W628" s="40"/>
      <c r="AX628" s="65"/>
      <c r="AY628" s="65"/>
      <c r="AZ628" s="16"/>
      <c r="BA628" s="16"/>
      <c r="BB628" s="65"/>
      <c r="BC628" s="16"/>
      <c r="BD628" s="16"/>
      <c r="BE628" s="16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17"/>
      <c r="BX628" s="9"/>
      <c r="BY628" s="40"/>
      <c r="BZ628" s="40"/>
      <c r="CA628" s="40"/>
      <c r="CB628" s="40"/>
      <c r="CC628" s="8"/>
    </row>
    <row r="629" ht="18.75" customHeight="1">
      <c r="A629" s="40"/>
      <c r="B629" s="17"/>
      <c r="D629" s="40"/>
      <c r="G629" s="42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2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W629" s="40"/>
      <c r="AX629" s="65"/>
      <c r="AY629" s="65"/>
      <c r="AZ629" s="16"/>
      <c r="BA629" s="16"/>
      <c r="BB629" s="65"/>
      <c r="BC629" s="16"/>
      <c r="BD629" s="16"/>
      <c r="BE629" s="16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17"/>
      <c r="BX629" s="9"/>
      <c r="BY629" s="40"/>
      <c r="BZ629" s="40"/>
      <c r="CA629" s="40"/>
      <c r="CB629" s="40"/>
      <c r="CC629" s="8"/>
    </row>
    <row r="630" ht="18.75" customHeight="1">
      <c r="A630" s="40"/>
      <c r="B630" s="17"/>
      <c r="D630" s="40"/>
      <c r="G630" s="42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2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W630" s="40"/>
      <c r="AX630" s="65"/>
      <c r="AY630" s="65"/>
      <c r="AZ630" s="16"/>
      <c r="BA630" s="16"/>
      <c r="BB630" s="65"/>
      <c r="BC630" s="16"/>
      <c r="BD630" s="16"/>
      <c r="BE630" s="16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17"/>
      <c r="BX630" s="9"/>
      <c r="BY630" s="40"/>
      <c r="BZ630" s="40"/>
      <c r="CA630" s="40"/>
      <c r="CB630" s="40"/>
      <c r="CC630" s="8"/>
    </row>
    <row r="631" ht="18.75" customHeight="1">
      <c r="A631" s="40"/>
      <c r="B631" s="17"/>
      <c r="D631" s="40"/>
      <c r="G631" s="42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2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W631" s="40"/>
      <c r="AX631" s="65"/>
      <c r="AY631" s="65"/>
      <c r="AZ631" s="16"/>
      <c r="BA631" s="16"/>
      <c r="BB631" s="65"/>
      <c r="BC631" s="16"/>
      <c r="BD631" s="16"/>
      <c r="BE631" s="16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17"/>
      <c r="BX631" s="9"/>
      <c r="BY631" s="40"/>
      <c r="BZ631" s="40"/>
      <c r="CA631" s="40"/>
      <c r="CB631" s="40"/>
      <c r="CC631" s="8"/>
    </row>
    <row r="632" ht="18.75" customHeight="1">
      <c r="A632" s="40"/>
      <c r="B632" s="17"/>
      <c r="D632" s="40"/>
      <c r="G632" s="42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2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W632" s="40"/>
      <c r="AX632" s="65"/>
      <c r="AY632" s="65"/>
      <c r="AZ632" s="16"/>
      <c r="BA632" s="16"/>
      <c r="BB632" s="65"/>
      <c r="BC632" s="16"/>
      <c r="BD632" s="16"/>
      <c r="BE632" s="16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17"/>
      <c r="BX632" s="9"/>
      <c r="BY632" s="40"/>
      <c r="BZ632" s="40"/>
      <c r="CA632" s="40"/>
      <c r="CB632" s="40"/>
      <c r="CC632" s="8"/>
    </row>
    <row r="633" ht="18.75" customHeight="1">
      <c r="A633" s="40"/>
      <c r="B633" s="17"/>
      <c r="D633" s="40"/>
      <c r="G633" s="42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2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W633" s="40"/>
      <c r="AX633" s="65"/>
      <c r="AY633" s="65"/>
      <c r="AZ633" s="16"/>
      <c r="BA633" s="16"/>
      <c r="BB633" s="65"/>
      <c r="BC633" s="16"/>
      <c r="BD633" s="16"/>
      <c r="BE633" s="16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17"/>
      <c r="BX633" s="9"/>
      <c r="BY633" s="40"/>
      <c r="BZ633" s="40"/>
      <c r="CA633" s="40"/>
      <c r="CB633" s="40"/>
      <c r="CC633" s="8"/>
    </row>
    <row r="634" ht="18.75" customHeight="1">
      <c r="A634" s="40"/>
      <c r="B634" s="17"/>
      <c r="D634" s="40"/>
      <c r="G634" s="42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2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W634" s="40"/>
      <c r="AX634" s="65"/>
      <c r="AY634" s="65"/>
      <c r="AZ634" s="16"/>
      <c r="BA634" s="16"/>
      <c r="BB634" s="65"/>
      <c r="BC634" s="16"/>
      <c r="BD634" s="16"/>
      <c r="BE634" s="16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17"/>
      <c r="BX634" s="9"/>
      <c r="BY634" s="40"/>
      <c r="BZ634" s="40"/>
      <c r="CA634" s="40"/>
      <c r="CB634" s="40"/>
      <c r="CC634" s="8"/>
    </row>
    <row r="635" ht="18.75" customHeight="1">
      <c r="A635" s="40"/>
      <c r="B635" s="17"/>
      <c r="D635" s="40"/>
      <c r="G635" s="42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2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W635" s="40"/>
      <c r="AX635" s="65"/>
      <c r="AY635" s="65"/>
      <c r="AZ635" s="16"/>
      <c r="BA635" s="16"/>
      <c r="BB635" s="65"/>
      <c r="BC635" s="16"/>
      <c r="BD635" s="16"/>
      <c r="BE635" s="16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17"/>
      <c r="BX635" s="9"/>
      <c r="BY635" s="40"/>
      <c r="BZ635" s="40"/>
      <c r="CA635" s="40"/>
      <c r="CB635" s="40"/>
      <c r="CC635" s="8"/>
    </row>
    <row r="636" ht="18.75" customHeight="1">
      <c r="A636" s="40"/>
      <c r="B636" s="17"/>
      <c r="D636" s="40"/>
      <c r="G636" s="42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2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W636" s="40"/>
      <c r="AX636" s="65"/>
      <c r="AY636" s="65"/>
      <c r="AZ636" s="16"/>
      <c r="BA636" s="16"/>
      <c r="BB636" s="65"/>
      <c r="BC636" s="16"/>
      <c r="BD636" s="16"/>
      <c r="BE636" s="16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17"/>
      <c r="BX636" s="9"/>
      <c r="BY636" s="40"/>
      <c r="BZ636" s="40"/>
      <c r="CA636" s="40"/>
      <c r="CB636" s="40"/>
      <c r="CC636" s="8"/>
    </row>
    <row r="637" ht="18.75" customHeight="1">
      <c r="A637" s="40"/>
      <c r="B637" s="17"/>
      <c r="D637" s="40"/>
      <c r="G637" s="42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2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W637" s="40"/>
      <c r="AX637" s="65"/>
      <c r="AY637" s="65"/>
      <c r="AZ637" s="16"/>
      <c r="BA637" s="16"/>
      <c r="BB637" s="65"/>
      <c r="BC637" s="16"/>
      <c r="BD637" s="16"/>
      <c r="BE637" s="16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17"/>
      <c r="BX637" s="9"/>
      <c r="BY637" s="40"/>
      <c r="BZ637" s="40"/>
      <c r="CA637" s="40"/>
      <c r="CB637" s="40"/>
      <c r="CC637" s="8"/>
    </row>
    <row r="638" ht="18.75" customHeight="1">
      <c r="A638" s="40"/>
      <c r="B638" s="17"/>
      <c r="D638" s="40"/>
      <c r="G638" s="42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2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W638" s="40"/>
      <c r="AX638" s="65"/>
      <c r="AY638" s="65"/>
      <c r="AZ638" s="16"/>
      <c r="BA638" s="16"/>
      <c r="BB638" s="65"/>
      <c r="BC638" s="16"/>
      <c r="BD638" s="16"/>
      <c r="BE638" s="16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17"/>
      <c r="BX638" s="9"/>
      <c r="BY638" s="40"/>
      <c r="BZ638" s="40"/>
      <c r="CA638" s="40"/>
      <c r="CB638" s="40"/>
      <c r="CC638" s="8"/>
    </row>
    <row r="639" ht="18.75" customHeight="1">
      <c r="A639" s="40"/>
      <c r="B639" s="17"/>
      <c r="D639" s="40"/>
      <c r="G639" s="42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2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W639" s="40"/>
      <c r="AX639" s="65"/>
      <c r="AY639" s="65"/>
      <c r="AZ639" s="16"/>
      <c r="BA639" s="16"/>
      <c r="BB639" s="65"/>
      <c r="BC639" s="16"/>
      <c r="BD639" s="16"/>
      <c r="BE639" s="16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17"/>
      <c r="BX639" s="9"/>
      <c r="BY639" s="40"/>
      <c r="BZ639" s="40"/>
      <c r="CA639" s="40"/>
      <c r="CB639" s="40"/>
      <c r="CC639" s="8"/>
    </row>
    <row r="640" ht="18.75" customHeight="1">
      <c r="A640" s="40"/>
      <c r="B640" s="17"/>
      <c r="D640" s="40"/>
      <c r="G640" s="42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2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W640" s="40"/>
      <c r="AX640" s="65"/>
      <c r="AY640" s="65"/>
      <c r="AZ640" s="16"/>
      <c r="BA640" s="16"/>
      <c r="BB640" s="65"/>
      <c r="BC640" s="16"/>
      <c r="BD640" s="16"/>
      <c r="BE640" s="16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17"/>
      <c r="BX640" s="9"/>
      <c r="BY640" s="40"/>
      <c r="BZ640" s="40"/>
      <c r="CA640" s="40"/>
      <c r="CB640" s="40"/>
      <c r="CC640" s="8"/>
    </row>
    <row r="641" ht="18.75" customHeight="1">
      <c r="A641" s="40"/>
      <c r="B641" s="17"/>
      <c r="D641" s="40"/>
      <c r="G641" s="42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2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W641" s="40"/>
      <c r="AX641" s="65"/>
      <c r="AY641" s="65"/>
      <c r="AZ641" s="16"/>
      <c r="BA641" s="16"/>
      <c r="BB641" s="65"/>
      <c r="BC641" s="16"/>
      <c r="BD641" s="16"/>
      <c r="BE641" s="16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17"/>
      <c r="BX641" s="9"/>
      <c r="BY641" s="40"/>
      <c r="BZ641" s="40"/>
      <c r="CA641" s="40"/>
      <c r="CB641" s="40"/>
      <c r="CC641" s="8"/>
    </row>
    <row r="642" ht="18.75" customHeight="1">
      <c r="A642" s="40"/>
      <c r="B642" s="17"/>
      <c r="D642" s="40"/>
      <c r="G642" s="42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2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W642" s="40"/>
      <c r="AX642" s="65"/>
      <c r="AY642" s="65"/>
      <c r="AZ642" s="16"/>
      <c r="BA642" s="16"/>
      <c r="BB642" s="65"/>
      <c r="BC642" s="16"/>
      <c r="BD642" s="16"/>
      <c r="BE642" s="16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17"/>
      <c r="BX642" s="9"/>
      <c r="BY642" s="40"/>
      <c r="BZ642" s="40"/>
      <c r="CA642" s="40"/>
      <c r="CB642" s="40"/>
      <c r="CC642" s="8"/>
    </row>
    <row r="643" ht="18.75" customHeight="1">
      <c r="A643" s="40"/>
      <c r="B643" s="17"/>
      <c r="D643" s="40"/>
      <c r="G643" s="42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2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W643" s="40"/>
      <c r="AX643" s="65"/>
      <c r="AY643" s="65"/>
      <c r="AZ643" s="16"/>
      <c r="BA643" s="16"/>
      <c r="BB643" s="65"/>
      <c r="BC643" s="16"/>
      <c r="BD643" s="16"/>
      <c r="BE643" s="16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17"/>
      <c r="BX643" s="9"/>
      <c r="BY643" s="40"/>
      <c r="BZ643" s="40"/>
      <c r="CA643" s="40"/>
      <c r="CB643" s="40"/>
      <c r="CC643" s="8"/>
    </row>
    <row r="644" ht="18.75" customHeight="1">
      <c r="A644" s="40"/>
      <c r="B644" s="17"/>
      <c r="D644" s="40"/>
      <c r="G644" s="42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2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W644" s="40"/>
      <c r="AX644" s="65"/>
      <c r="AY644" s="65"/>
      <c r="AZ644" s="16"/>
      <c r="BA644" s="16"/>
      <c r="BB644" s="65"/>
      <c r="BC644" s="16"/>
      <c r="BD644" s="16"/>
      <c r="BE644" s="16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17"/>
      <c r="BX644" s="9"/>
      <c r="BY644" s="40"/>
      <c r="BZ644" s="40"/>
      <c r="CA644" s="40"/>
      <c r="CB644" s="40"/>
      <c r="CC644" s="8"/>
    </row>
    <row r="645" ht="18.75" customHeight="1">
      <c r="A645" s="40"/>
      <c r="B645" s="17"/>
      <c r="D645" s="40"/>
      <c r="G645" s="42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2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W645" s="40"/>
      <c r="AX645" s="65"/>
      <c r="AY645" s="65"/>
      <c r="AZ645" s="16"/>
      <c r="BA645" s="16"/>
      <c r="BB645" s="65"/>
      <c r="BC645" s="16"/>
      <c r="BD645" s="16"/>
      <c r="BE645" s="16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17"/>
      <c r="BX645" s="9"/>
      <c r="BY645" s="40"/>
      <c r="BZ645" s="40"/>
      <c r="CA645" s="40"/>
      <c r="CB645" s="40"/>
      <c r="CC645" s="8"/>
    </row>
    <row r="646" ht="18.75" customHeight="1">
      <c r="A646" s="40"/>
      <c r="B646" s="17"/>
      <c r="D646" s="40"/>
      <c r="G646" s="42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2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W646" s="40"/>
      <c r="AX646" s="65"/>
      <c r="AY646" s="65"/>
      <c r="AZ646" s="16"/>
      <c r="BA646" s="16"/>
      <c r="BB646" s="65"/>
      <c r="BC646" s="16"/>
      <c r="BD646" s="16"/>
      <c r="BE646" s="16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17"/>
      <c r="BX646" s="9"/>
      <c r="BY646" s="40"/>
      <c r="BZ646" s="40"/>
      <c r="CA646" s="40"/>
      <c r="CB646" s="40"/>
      <c r="CC646" s="8"/>
    </row>
    <row r="647" ht="18.75" customHeight="1">
      <c r="A647" s="40"/>
      <c r="B647" s="17"/>
      <c r="D647" s="40"/>
      <c r="G647" s="42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2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W647" s="40"/>
      <c r="AX647" s="65"/>
      <c r="AY647" s="65"/>
      <c r="AZ647" s="16"/>
      <c r="BA647" s="16"/>
      <c r="BB647" s="65"/>
      <c r="BC647" s="16"/>
      <c r="BD647" s="16"/>
      <c r="BE647" s="16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17"/>
      <c r="BX647" s="9"/>
      <c r="BY647" s="40"/>
      <c r="BZ647" s="40"/>
      <c r="CA647" s="40"/>
      <c r="CB647" s="40"/>
      <c r="CC647" s="8"/>
    </row>
    <row r="648" ht="18.75" customHeight="1">
      <c r="A648" s="40"/>
      <c r="B648" s="17"/>
      <c r="D648" s="40"/>
      <c r="G648" s="42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2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W648" s="40"/>
      <c r="AX648" s="65"/>
      <c r="AY648" s="65"/>
      <c r="AZ648" s="16"/>
      <c r="BA648" s="16"/>
      <c r="BB648" s="65"/>
      <c r="BC648" s="16"/>
      <c r="BD648" s="16"/>
      <c r="BE648" s="16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17"/>
      <c r="BX648" s="9"/>
      <c r="BY648" s="40"/>
      <c r="BZ648" s="40"/>
      <c r="CA648" s="40"/>
      <c r="CB648" s="40"/>
      <c r="CC648" s="8"/>
    </row>
    <row r="649" ht="18.75" customHeight="1">
      <c r="A649" s="40"/>
      <c r="B649" s="17"/>
      <c r="D649" s="40"/>
      <c r="G649" s="42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2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W649" s="40"/>
      <c r="AX649" s="65"/>
      <c r="AY649" s="65"/>
      <c r="AZ649" s="16"/>
      <c r="BA649" s="16"/>
      <c r="BB649" s="65"/>
      <c r="BC649" s="16"/>
      <c r="BD649" s="16"/>
      <c r="BE649" s="16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17"/>
      <c r="BX649" s="9"/>
      <c r="BY649" s="40"/>
      <c r="BZ649" s="40"/>
      <c r="CA649" s="40"/>
      <c r="CB649" s="40"/>
      <c r="CC649" s="8"/>
    </row>
    <row r="650" ht="18.75" customHeight="1">
      <c r="A650" s="40"/>
      <c r="B650" s="17"/>
      <c r="D650" s="40"/>
      <c r="G650" s="42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2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W650" s="40"/>
      <c r="AX650" s="65"/>
      <c r="AY650" s="65"/>
      <c r="AZ650" s="16"/>
      <c r="BA650" s="16"/>
      <c r="BB650" s="65"/>
      <c r="BC650" s="16"/>
      <c r="BD650" s="16"/>
      <c r="BE650" s="16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17"/>
      <c r="BX650" s="9"/>
      <c r="BY650" s="40"/>
      <c r="BZ650" s="40"/>
      <c r="CA650" s="40"/>
      <c r="CB650" s="40"/>
      <c r="CC650" s="8"/>
    </row>
    <row r="651" ht="18.75" customHeight="1">
      <c r="A651" s="40"/>
      <c r="B651" s="17"/>
      <c r="D651" s="40"/>
      <c r="G651" s="42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2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W651" s="40"/>
      <c r="AX651" s="65"/>
      <c r="AY651" s="65"/>
      <c r="AZ651" s="16"/>
      <c r="BA651" s="16"/>
      <c r="BB651" s="65"/>
      <c r="BC651" s="16"/>
      <c r="BD651" s="16"/>
      <c r="BE651" s="16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17"/>
      <c r="BX651" s="9"/>
      <c r="BY651" s="40"/>
      <c r="BZ651" s="40"/>
      <c r="CA651" s="40"/>
      <c r="CB651" s="40"/>
      <c r="CC651" s="8"/>
    </row>
    <row r="652" ht="18.75" customHeight="1">
      <c r="A652" s="40"/>
      <c r="B652" s="17"/>
      <c r="D652" s="40"/>
      <c r="G652" s="42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2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W652" s="40"/>
      <c r="AX652" s="65"/>
      <c r="AY652" s="65"/>
      <c r="AZ652" s="16"/>
      <c r="BA652" s="16"/>
      <c r="BB652" s="65"/>
      <c r="BC652" s="16"/>
      <c r="BD652" s="16"/>
      <c r="BE652" s="16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17"/>
      <c r="BX652" s="9"/>
      <c r="BY652" s="40"/>
      <c r="BZ652" s="40"/>
      <c r="CA652" s="40"/>
      <c r="CB652" s="40"/>
      <c r="CC652" s="8"/>
    </row>
    <row r="653" ht="18.75" customHeight="1">
      <c r="A653" s="40"/>
      <c r="B653" s="17"/>
      <c r="D653" s="40"/>
      <c r="G653" s="42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2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W653" s="40"/>
      <c r="AX653" s="65"/>
      <c r="AY653" s="65"/>
      <c r="AZ653" s="16"/>
      <c r="BA653" s="16"/>
      <c r="BB653" s="65"/>
      <c r="BC653" s="16"/>
      <c r="BD653" s="16"/>
      <c r="BE653" s="16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17"/>
      <c r="BX653" s="9"/>
      <c r="BY653" s="40"/>
      <c r="BZ653" s="40"/>
      <c r="CA653" s="40"/>
      <c r="CB653" s="40"/>
      <c r="CC653" s="8"/>
    </row>
    <row r="654" ht="18.75" customHeight="1">
      <c r="A654" s="40"/>
      <c r="B654" s="17"/>
      <c r="D654" s="40"/>
      <c r="G654" s="42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2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W654" s="40"/>
      <c r="AX654" s="65"/>
      <c r="AY654" s="65"/>
      <c r="AZ654" s="16"/>
      <c r="BA654" s="16"/>
      <c r="BB654" s="65"/>
      <c r="BC654" s="16"/>
      <c r="BD654" s="16"/>
      <c r="BE654" s="16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17"/>
      <c r="BX654" s="9"/>
      <c r="BY654" s="40"/>
      <c r="BZ654" s="40"/>
      <c r="CA654" s="40"/>
      <c r="CB654" s="40"/>
      <c r="CC654" s="8"/>
    </row>
    <row r="655" ht="18.75" customHeight="1">
      <c r="A655" s="40"/>
      <c r="B655" s="17"/>
      <c r="D655" s="40"/>
      <c r="G655" s="42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2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W655" s="40"/>
      <c r="AX655" s="65"/>
      <c r="AY655" s="65"/>
      <c r="AZ655" s="16"/>
      <c r="BA655" s="16"/>
      <c r="BB655" s="65"/>
      <c r="BC655" s="16"/>
      <c r="BD655" s="16"/>
      <c r="BE655" s="16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17"/>
      <c r="BX655" s="9"/>
      <c r="BY655" s="40"/>
      <c r="BZ655" s="40"/>
      <c r="CA655" s="40"/>
      <c r="CB655" s="40"/>
      <c r="CC655" s="8"/>
    </row>
    <row r="656" ht="18.75" customHeight="1">
      <c r="A656" s="40"/>
      <c r="B656" s="17"/>
      <c r="D656" s="40"/>
      <c r="G656" s="42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2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W656" s="40"/>
      <c r="AX656" s="65"/>
      <c r="AY656" s="65"/>
      <c r="AZ656" s="16"/>
      <c r="BA656" s="16"/>
      <c r="BB656" s="65"/>
      <c r="BC656" s="16"/>
      <c r="BD656" s="16"/>
      <c r="BE656" s="16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17"/>
      <c r="BX656" s="9"/>
      <c r="BY656" s="40"/>
      <c r="BZ656" s="40"/>
      <c r="CA656" s="40"/>
      <c r="CB656" s="40"/>
      <c r="CC656" s="8"/>
    </row>
    <row r="657" ht="18.75" customHeight="1">
      <c r="A657" s="40"/>
      <c r="B657" s="17"/>
      <c r="D657" s="40"/>
      <c r="G657" s="42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2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W657" s="40"/>
      <c r="AX657" s="65"/>
      <c r="AY657" s="65"/>
      <c r="AZ657" s="16"/>
      <c r="BA657" s="16"/>
      <c r="BB657" s="65"/>
      <c r="BC657" s="16"/>
      <c r="BD657" s="16"/>
      <c r="BE657" s="16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17"/>
      <c r="BX657" s="9"/>
      <c r="BY657" s="40"/>
      <c r="BZ657" s="40"/>
      <c r="CA657" s="40"/>
      <c r="CB657" s="40"/>
      <c r="CC657" s="8"/>
    </row>
    <row r="658" ht="18.75" customHeight="1">
      <c r="A658" s="40"/>
      <c r="B658" s="17"/>
      <c r="D658" s="40"/>
      <c r="G658" s="42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2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W658" s="40"/>
      <c r="AX658" s="65"/>
      <c r="AY658" s="65"/>
      <c r="AZ658" s="16"/>
      <c r="BA658" s="16"/>
      <c r="BB658" s="65"/>
      <c r="BC658" s="16"/>
      <c r="BD658" s="16"/>
      <c r="BE658" s="16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17"/>
      <c r="BX658" s="9"/>
      <c r="BY658" s="40"/>
      <c r="BZ658" s="40"/>
      <c r="CA658" s="40"/>
      <c r="CB658" s="40"/>
      <c r="CC658" s="8"/>
    </row>
    <row r="659" ht="18.75" customHeight="1">
      <c r="A659" s="40"/>
      <c r="B659" s="17"/>
      <c r="D659" s="40"/>
      <c r="G659" s="42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2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W659" s="40"/>
      <c r="AX659" s="65"/>
      <c r="AY659" s="65"/>
      <c r="AZ659" s="16"/>
      <c r="BA659" s="16"/>
      <c r="BB659" s="65"/>
      <c r="BC659" s="16"/>
      <c r="BD659" s="16"/>
      <c r="BE659" s="16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17"/>
      <c r="BX659" s="9"/>
      <c r="BY659" s="40"/>
      <c r="BZ659" s="40"/>
      <c r="CA659" s="40"/>
      <c r="CB659" s="40"/>
      <c r="CC659" s="8"/>
    </row>
    <row r="660" ht="18.75" customHeight="1">
      <c r="A660" s="40"/>
      <c r="B660" s="17"/>
      <c r="D660" s="40"/>
      <c r="G660" s="42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2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W660" s="40"/>
      <c r="AX660" s="65"/>
      <c r="AY660" s="65"/>
      <c r="AZ660" s="16"/>
      <c r="BA660" s="16"/>
      <c r="BB660" s="65"/>
      <c r="BC660" s="16"/>
      <c r="BD660" s="16"/>
      <c r="BE660" s="16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17"/>
      <c r="BX660" s="9"/>
      <c r="BY660" s="40"/>
      <c r="BZ660" s="40"/>
      <c r="CA660" s="40"/>
      <c r="CB660" s="40"/>
      <c r="CC660" s="8"/>
    </row>
    <row r="661" ht="18.75" customHeight="1">
      <c r="A661" s="40"/>
      <c r="B661" s="17"/>
      <c r="D661" s="40"/>
      <c r="G661" s="42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2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W661" s="40"/>
      <c r="AX661" s="65"/>
      <c r="AY661" s="65"/>
      <c r="AZ661" s="16"/>
      <c r="BA661" s="16"/>
      <c r="BB661" s="65"/>
      <c r="BC661" s="16"/>
      <c r="BD661" s="16"/>
      <c r="BE661" s="16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17"/>
      <c r="BX661" s="9"/>
      <c r="BY661" s="40"/>
      <c r="BZ661" s="40"/>
      <c r="CA661" s="40"/>
      <c r="CB661" s="40"/>
      <c r="CC661" s="8"/>
    </row>
    <row r="662" ht="18.75" customHeight="1">
      <c r="A662" s="40"/>
      <c r="B662" s="17"/>
      <c r="D662" s="40"/>
      <c r="G662" s="42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2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W662" s="40"/>
      <c r="AX662" s="65"/>
      <c r="AY662" s="65"/>
      <c r="AZ662" s="16"/>
      <c r="BA662" s="16"/>
      <c r="BB662" s="65"/>
      <c r="BC662" s="16"/>
      <c r="BD662" s="16"/>
      <c r="BE662" s="16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17"/>
      <c r="BX662" s="9"/>
      <c r="BY662" s="40"/>
      <c r="BZ662" s="40"/>
      <c r="CA662" s="40"/>
      <c r="CB662" s="40"/>
      <c r="CC662" s="8"/>
    </row>
    <row r="663" ht="18.75" customHeight="1">
      <c r="A663" s="40"/>
      <c r="B663" s="17"/>
      <c r="D663" s="40"/>
      <c r="G663" s="42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2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W663" s="40"/>
      <c r="AX663" s="65"/>
      <c r="AY663" s="65"/>
      <c r="AZ663" s="16"/>
      <c r="BA663" s="16"/>
      <c r="BB663" s="65"/>
      <c r="BC663" s="16"/>
      <c r="BD663" s="16"/>
      <c r="BE663" s="16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17"/>
      <c r="BX663" s="9"/>
      <c r="BY663" s="40"/>
      <c r="BZ663" s="40"/>
      <c r="CA663" s="40"/>
      <c r="CB663" s="40"/>
      <c r="CC663" s="8"/>
    </row>
    <row r="664" ht="18.75" customHeight="1">
      <c r="A664" s="40"/>
      <c r="B664" s="17"/>
      <c r="D664" s="40"/>
      <c r="G664" s="42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2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W664" s="40"/>
      <c r="AX664" s="65"/>
      <c r="AY664" s="65"/>
      <c r="AZ664" s="16"/>
      <c r="BA664" s="16"/>
      <c r="BB664" s="65"/>
      <c r="BC664" s="16"/>
      <c r="BD664" s="16"/>
      <c r="BE664" s="16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17"/>
      <c r="BX664" s="9"/>
      <c r="BY664" s="40"/>
      <c r="BZ664" s="40"/>
      <c r="CA664" s="40"/>
      <c r="CB664" s="40"/>
      <c r="CC664" s="8"/>
    </row>
    <row r="665" ht="18.75" customHeight="1">
      <c r="A665" s="40"/>
      <c r="B665" s="17"/>
      <c r="D665" s="40"/>
      <c r="G665" s="42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2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W665" s="40"/>
      <c r="AX665" s="65"/>
      <c r="AY665" s="65"/>
      <c r="AZ665" s="16"/>
      <c r="BA665" s="16"/>
      <c r="BB665" s="65"/>
      <c r="BC665" s="16"/>
      <c r="BD665" s="16"/>
      <c r="BE665" s="16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17"/>
      <c r="BX665" s="9"/>
      <c r="BY665" s="40"/>
      <c r="BZ665" s="40"/>
      <c r="CA665" s="40"/>
      <c r="CB665" s="40"/>
      <c r="CC665" s="8"/>
    </row>
    <row r="666" ht="18.75" customHeight="1">
      <c r="A666" s="40"/>
      <c r="B666" s="17"/>
      <c r="D666" s="40"/>
      <c r="G666" s="42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2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W666" s="40"/>
      <c r="AX666" s="65"/>
      <c r="AY666" s="65"/>
      <c r="AZ666" s="16"/>
      <c r="BA666" s="16"/>
      <c r="BB666" s="65"/>
      <c r="BC666" s="16"/>
      <c r="BD666" s="16"/>
      <c r="BE666" s="16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17"/>
      <c r="BX666" s="9"/>
      <c r="BY666" s="40"/>
      <c r="BZ666" s="40"/>
      <c r="CA666" s="40"/>
      <c r="CB666" s="40"/>
      <c r="CC666" s="8"/>
    </row>
    <row r="667" ht="18.75" customHeight="1">
      <c r="A667" s="40"/>
      <c r="B667" s="17"/>
      <c r="D667" s="40"/>
      <c r="G667" s="42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2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W667" s="40"/>
      <c r="AX667" s="65"/>
      <c r="AY667" s="65"/>
      <c r="AZ667" s="16"/>
      <c r="BA667" s="16"/>
      <c r="BB667" s="65"/>
      <c r="BC667" s="16"/>
      <c r="BD667" s="16"/>
      <c r="BE667" s="16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17"/>
      <c r="BX667" s="9"/>
      <c r="BY667" s="40"/>
      <c r="BZ667" s="40"/>
      <c r="CA667" s="40"/>
      <c r="CB667" s="40"/>
      <c r="CC667" s="8"/>
    </row>
    <row r="668" ht="18.75" customHeight="1">
      <c r="A668" s="40"/>
      <c r="B668" s="17"/>
      <c r="D668" s="40"/>
      <c r="G668" s="42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2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W668" s="40"/>
      <c r="AX668" s="65"/>
      <c r="AY668" s="65"/>
      <c r="AZ668" s="16"/>
      <c r="BA668" s="16"/>
      <c r="BB668" s="65"/>
      <c r="BC668" s="16"/>
      <c r="BD668" s="16"/>
      <c r="BE668" s="16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17"/>
      <c r="BX668" s="9"/>
      <c r="BY668" s="40"/>
      <c r="BZ668" s="40"/>
      <c r="CA668" s="40"/>
      <c r="CB668" s="40"/>
      <c r="CC668" s="8"/>
    </row>
    <row r="669" ht="18.75" customHeight="1">
      <c r="A669" s="40"/>
      <c r="B669" s="17"/>
      <c r="D669" s="40"/>
      <c r="G669" s="42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2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W669" s="40"/>
      <c r="AX669" s="65"/>
      <c r="AY669" s="65"/>
      <c r="AZ669" s="16"/>
      <c r="BA669" s="16"/>
      <c r="BB669" s="65"/>
      <c r="BC669" s="16"/>
      <c r="BD669" s="16"/>
      <c r="BE669" s="16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17"/>
      <c r="BX669" s="9"/>
      <c r="BY669" s="40"/>
      <c r="BZ669" s="40"/>
      <c r="CA669" s="40"/>
      <c r="CB669" s="40"/>
      <c r="CC669" s="8"/>
    </row>
    <row r="670" ht="18.75" customHeight="1">
      <c r="A670" s="40"/>
      <c r="B670" s="17"/>
      <c r="D670" s="40"/>
      <c r="G670" s="42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2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W670" s="40"/>
      <c r="AX670" s="65"/>
      <c r="AY670" s="65"/>
      <c r="AZ670" s="16"/>
      <c r="BA670" s="16"/>
      <c r="BB670" s="65"/>
      <c r="BC670" s="16"/>
      <c r="BD670" s="16"/>
      <c r="BE670" s="16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17"/>
      <c r="BX670" s="9"/>
      <c r="BY670" s="40"/>
      <c r="BZ670" s="40"/>
      <c r="CA670" s="40"/>
      <c r="CB670" s="40"/>
      <c r="CC670" s="8"/>
    </row>
    <row r="671" ht="18.75" customHeight="1">
      <c r="A671" s="40"/>
      <c r="B671" s="17"/>
      <c r="D671" s="40"/>
      <c r="G671" s="42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2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W671" s="40"/>
      <c r="AX671" s="65"/>
      <c r="AY671" s="65"/>
      <c r="AZ671" s="16"/>
      <c r="BA671" s="16"/>
      <c r="BB671" s="65"/>
      <c r="BC671" s="16"/>
      <c r="BD671" s="16"/>
      <c r="BE671" s="16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17"/>
      <c r="BX671" s="9"/>
      <c r="BY671" s="40"/>
      <c r="BZ671" s="40"/>
      <c r="CA671" s="40"/>
      <c r="CB671" s="40"/>
      <c r="CC671" s="8"/>
    </row>
    <row r="672" ht="18.75" customHeight="1">
      <c r="A672" s="40"/>
      <c r="B672" s="17"/>
      <c r="D672" s="40"/>
      <c r="G672" s="42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2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W672" s="40"/>
      <c r="AX672" s="65"/>
      <c r="AY672" s="65"/>
      <c r="AZ672" s="16"/>
      <c r="BA672" s="16"/>
      <c r="BB672" s="65"/>
      <c r="BC672" s="16"/>
      <c r="BD672" s="16"/>
      <c r="BE672" s="16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17"/>
      <c r="BX672" s="9"/>
      <c r="BY672" s="40"/>
      <c r="BZ672" s="40"/>
      <c r="CA672" s="40"/>
      <c r="CB672" s="40"/>
      <c r="CC672" s="8"/>
    </row>
    <row r="673" ht="18.75" customHeight="1">
      <c r="A673" s="40"/>
      <c r="B673" s="17"/>
      <c r="D673" s="40"/>
      <c r="G673" s="42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2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W673" s="40"/>
      <c r="AX673" s="65"/>
      <c r="AY673" s="65"/>
      <c r="AZ673" s="16"/>
      <c r="BA673" s="16"/>
      <c r="BB673" s="65"/>
      <c r="BC673" s="16"/>
      <c r="BD673" s="16"/>
      <c r="BE673" s="16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17"/>
      <c r="BX673" s="9"/>
      <c r="BY673" s="40"/>
      <c r="BZ673" s="40"/>
      <c r="CA673" s="40"/>
      <c r="CB673" s="40"/>
      <c r="CC673" s="8"/>
    </row>
    <row r="674" ht="18.75" customHeight="1">
      <c r="A674" s="40"/>
      <c r="B674" s="17"/>
      <c r="D674" s="40"/>
      <c r="G674" s="42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2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W674" s="40"/>
      <c r="AX674" s="65"/>
      <c r="AY674" s="65"/>
      <c r="AZ674" s="16"/>
      <c r="BA674" s="16"/>
      <c r="BB674" s="65"/>
      <c r="BC674" s="16"/>
      <c r="BD674" s="16"/>
      <c r="BE674" s="16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17"/>
      <c r="BX674" s="9"/>
      <c r="BY674" s="40"/>
      <c r="BZ674" s="40"/>
      <c r="CA674" s="40"/>
      <c r="CB674" s="40"/>
      <c r="CC674" s="8"/>
    </row>
    <row r="675" ht="18.75" customHeight="1">
      <c r="A675" s="40"/>
      <c r="B675" s="17"/>
      <c r="D675" s="40"/>
      <c r="G675" s="42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2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W675" s="40"/>
      <c r="AX675" s="65"/>
      <c r="AY675" s="65"/>
      <c r="AZ675" s="16"/>
      <c r="BA675" s="16"/>
      <c r="BB675" s="65"/>
      <c r="BC675" s="16"/>
      <c r="BD675" s="16"/>
      <c r="BE675" s="16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17"/>
      <c r="BX675" s="9"/>
      <c r="BY675" s="40"/>
      <c r="BZ675" s="40"/>
      <c r="CA675" s="40"/>
      <c r="CB675" s="40"/>
      <c r="CC675" s="8"/>
    </row>
    <row r="676" ht="18.75" customHeight="1">
      <c r="A676" s="40"/>
      <c r="B676" s="17"/>
      <c r="D676" s="40"/>
      <c r="G676" s="42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2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W676" s="40"/>
      <c r="AX676" s="65"/>
      <c r="AY676" s="65"/>
      <c r="AZ676" s="16"/>
      <c r="BA676" s="16"/>
      <c r="BB676" s="65"/>
      <c r="BC676" s="16"/>
      <c r="BD676" s="16"/>
      <c r="BE676" s="16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17"/>
      <c r="BX676" s="9"/>
      <c r="BY676" s="40"/>
      <c r="BZ676" s="40"/>
      <c r="CA676" s="40"/>
      <c r="CB676" s="40"/>
      <c r="CC676" s="8"/>
    </row>
    <row r="677" ht="18.75" customHeight="1">
      <c r="A677" s="40"/>
      <c r="B677" s="17"/>
      <c r="D677" s="40"/>
      <c r="G677" s="42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2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W677" s="40"/>
      <c r="AX677" s="65"/>
      <c r="AY677" s="65"/>
      <c r="AZ677" s="16"/>
      <c r="BA677" s="16"/>
      <c r="BB677" s="65"/>
      <c r="BC677" s="16"/>
      <c r="BD677" s="16"/>
      <c r="BE677" s="16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17"/>
      <c r="BX677" s="9"/>
      <c r="BY677" s="40"/>
      <c r="BZ677" s="40"/>
      <c r="CA677" s="40"/>
      <c r="CB677" s="40"/>
      <c r="CC677" s="8"/>
    </row>
    <row r="678" ht="18.75" customHeight="1">
      <c r="A678" s="40"/>
      <c r="B678" s="17"/>
      <c r="D678" s="40"/>
      <c r="G678" s="42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2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W678" s="40"/>
      <c r="AX678" s="65"/>
      <c r="AY678" s="65"/>
      <c r="AZ678" s="16"/>
      <c r="BA678" s="16"/>
      <c r="BB678" s="65"/>
      <c r="BC678" s="16"/>
      <c r="BD678" s="16"/>
      <c r="BE678" s="16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17"/>
      <c r="BX678" s="9"/>
      <c r="BY678" s="40"/>
      <c r="BZ678" s="40"/>
      <c r="CA678" s="40"/>
      <c r="CB678" s="40"/>
      <c r="CC678" s="8"/>
    </row>
    <row r="679" ht="18.75" customHeight="1">
      <c r="A679" s="40"/>
      <c r="B679" s="17"/>
      <c r="D679" s="40"/>
      <c r="G679" s="42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2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W679" s="40"/>
      <c r="AX679" s="65"/>
      <c r="AY679" s="65"/>
      <c r="AZ679" s="16"/>
      <c r="BA679" s="16"/>
      <c r="BB679" s="65"/>
      <c r="BC679" s="16"/>
      <c r="BD679" s="16"/>
      <c r="BE679" s="16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17"/>
      <c r="BX679" s="9"/>
      <c r="BY679" s="40"/>
      <c r="BZ679" s="40"/>
      <c r="CA679" s="40"/>
      <c r="CB679" s="40"/>
      <c r="CC679" s="8"/>
    </row>
    <row r="680" ht="18.75" customHeight="1">
      <c r="A680" s="40"/>
      <c r="B680" s="17"/>
      <c r="D680" s="40"/>
      <c r="G680" s="42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2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W680" s="40"/>
      <c r="AX680" s="65"/>
      <c r="AY680" s="65"/>
      <c r="AZ680" s="16"/>
      <c r="BA680" s="16"/>
      <c r="BB680" s="65"/>
      <c r="BC680" s="16"/>
      <c r="BD680" s="16"/>
      <c r="BE680" s="16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17"/>
      <c r="BX680" s="9"/>
      <c r="BY680" s="40"/>
      <c r="BZ680" s="40"/>
      <c r="CA680" s="40"/>
      <c r="CB680" s="40"/>
      <c r="CC680" s="8"/>
    </row>
    <row r="681" ht="18.75" customHeight="1">
      <c r="A681" s="40"/>
      <c r="B681" s="17"/>
      <c r="D681" s="40"/>
      <c r="G681" s="42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2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W681" s="40"/>
      <c r="AX681" s="65"/>
      <c r="AY681" s="65"/>
      <c r="AZ681" s="16"/>
      <c r="BA681" s="16"/>
      <c r="BB681" s="65"/>
      <c r="BC681" s="16"/>
      <c r="BD681" s="16"/>
      <c r="BE681" s="16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17"/>
      <c r="BX681" s="9"/>
      <c r="BY681" s="40"/>
      <c r="BZ681" s="40"/>
      <c r="CA681" s="40"/>
      <c r="CB681" s="40"/>
      <c r="CC681" s="8"/>
    </row>
    <row r="682" ht="18.75" customHeight="1">
      <c r="A682" s="40"/>
      <c r="B682" s="17"/>
      <c r="D682" s="40"/>
      <c r="G682" s="42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2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W682" s="40"/>
      <c r="AX682" s="65"/>
      <c r="AY682" s="65"/>
      <c r="AZ682" s="16"/>
      <c r="BA682" s="16"/>
      <c r="BB682" s="65"/>
      <c r="BC682" s="16"/>
      <c r="BD682" s="16"/>
      <c r="BE682" s="16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17"/>
      <c r="BX682" s="9"/>
      <c r="BY682" s="40"/>
      <c r="BZ682" s="40"/>
      <c r="CA682" s="40"/>
      <c r="CB682" s="40"/>
      <c r="CC682" s="8"/>
    </row>
    <row r="683" ht="18.75" customHeight="1">
      <c r="A683" s="40"/>
      <c r="B683" s="17"/>
      <c r="D683" s="40"/>
      <c r="G683" s="42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2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W683" s="40"/>
      <c r="AX683" s="65"/>
      <c r="AY683" s="65"/>
      <c r="AZ683" s="16"/>
      <c r="BA683" s="16"/>
      <c r="BB683" s="65"/>
      <c r="BC683" s="16"/>
      <c r="BD683" s="16"/>
      <c r="BE683" s="16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17"/>
      <c r="BX683" s="9"/>
      <c r="BY683" s="40"/>
      <c r="BZ683" s="40"/>
      <c r="CA683" s="40"/>
      <c r="CB683" s="40"/>
      <c r="CC683" s="8"/>
    </row>
    <row r="684" ht="18.75" customHeight="1">
      <c r="A684" s="40"/>
      <c r="B684" s="17"/>
      <c r="D684" s="40"/>
      <c r="G684" s="42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2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W684" s="40"/>
      <c r="AX684" s="65"/>
      <c r="AY684" s="65"/>
      <c r="AZ684" s="16"/>
      <c r="BA684" s="16"/>
      <c r="BB684" s="65"/>
      <c r="BC684" s="16"/>
      <c r="BD684" s="16"/>
      <c r="BE684" s="16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17"/>
      <c r="BX684" s="9"/>
      <c r="BY684" s="40"/>
      <c r="BZ684" s="40"/>
      <c r="CA684" s="40"/>
      <c r="CB684" s="40"/>
      <c r="CC684" s="8"/>
    </row>
    <row r="685" ht="18.75" customHeight="1">
      <c r="A685" s="40"/>
      <c r="B685" s="17"/>
      <c r="D685" s="40"/>
      <c r="G685" s="42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2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W685" s="40"/>
      <c r="AX685" s="65"/>
      <c r="AY685" s="65"/>
      <c r="AZ685" s="16"/>
      <c r="BA685" s="16"/>
      <c r="BB685" s="65"/>
      <c r="BC685" s="16"/>
      <c r="BD685" s="16"/>
      <c r="BE685" s="16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17"/>
      <c r="BX685" s="9"/>
      <c r="BY685" s="40"/>
      <c r="BZ685" s="40"/>
      <c r="CA685" s="40"/>
      <c r="CB685" s="40"/>
      <c r="CC685" s="8"/>
    </row>
    <row r="686" ht="18.75" customHeight="1">
      <c r="A686" s="40"/>
      <c r="B686" s="17"/>
      <c r="D686" s="40"/>
      <c r="G686" s="42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2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W686" s="40"/>
      <c r="AX686" s="65"/>
      <c r="AY686" s="65"/>
      <c r="AZ686" s="16"/>
      <c r="BA686" s="16"/>
      <c r="BB686" s="65"/>
      <c r="BC686" s="16"/>
      <c r="BD686" s="16"/>
      <c r="BE686" s="16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17"/>
      <c r="BX686" s="9"/>
      <c r="BY686" s="40"/>
      <c r="BZ686" s="40"/>
      <c r="CA686" s="40"/>
      <c r="CB686" s="40"/>
      <c r="CC686" s="8"/>
    </row>
    <row r="687" ht="18.75" customHeight="1">
      <c r="A687" s="40"/>
      <c r="B687" s="17"/>
      <c r="D687" s="40"/>
      <c r="G687" s="42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2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W687" s="40"/>
      <c r="AX687" s="65"/>
      <c r="AY687" s="65"/>
      <c r="AZ687" s="16"/>
      <c r="BA687" s="16"/>
      <c r="BB687" s="65"/>
      <c r="BC687" s="16"/>
      <c r="BD687" s="16"/>
      <c r="BE687" s="16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17"/>
      <c r="BX687" s="9"/>
      <c r="BY687" s="40"/>
      <c r="BZ687" s="40"/>
      <c r="CA687" s="40"/>
      <c r="CB687" s="40"/>
      <c r="CC687" s="8"/>
    </row>
    <row r="688" ht="18.75" customHeight="1">
      <c r="A688" s="40"/>
      <c r="B688" s="17"/>
      <c r="D688" s="40"/>
      <c r="G688" s="42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2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W688" s="40"/>
      <c r="AX688" s="65"/>
      <c r="AY688" s="65"/>
      <c r="AZ688" s="16"/>
      <c r="BA688" s="16"/>
      <c r="BB688" s="65"/>
      <c r="BC688" s="16"/>
      <c r="BD688" s="16"/>
      <c r="BE688" s="16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17"/>
      <c r="BX688" s="9"/>
      <c r="BY688" s="40"/>
      <c r="BZ688" s="40"/>
      <c r="CA688" s="40"/>
      <c r="CB688" s="40"/>
      <c r="CC688" s="8"/>
    </row>
    <row r="689" ht="18.75" customHeight="1">
      <c r="A689" s="40"/>
      <c r="B689" s="17"/>
      <c r="D689" s="40"/>
      <c r="G689" s="42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2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W689" s="40"/>
      <c r="AX689" s="65"/>
      <c r="AY689" s="65"/>
      <c r="AZ689" s="16"/>
      <c r="BA689" s="16"/>
      <c r="BB689" s="65"/>
      <c r="BC689" s="16"/>
      <c r="BD689" s="16"/>
      <c r="BE689" s="16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17"/>
      <c r="BX689" s="9"/>
      <c r="BY689" s="40"/>
      <c r="BZ689" s="40"/>
      <c r="CA689" s="40"/>
      <c r="CB689" s="40"/>
      <c r="CC689" s="8"/>
    </row>
    <row r="690" ht="18.75" customHeight="1">
      <c r="A690" s="40"/>
      <c r="B690" s="17"/>
      <c r="D690" s="40"/>
      <c r="G690" s="42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2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W690" s="40"/>
      <c r="AX690" s="65"/>
      <c r="AY690" s="65"/>
      <c r="AZ690" s="16"/>
      <c r="BA690" s="16"/>
      <c r="BB690" s="65"/>
      <c r="BC690" s="16"/>
      <c r="BD690" s="16"/>
      <c r="BE690" s="16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17"/>
      <c r="BX690" s="9"/>
      <c r="BY690" s="40"/>
      <c r="BZ690" s="40"/>
      <c r="CA690" s="40"/>
      <c r="CB690" s="40"/>
      <c r="CC690" s="8"/>
    </row>
    <row r="691" ht="18.75" customHeight="1">
      <c r="A691" s="40"/>
      <c r="B691" s="17"/>
      <c r="D691" s="40"/>
      <c r="G691" s="42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2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W691" s="40"/>
      <c r="AX691" s="65"/>
      <c r="AY691" s="65"/>
      <c r="AZ691" s="16"/>
      <c r="BA691" s="16"/>
      <c r="BB691" s="65"/>
      <c r="BC691" s="16"/>
      <c r="BD691" s="16"/>
      <c r="BE691" s="16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17"/>
      <c r="BX691" s="9"/>
      <c r="BY691" s="40"/>
      <c r="BZ691" s="40"/>
      <c r="CA691" s="40"/>
      <c r="CB691" s="40"/>
      <c r="CC691" s="8"/>
    </row>
    <row r="692" ht="18.75" customHeight="1">
      <c r="A692" s="40"/>
      <c r="B692" s="17"/>
      <c r="D692" s="40"/>
      <c r="G692" s="42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2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W692" s="40"/>
      <c r="AX692" s="65"/>
      <c r="AY692" s="65"/>
      <c r="AZ692" s="16"/>
      <c r="BA692" s="16"/>
      <c r="BB692" s="65"/>
      <c r="BC692" s="16"/>
      <c r="BD692" s="16"/>
      <c r="BE692" s="16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17"/>
      <c r="BX692" s="9"/>
      <c r="BY692" s="40"/>
      <c r="BZ692" s="40"/>
      <c r="CA692" s="40"/>
      <c r="CB692" s="40"/>
      <c r="CC692" s="8"/>
    </row>
    <row r="693" ht="18.75" customHeight="1">
      <c r="A693" s="40"/>
      <c r="B693" s="17"/>
      <c r="D693" s="40"/>
      <c r="G693" s="42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2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W693" s="40"/>
      <c r="AX693" s="65"/>
      <c r="AY693" s="65"/>
      <c r="AZ693" s="16"/>
      <c r="BA693" s="16"/>
      <c r="BB693" s="65"/>
      <c r="BC693" s="16"/>
      <c r="BD693" s="16"/>
      <c r="BE693" s="16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17"/>
      <c r="BX693" s="9"/>
      <c r="BY693" s="40"/>
      <c r="BZ693" s="40"/>
      <c r="CA693" s="40"/>
      <c r="CB693" s="40"/>
      <c r="CC693" s="8"/>
    </row>
    <row r="694" ht="18.75" customHeight="1">
      <c r="A694" s="40"/>
      <c r="B694" s="17"/>
      <c r="D694" s="40"/>
      <c r="G694" s="42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2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W694" s="40"/>
      <c r="AX694" s="65"/>
      <c r="AY694" s="65"/>
      <c r="AZ694" s="16"/>
      <c r="BA694" s="16"/>
      <c r="BB694" s="65"/>
      <c r="BC694" s="16"/>
      <c r="BD694" s="16"/>
      <c r="BE694" s="16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17"/>
      <c r="BX694" s="9"/>
      <c r="BY694" s="40"/>
      <c r="BZ694" s="40"/>
      <c r="CA694" s="40"/>
      <c r="CB694" s="40"/>
      <c r="CC694" s="8"/>
    </row>
    <row r="695" ht="18.75" customHeight="1">
      <c r="A695" s="40"/>
      <c r="B695" s="17"/>
      <c r="D695" s="40"/>
      <c r="G695" s="42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2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W695" s="40"/>
      <c r="AX695" s="65"/>
      <c r="AY695" s="65"/>
      <c r="AZ695" s="16"/>
      <c r="BA695" s="16"/>
      <c r="BB695" s="65"/>
      <c r="BC695" s="16"/>
      <c r="BD695" s="16"/>
      <c r="BE695" s="16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17"/>
      <c r="BX695" s="9"/>
      <c r="BY695" s="40"/>
      <c r="BZ695" s="40"/>
      <c r="CA695" s="40"/>
      <c r="CB695" s="40"/>
      <c r="CC695" s="8"/>
    </row>
    <row r="696" ht="18.75" customHeight="1">
      <c r="A696" s="40"/>
      <c r="B696" s="17"/>
      <c r="D696" s="40"/>
      <c r="G696" s="42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2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W696" s="40"/>
      <c r="AX696" s="65"/>
      <c r="AY696" s="65"/>
      <c r="AZ696" s="16"/>
      <c r="BA696" s="16"/>
      <c r="BB696" s="65"/>
      <c r="BC696" s="16"/>
      <c r="BD696" s="16"/>
      <c r="BE696" s="16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17"/>
      <c r="BX696" s="9"/>
      <c r="BY696" s="40"/>
      <c r="BZ696" s="40"/>
      <c r="CA696" s="40"/>
      <c r="CB696" s="40"/>
      <c r="CC696" s="8"/>
    </row>
    <row r="697" ht="18.75" customHeight="1">
      <c r="A697" s="40"/>
      <c r="B697" s="17"/>
      <c r="D697" s="40"/>
      <c r="G697" s="42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2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W697" s="40"/>
      <c r="AX697" s="65"/>
      <c r="AY697" s="65"/>
      <c r="AZ697" s="16"/>
      <c r="BA697" s="16"/>
      <c r="BB697" s="65"/>
      <c r="BC697" s="16"/>
      <c r="BD697" s="16"/>
      <c r="BE697" s="16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17"/>
      <c r="BX697" s="9"/>
      <c r="BY697" s="40"/>
      <c r="BZ697" s="40"/>
      <c r="CA697" s="40"/>
      <c r="CB697" s="40"/>
      <c r="CC697" s="8"/>
    </row>
    <row r="698" ht="18.75" customHeight="1">
      <c r="A698" s="40"/>
      <c r="B698" s="17"/>
      <c r="D698" s="40"/>
      <c r="G698" s="42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2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W698" s="40"/>
      <c r="AX698" s="65"/>
      <c r="AY698" s="65"/>
      <c r="AZ698" s="16"/>
      <c r="BA698" s="16"/>
      <c r="BB698" s="65"/>
      <c r="BC698" s="16"/>
      <c r="BD698" s="16"/>
      <c r="BE698" s="16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17"/>
      <c r="BX698" s="9"/>
      <c r="BY698" s="40"/>
      <c r="BZ698" s="40"/>
      <c r="CA698" s="40"/>
      <c r="CB698" s="40"/>
      <c r="CC698" s="8"/>
    </row>
    <row r="699" ht="18.75" customHeight="1">
      <c r="A699" s="40"/>
      <c r="B699" s="17"/>
      <c r="D699" s="40"/>
      <c r="G699" s="42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2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W699" s="40"/>
      <c r="AX699" s="65"/>
      <c r="AY699" s="65"/>
      <c r="AZ699" s="16"/>
      <c r="BA699" s="16"/>
      <c r="BB699" s="65"/>
      <c r="BC699" s="16"/>
      <c r="BD699" s="16"/>
      <c r="BE699" s="16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17"/>
      <c r="BX699" s="9"/>
      <c r="BY699" s="40"/>
      <c r="BZ699" s="40"/>
      <c r="CA699" s="40"/>
      <c r="CB699" s="40"/>
      <c r="CC699" s="8"/>
    </row>
    <row r="700" ht="18.75" customHeight="1">
      <c r="A700" s="40"/>
      <c r="B700" s="17"/>
      <c r="D700" s="40"/>
      <c r="G700" s="42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2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W700" s="40"/>
      <c r="AX700" s="65"/>
      <c r="AY700" s="65"/>
      <c r="AZ700" s="16"/>
      <c r="BA700" s="16"/>
      <c r="BB700" s="65"/>
      <c r="BC700" s="16"/>
      <c r="BD700" s="16"/>
      <c r="BE700" s="16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17"/>
      <c r="BX700" s="9"/>
      <c r="BY700" s="40"/>
      <c r="BZ700" s="40"/>
      <c r="CA700" s="40"/>
      <c r="CB700" s="40"/>
      <c r="CC700" s="8"/>
    </row>
    <row r="701" ht="18.75" customHeight="1">
      <c r="A701" s="40"/>
      <c r="B701" s="17"/>
      <c r="D701" s="40"/>
      <c r="G701" s="42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2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W701" s="40"/>
      <c r="AX701" s="65"/>
      <c r="AY701" s="65"/>
      <c r="AZ701" s="16"/>
      <c r="BA701" s="16"/>
      <c r="BB701" s="65"/>
      <c r="BC701" s="16"/>
      <c r="BD701" s="16"/>
      <c r="BE701" s="16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17"/>
      <c r="BX701" s="9"/>
      <c r="BY701" s="40"/>
      <c r="BZ701" s="40"/>
      <c r="CA701" s="40"/>
      <c r="CB701" s="40"/>
      <c r="CC701" s="8"/>
    </row>
    <row r="702" ht="18.75" customHeight="1">
      <c r="A702" s="40"/>
      <c r="B702" s="17"/>
      <c r="D702" s="40"/>
      <c r="G702" s="42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2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W702" s="40"/>
      <c r="AX702" s="65"/>
      <c r="AY702" s="65"/>
      <c r="AZ702" s="16"/>
      <c r="BA702" s="16"/>
      <c r="BB702" s="65"/>
      <c r="BC702" s="16"/>
      <c r="BD702" s="16"/>
      <c r="BE702" s="16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17"/>
      <c r="BX702" s="9"/>
      <c r="BY702" s="40"/>
      <c r="BZ702" s="40"/>
      <c r="CA702" s="40"/>
      <c r="CB702" s="40"/>
      <c r="CC702" s="8"/>
    </row>
    <row r="703" ht="18.75" customHeight="1">
      <c r="A703" s="40"/>
      <c r="B703" s="17"/>
      <c r="D703" s="40"/>
      <c r="G703" s="42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2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W703" s="40"/>
      <c r="AX703" s="65"/>
      <c r="AY703" s="65"/>
      <c r="AZ703" s="16"/>
      <c r="BA703" s="16"/>
      <c r="BB703" s="65"/>
      <c r="BC703" s="16"/>
      <c r="BD703" s="16"/>
      <c r="BE703" s="16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17"/>
      <c r="BX703" s="9"/>
      <c r="BY703" s="40"/>
      <c r="BZ703" s="40"/>
      <c r="CA703" s="40"/>
      <c r="CB703" s="40"/>
      <c r="CC703" s="8"/>
    </row>
    <row r="704" ht="18.75" customHeight="1">
      <c r="A704" s="40"/>
      <c r="B704" s="17"/>
      <c r="D704" s="40"/>
      <c r="G704" s="42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2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W704" s="40"/>
      <c r="AX704" s="65"/>
      <c r="AY704" s="65"/>
      <c r="AZ704" s="16"/>
      <c r="BA704" s="16"/>
      <c r="BB704" s="65"/>
      <c r="BC704" s="16"/>
      <c r="BD704" s="16"/>
      <c r="BE704" s="16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17"/>
      <c r="BX704" s="9"/>
      <c r="BY704" s="40"/>
      <c r="BZ704" s="40"/>
      <c r="CA704" s="40"/>
      <c r="CB704" s="40"/>
      <c r="CC704" s="8"/>
    </row>
    <row r="705" ht="18.75" customHeight="1">
      <c r="A705" s="40"/>
      <c r="B705" s="17"/>
      <c r="D705" s="40"/>
      <c r="G705" s="42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2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W705" s="40"/>
      <c r="AX705" s="65"/>
      <c r="AY705" s="65"/>
      <c r="AZ705" s="16"/>
      <c r="BA705" s="16"/>
      <c r="BB705" s="65"/>
      <c r="BC705" s="16"/>
      <c r="BD705" s="16"/>
      <c r="BE705" s="16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17"/>
      <c r="BX705" s="9"/>
      <c r="BY705" s="40"/>
      <c r="BZ705" s="40"/>
      <c r="CA705" s="40"/>
      <c r="CB705" s="40"/>
      <c r="CC705" s="8"/>
    </row>
    <row r="706" ht="18.75" customHeight="1">
      <c r="A706" s="40"/>
      <c r="B706" s="17"/>
      <c r="D706" s="40"/>
      <c r="G706" s="42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2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W706" s="40"/>
      <c r="AX706" s="65"/>
      <c r="AY706" s="65"/>
      <c r="AZ706" s="16"/>
      <c r="BA706" s="16"/>
      <c r="BB706" s="65"/>
      <c r="BC706" s="16"/>
      <c r="BD706" s="16"/>
      <c r="BE706" s="16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17"/>
      <c r="BX706" s="9"/>
      <c r="BY706" s="40"/>
      <c r="BZ706" s="40"/>
      <c r="CA706" s="40"/>
      <c r="CB706" s="40"/>
      <c r="CC706" s="8"/>
    </row>
    <row r="707" ht="18.75" customHeight="1">
      <c r="A707" s="40"/>
      <c r="B707" s="17"/>
      <c r="D707" s="40"/>
      <c r="G707" s="42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2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W707" s="40"/>
      <c r="AX707" s="65"/>
      <c r="AY707" s="65"/>
      <c r="AZ707" s="16"/>
      <c r="BA707" s="16"/>
      <c r="BB707" s="65"/>
      <c r="BC707" s="16"/>
      <c r="BD707" s="16"/>
      <c r="BE707" s="16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17"/>
      <c r="BX707" s="9"/>
      <c r="BY707" s="40"/>
      <c r="BZ707" s="40"/>
      <c r="CA707" s="40"/>
      <c r="CB707" s="40"/>
      <c r="CC707" s="8"/>
    </row>
    <row r="708" ht="18.75" customHeight="1">
      <c r="A708" s="40"/>
      <c r="B708" s="17"/>
      <c r="D708" s="40"/>
      <c r="G708" s="42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2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W708" s="40"/>
      <c r="AX708" s="65"/>
      <c r="AY708" s="65"/>
      <c r="AZ708" s="16"/>
      <c r="BA708" s="16"/>
      <c r="BB708" s="65"/>
      <c r="BC708" s="16"/>
      <c r="BD708" s="16"/>
      <c r="BE708" s="16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17"/>
      <c r="BX708" s="9"/>
      <c r="BY708" s="40"/>
      <c r="BZ708" s="40"/>
      <c r="CA708" s="40"/>
      <c r="CB708" s="40"/>
      <c r="CC708" s="8"/>
    </row>
    <row r="709" ht="18.75" customHeight="1">
      <c r="A709" s="40"/>
      <c r="B709" s="17"/>
      <c r="D709" s="40"/>
      <c r="G709" s="42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2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W709" s="40"/>
      <c r="AX709" s="65"/>
      <c r="AY709" s="65"/>
      <c r="AZ709" s="16"/>
      <c r="BA709" s="16"/>
      <c r="BB709" s="65"/>
      <c r="BC709" s="16"/>
      <c r="BD709" s="16"/>
      <c r="BE709" s="16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17"/>
      <c r="BX709" s="9"/>
      <c r="BY709" s="40"/>
      <c r="BZ709" s="40"/>
      <c r="CA709" s="40"/>
      <c r="CB709" s="40"/>
      <c r="CC709" s="8"/>
    </row>
    <row r="710" ht="18.75" customHeight="1">
      <c r="A710" s="40"/>
      <c r="B710" s="17"/>
      <c r="D710" s="40"/>
      <c r="G710" s="42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2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W710" s="40"/>
      <c r="AX710" s="65"/>
      <c r="AY710" s="65"/>
      <c r="AZ710" s="16"/>
      <c r="BA710" s="16"/>
      <c r="BB710" s="65"/>
      <c r="BC710" s="16"/>
      <c r="BD710" s="16"/>
      <c r="BE710" s="16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17"/>
      <c r="BX710" s="9"/>
      <c r="BY710" s="40"/>
      <c r="BZ710" s="40"/>
      <c r="CA710" s="40"/>
      <c r="CB710" s="40"/>
      <c r="CC710" s="8"/>
    </row>
    <row r="711" ht="18.75" customHeight="1">
      <c r="A711" s="40"/>
      <c r="B711" s="17"/>
      <c r="D711" s="40"/>
      <c r="G711" s="42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2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W711" s="40"/>
      <c r="AX711" s="65"/>
      <c r="AY711" s="65"/>
      <c r="AZ711" s="16"/>
      <c r="BA711" s="16"/>
      <c r="BB711" s="65"/>
      <c r="BC711" s="16"/>
      <c r="BD711" s="16"/>
      <c r="BE711" s="16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17"/>
      <c r="BX711" s="9"/>
      <c r="BY711" s="40"/>
      <c r="BZ711" s="40"/>
      <c r="CA711" s="40"/>
      <c r="CB711" s="40"/>
      <c r="CC711" s="8"/>
    </row>
    <row r="712" ht="18.75" customHeight="1">
      <c r="A712" s="40"/>
      <c r="B712" s="17"/>
      <c r="D712" s="40"/>
      <c r="G712" s="42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2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W712" s="40"/>
      <c r="AX712" s="65"/>
      <c r="AY712" s="65"/>
      <c r="AZ712" s="16"/>
      <c r="BA712" s="16"/>
      <c r="BB712" s="65"/>
      <c r="BC712" s="16"/>
      <c r="BD712" s="16"/>
      <c r="BE712" s="16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17"/>
      <c r="BX712" s="9"/>
      <c r="BY712" s="40"/>
      <c r="BZ712" s="40"/>
      <c r="CA712" s="40"/>
      <c r="CB712" s="40"/>
      <c r="CC712" s="8"/>
    </row>
    <row r="713" ht="18.75" customHeight="1">
      <c r="A713" s="40"/>
      <c r="B713" s="17"/>
      <c r="D713" s="40"/>
      <c r="G713" s="42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2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W713" s="40"/>
      <c r="AX713" s="65"/>
      <c r="AY713" s="65"/>
      <c r="AZ713" s="16"/>
      <c r="BA713" s="16"/>
      <c r="BB713" s="65"/>
      <c r="BC713" s="16"/>
      <c r="BD713" s="16"/>
      <c r="BE713" s="16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17"/>
      <c r="BX713" s="9"/>
      <c r="BY713" s="40"/>
      <c r="BZ713" s="40"/>
      <c r="CA713" s="40"/>
      <c r="CB713" s="40"/>
      <c r="CC713" s="8"/>
    </row>
    <row r="714" ht="18.75" customHeight="1">
      <c r="A714" s="40"/>
      <c r="B714" s="17"/>
      <c r="D714" s="40"/>
      <c r="G714" s="42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2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W714" s="40"/>
      <c r="AX714" s="65"/>
      <c r="AY714" s="65"/>
      <c r="AZ714" s="16"/>
      <c r="BA714" s="16"/>
      <c r="BB714" s="65"/>
      <c r="BC714" s="16"/>
      <c r="BD714" s="16"/>
      <c r="BE714" s="16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17"/>
      <c r="BX714" s="9"/>
      <c r="BY714" s="40"/>
      <c r="BZ714" s="40"/>
      <c r="CA714" s="40"/>
      <c r="CB714" s="40"/>
      <c r="CC714" s="8"/>
    </row>
    <row r="715" ht="18.75" customHeight="1">
      <c r="A715" s="40"/>
      <c r="B715" s="17"/>
      <c r="D715" s="40"/>
      <c r="G715" s="42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2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W715" s="40"/>
      <c r="AX715" s="65"/>
      <c r="AY715" s="65"/>
      <c r="AZ715" s="16"/>
      <c r="BA715" s="16"/>
      <c r="BB715" s="65"/>
      <c r="BC715" s="16"/>
      <c r="BD715" s="16"/>
      <c r="BE715" s="16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17"/>
      <c r="BX715" s="9"/>
      <c r="BY715" s="40"/>
      <c r="BZ715" s="40"/>
      <c r="CA715" s="40"/>
      <c r="CB715" s="40"/>
      <c r="CC715" s="8"/>
    </row>
    <row r="716" ht="18.75" customHeight="1">
      <c r="A716" s="40"/>
      <c r="B716" s="17"/>
      <c r="D716" s="40"/>
      <c r="G716" s="42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2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W716" s="40"/>
      <c r="AX716" s="65"/>
      <c r="AY716" s="65"/>
      <c r="AZ716" s="16"/>
      <c r="BA716" s="16"/>
      <c r="BB716" s="65"/>
      <c r="BC716" s="16"/>
      <c r="BD716" s="16"/>
      <c r="BE716" s="16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17"/>
      <c r="BX716" s="9"/>
      <c r="BY716" s="40"/>
      <c r="BZ716" s="40"/>
      <c r="CA716" s="40"/>
      <c r="CB716" s="40"/>
      <c r="CC716" s="8"/>
    </row>
    <row r="717" ht="18.75" customHeight="1">
      <c r="A717" s="40"/>
      <c r="B717" s="17"/>
      <c r="D717" s="40"/>
      <c r="G717" s="42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2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W717" s="40"/>
      <c r="AX717" s="65"/>
      <c r="AY717" s="65"/>
      <c r="AZ717" s="16"/>
      <c r="BA717" s="16"/>
      <c r="BB717" s="65"/>
      <c r="BC717" s="16"/>
      <c r="BD717" s="16"/>
      <c r="BE717" s="16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17"/>
      <c r="BX717" s="9"/>
      <c r="BY717" s="40"/>
      <c r="BZ717" s="40"/>
      <c r="CA717" s="40"/>
      <c r="CB717" s="40"/>
      <c r="CC717" s="8"/>
    </row>
    <row r="718" ht="18.75" customHeight="1">
      <c r="A718" s="40"/>
      <c r="B718" s="17"/>
      <c r="D718" s="40"/>
      <c r="G718" s="42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2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W718" s="40"/>
      <c r="AX718" s="65"/>
      <c r="AY718" s="65"/>
      <c r="AZ718" s="16"/>
      <c r="BA718" s="16"/>
      <c r="BB718" s="65"/>
      <c r="BC718" s="16"/>
      <c r="BD718" s="16"/>
      <c r="BE718" s="16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17"/>
      <c r="BX718" s="9"/>
      <c r="BY718" s="40"/>
      <c r="BZ718" s="40"/>
      <c r="CA718" s="40"/>
      <c r="CB718" s="40"/>
      <c r="CC718" s="8"/>
    </row>
    <row r="719" ht="18.75" customHeight="1">
      <c r="A719" s="40"/>
      <c r="B719" s="17"/>
      <c r="D719" s="40"/>
      <c r="G719" s="42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2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W719" s="40"/>
      <c r="AX719" s="65"/>
      <c r="AY719" s="65"/>
      <c r="AZ719" s="16"/>
      <c r="BA719" s="16"/>
      <c r="BB719" s="65"/>
      <c r="BC719" s="16"/>
      <c r="BD719" s="16"/>
      <c r="BE719" s="16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17"/>
      <c r="BX719" s="9"/>
      <c r="BY719" s="40"/>
      <c r="BZ719" s="40"/>
      <c r="CA719" s="40"/>
      <c r="CB719" s="40"/>
      <c r="CC719" s="8"/>
    </row>
    <row r="720" ht="18.75" customHeight="1">
      <c r="A720" s="40"/>
      <c r="B720" s="17"/>
      <c r="D720" s="40"/>
      <c r="G720" s="42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2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W720" s="40"/>
      <c r="AX720" s="65"/>
      <c r="AY720" s="65"/>
      <c r="AZ720" s="16"/>
      <c r="BA720" s="16"/>
      <c r="BB720" s="65"/>
      <c r="BC720" s="16"/>
      <c r="BD720" s="16"/>
      <c r="BE720" s="16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17"/>
      <c r="BX720" s="9"/>
      <c r="BY720" s="40"/>
      <c r="BZ720" s="40"/>
      <c r="CA720" s="40"/>
      <c r="CB720" s="40"/>
      <c r="CC720" s="8"/>
    </row>
    <row r="721" ht="18.75" customHeight="1">
      <c r="A721" s="40"/>
      <c r="B721" s="17"/>
      <c r="D721" s="40"/>
      <c r="G721" s="42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2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W721" s="40"/>
      <c r="AX721" s="65"/>
      <c r="AY721" s="65"/>
      <c r="AZ721" s="16"/>
      <c r="BA721" s="16"/>
      <c r="BB721" s="65"/>
      <c r="BC721" s="16"/>
      <c r="BD721" s="16"/>
      <c r="BE721" s="16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17"/>
      <c r="BX721" s="9"/>
      <c r="BY721" s="40"/>
      <c r="BZ721" s="40"/>
      <c r="CA721" s="40"/>
      <c r="CB721" s="40"/>
      <c r="CC721" s="8"/>
    </row>
    <row r="722" ht="18.75" customHeight="1">
      <c r="A722" s="40"/>
      <c r="B722" s="17"/>
      <c r="D722" s="40"/>
      <c r="G722" s="42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2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W722" s="40"/>
      <c r="AX722" s="65"/>
      <c r="AY722" s="65"/>
      <c r="AZ722" s="16"/>
      <c r="BA722" s="16"/>
      <c r="BB722" s="65"/>
      <c r="BC722" s="16"/>
      <c r="BD722" s="16"/>
      <c r="BE722" s="16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17"/>
      <c r="BX722" s="9"/>
      <c r="BY722" s="40"/>
      <c r="BZ722" s="40"/>
      <c r="CA722" s="40"/>
      <c r="CB722" s="40"/>
      <c r="CC722" s="8"/>
    </row>
    <row r="723" ht="18.75" customHeight="1">
      <c r="A723" s="40"/>
      <c r="B723" s="17"/>
      <c r="D723" s="40"/>
      <c r="G723" s="42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2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W723" s="40"/>
      <c r="AX723" s="65"/>
      <c r="AY723" s="65"/>
      <c r="AZ723" s="16"/>
      <c r="BA723" s="16"/>
      <c r="BB723" s="65"/>
      <c r="BC723" s="16"/>
      <c r="BD723" s="16"/>
      <c r="BE723" s="16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17"/>
      <c r="BX723" s="9"/>
      <c r="BY723" s="40"/>
      <c r="BZ723" s="40"/>
      <c r="CA723" s="40"/>
      <c r="CB723" s="40"/>
      <c r="CC723" s="8"/>
    </row>
    <row r="724" ht="18.75" customHeight="1">
      <c r="A724" s="40"/>
      <c r="B724" s="17"/>
      <c r="D724" s="40"/>
      <c r="G724" s="42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2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W724" s="40"/>
      <c r="AX724" s="65"/>
      <c r="AY724" s="65"/>
      <c r="AZ724" s="16"/>
      <c r="BA724" s="16"/>
      <c r="BB724" s="65"/>
      <c r="BC724" s="16"/>
      <c r="BD724" s="16"/>
      <c r="BE724" s="16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17"/>
      <c r="BX724" s="9"/>
      <c r="BY724" s="40"/>
      <c r="BZ724" s="40"/>
      <c r="CA724" s="40"/>
      <c r="CB724" s="40"/>
      <c r="CC724" s="8"/>
    </row>
    <row r="725" ht="18.75" customHeight="1">
      <c r="A725" s="40"/>
      <c r="B725" s="17"/>
      <c r="D725" s="40"/>
      <c r="G725" s="42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2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W725" s="40"/>
      <c r="AX725" s="65"/>
      <c r="AY725" s="65"/>
      <c r="AZ725" s="16"/>
      <c r="BA725" s="16"/>
      <c r="BB725" s="65"/>
      <c r="BC725" s="16"/>
      <c r="BD725" s="16"/>
      <c r="BE725" s="16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17"/>
      <c r="BX725" s="9"/>
      <c r="BY725" s="40"/>
      <c r="BZ725" s="40"/>
      <c r="CA725" s="40"/>
      <c r="CB725" s="40"/>
      <c r="CC725" s="8"/>
    </row>
    <row r="726" ht="18.75" customHeight="1">
      <c r="A726" s="40"/>
      <c r="B726" s="17"/>
      <c r="D726" s="40"/>
      <c r="G726" s="42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2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W726" s="40"/>
      <c r="AX726" s="65"/>
      <c r="AY726" s="65"/>
      <c r="AZ726" s="16"/>
      <c r="BA726" s="16"/>
      <c r="BB726" s="65"/>
      <c r="BC726" s="16"/>
      <c r="BD726" s="16"/>
      <c r="BE726" s="16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17"/>
      <c r="BX726" s="9"/>
      <c r="BY726" s="40"/>
      <c r="BZ726" s="40"/>
      <c r="CA726" s="40"/>
      <c r="CB726" s="40"/>
      <c r="CC726" s="8"/>
    </row>
    <row r="727" ht="18.75" customHeight="1">
      <c r="A727" s="40"/>
      <c r="B727" s="17"/>
      <c r="D727" s="40"/>
      <c r="G727" s="42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2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W727" s="40"/>
      <c r="AX727" s="65"/>
      <c r="AY727" s="65"/>
      <c r="AZ727" s="16"/>
      <c r="BA727" s="16"/>
      <c r="BB727" s="65"/>
      <c r="BC727" s="16"/>
      <c r="BD727" s="16"/>
      <c r="BE727" s="16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17"/>
      <c r="BX727" s="9"/>
      <c r="BY727" s="40"/>
      <c r="BZ727" s="40"/>
      <c r="CA727" s="40"/>
      <c r="CB727" s="40"/>
      <c r="CC727" s="8"/>
    </row>
    <row r="728" ht="18.75" customHeight="1">
      <c r="A728" s="40"/>
      <c r="B728" s="17"/>
      <c r="D728" s="40"/>
      <c r="G728" s="42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2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W728" s="40"/>
      <c r="AX728" s="65"/>
      <c r="AY728" s="65"/>
      <c r="AZ728" s="16"/>
      <c r="BA728" s="16"/>
      <c r="BB728" s="65"/>
      <c r="BC728" s="16"/>
      <c r="BD728" s="16"/>
      <c r="BE728" s="16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17"/>
      <c r="BX728" s="9"/>
      <c r="BY728" s="40"/>
      <c r="BZ728" s="40"/>
      <c r="CA728" s="40"/>
      <c r="CB728" s="40"/>
      <c r="CC728" s="8"/>
    </row>
    <row r="729" ht="18.75" customHeight="1">
      <c r="A729" s="40"/>
      <c r="B729" s="17"/>
      <c r="D729" s="40"/>
      <c r="G729" s="42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2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W729" s="40"/>
      <c r="AX729" s="65"/>
      <c r="AY729" s="65"/>
      <c r="AZ729" s="16"/>
      <c r="BA729" s="16"/>
      <c r="BB729" s="65"/>
      <c r="BC729" s="16"/>
      <c r="BD729" s="16"/>
      <c r="BE729" s="16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17"/>
      <c r="BX729" s="9"/>
      <c r="BY729" s="40"/>
      <c r="BZ729" s="40"/>
      <c r="CA729" s="40"/>
      <c r="CB729" s="40"/>
      <c r="CC729" s="8"/>
    </row>
    <row r="730" ht="18.75" customHeight="1">
      <c r="A730" s="40"/>
      <c r="B730" s="17"/>
      <c r="D730" s="40"/>
      <c r="G730" s="42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2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W730" s="40"/>
      <c r="AX730" s="65"/>
      <c r="AY730" s="65"/>
      <c r="AZ730" s="16"/>
      <c r="BA730" s="16"/>
      <c r="BB730" s="65"/>
      <c r="BC730" s="16"/>
      <c r="BD730" s="16"/>
      <c r="BE730" s="16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17"/>
      <c r="BX730" s="9"/>
      <c r="BY730" s="40"/>
      <c r="BZ730" s="40"/>
      <c r="CA730" s="40"/>
      <c r="CB730" s="40"/>
      <c r="CC730" s="8"/>
    </row>
    <row r="731" ht="18.75" customHeight="1">
      <c r="A731" s="40"/>
      <c r="B731" s="17"/>
      <c r="D731" s="40"/>
      <c r="G731" s="42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2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W731" s="40"/>
      <c r="AX731" s="65"/>
      <c r="AY731" s="65"/>
      <c r="AZ731" s="16"/>
      <c r="BA731" s="16"/>
      <c r="BB731" s="65"/>
      <c r="BC731" s="16"/>
      <c r="BD731" s="16"/>
      <c r="BE731" s="16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17"/>
      <c r="BX731" s="9"/>
      <c r="BY731" s="40"/>
      <c r="BZ731" s="40"/>
      <c r="CA731" s="40"/>
      <c r="CB731" s="40"/>
      <c r="CC731" s="8"/>
    </row>
    <row r="732" ht="18.75" customHeight="1">
      <c r="A732" s="40"/>
      <c r="B732" s="17"/>
      <c r="D732" s="40"/>
      <c r="G732" s="42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2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W732" s="40"/>
      <c r="AX732" s="65"/>
      <c r="AY732" s="65"/>
      <c r="AZ732" s="16"/>
      <c r="BA732" s="16"/>
      <c r="BB732" s="65"/>
      <c r="BC732" s="16"/>
      <c r="BD732" s="16"/>
      <c r="BE732" s="16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17"/>
      <c r="BX732" s="9"/>
      <c r="BY732" s="40"/>
      <c r="BZ732" s="40"/>
      <c r="CA732" s="40"/>
      <c r="CB732" s="40"/>
      <c r="CC732" s="8"/>
    </row>
    <row r="733" ht="18.75" customHeight="1">
      <c r="A733" s="40"/>
      <c r="B733" s="17"/>
      <c r="D733" s="40"/>
      <c r="G733" s="42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2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W733" s="40"/>
      <c r="AX733" s="65"/>
      <c r="AY733" s="65"/>
      <c r="AZ733" s="16"/>
      <c r="BA733" s="16"/>
      <c r="BB733" s="65"/>
      <c r="BC733" s="16"/>
      <c r="BD733" s="16"/>
      <c r="BE733" s="16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17"/>
      <c r="BX733" s="9"/>
      <c r="BY733" s="40"/>
      <c r="BZ733" s="40"/>
      <c r="CA733" s="40"/>
      <c r="CB733" s="40"/>
      <c r="CC733" s="8"/>
    </row>
    <row r="734" ht="18.75" customHeight="1">
      <c r="A734" s="40"/>
      <c r="B734" s="17"/>
      <c r="D734" s="40"/>
      <c r="G734" s="42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2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W734" s="40"/>
      <c r="AX734" s="65"/>
      <c r="AY734" s="65"/>
      <c r="AZ734" s="16"/>
      <c r="BA734" s="16"/>
      <c r="BB734" s="65"/>
      <c r="BC734" s="16"/>
      <c r="BD734" s="16"/>
      <c r="BE734" s="16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17"/>
      <c r="BX734" s="9"/>
      <c r="BY734" s="40"/>
      <c r="BZ734" s="40"/>
      <c r="CA734" s="40"/>
      <c r="CB734" s="40"/>
      <c r="CC734" s="8"/>
    </row>
    <row r="735" ht="18.75" customHeight="1">
      <c r="A735" s="40"/>
      <c r="B735" s="17"/>
      <c r="D735" s="40"/>
      <c r="G735" s="42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2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W735" s="40"/>
      <c r="AX735" s="65"/>
      <c r="AY735" s="65"/>
      <c r="AZ735" s="16"/>
      <c r="BA735" s="16"/>
      <c r="BB735" s="65"/>
      <c r="BC735" s="16"/>
      <c r="BD735" s="16"/>
      <c r="BE735" s="16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17"/>
      <c r="BX735" s="9"/>
      <c r="BY735" s="40"/>
      <c r="BZ735" s="40"/>
      <c r="CA735" s="40"/>
      <c r="CB735" s="40"/>
      <c r="CC735" s="8"/>
    </row>
    <row r="736" ht="18.75" customHeight="1">
      <c r="A736" s="40"/>
      <c r="B736" s="17"/>
      <c r="D736" s="40"/>
      <c r="G736" s="42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2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W736" s="40"/>
      <c r="AX736" s="65"/>
      <c r="AY736" s="65"/>
      <c r="AZ736" s="16"/>
      <c r="BA736" s="16"/>
      <c r="BB736" s="65"/>
      <c r="BC736" s="16"/>
      <c r="BD736" s="16"/>
      <c r="BE736" s="16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17"/>
      <c r="BX736" s="9"/>
      <c r="BY736" s="40"/>
      <c r="BZ736" s="40"/>
      <c r="CA736" s="40"/>
      <c r="CB736" s="40"/>
      <c r="CC736" s="8"/>
    </row>
    <row r="737" ht="18.75" customHeight="1">
      <c r="A737" s="40"/>
      <c r="B737" s="17"/>
      <c r="D737" s="40"/>
      <c r="G737" s="42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2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W737" s="40"/>
      <c r="AX737" s="65"/>
      <c r="AY737" s="65"/>
      <c r="AZ737" s="16"/>
      <c r="BA737" s="16"/>
      <c r="BB737" s="65"/>
      <c r="BC737" s="16"/>
      <c r="BD737" s="16"/>
      <c r="BE737" s="16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17"/>
      <c r="BX737" s="9"/>
      <c r="BY737" s="40"/>
      <c r="BZ737" s="40"/>
      <c r="CA737" s="40"/>
      <c r="CB737" s="40"/>
      <c r="CC737" s="8"/>
    </row>
    <row r="738" ht="18.75" customHeight="1">
      <c r="A738" s="40"/>
      <c r="B738" s="17"/>
      <c r="D738" s="40"/>
      <c r="G738" s="42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2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W738" s="40"/>
      <c r="AX738" s="65"/>
      <c r="AY738" s="65"/>
      <c r="AZ738" s="16"/>
      <c r="BA738" s="16"/>
      <c r="BB738" s="65"/>
      <c r="BC738" s="16"/>
      <c r="BD738" s="16"/>
      <c r="BE738" s="16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17"/>
      <c r="BX738" s="9"/>
      <c r="BY738" s="40"/>
      <c r="BZ738" s="40"/>
      <c r="CA738" s="40"/>
      <c r="CB738" s="40"/>
      <c r="CC738" s="8"/>
    </row>
    <row r="739" ht="18.75" customHeight="1">
      <c r="A739" s="40"/>
      <c r="B739" s="17"/>
      <c r="D739" s="40"/>
      <c r="G739" s="42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2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W739" s="40"/>
      <c r="AX739" s="65"/>
      <c r="AY739" s="65"/>
      <c r="AZ739" s="16"/>
      <c r="BA739" s="16"/>
      <c r="BB739" s="65"/>
      <c r="BC739" s="16"/>
      <c r="BD739" s="16"/>
      <c r="BE739" s="16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17"/>
      <c r="BX739" s="9"/>
      <c r="BY739" s="40"/>
      <c r="BZ739" s="40"/>
      <c r="CA739" s="40"/>
      <c r="CB739" s="40"/>
      <c r="CC739" s="8"/>
    </row>
    <row r="740" ht="18.75" customHeight="1">
      <c r="A740" s="40"/>
      <c r="B740" s="17"/>
      <c r="D740" s="40"/>
      <c r="G740" s="42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2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W740" s="40"/>
      <c r="AX740" s="65"/>
      <c r="AY740" s="65"/>
      <c r="AZ740" s="16"/>
      <c r="BA740" s="16"/>
      <c r="BB740" s="65"/>
      <c r="BC740" s="16"/>
      <c r="BD740" s="16"/>
      <c r="BE740" s="16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17"/>
      <c r="BX740" s="9"/>
      <c r="BY740" s="40"/>
      <c r="BZ740" s="40"/>
      <c r="CA740" s="40"/>
      <c r="CB740" s="40"/>
      <c r="CC740" s="8"/>
    </row>
    <row r="741" ht="18.75" customHeight="1">
      <c r="A741" s="40"/>
      <c r="B741" s="17"/>
      <c r="D741" s="40"/>
      <c r="G741" s="42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2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W741" s="40"/>
      <c r="AX741" s="65"/>
      <c r="AY741" s="65"/>
      <c r="AZ741" s="16"/>
      <c r="BA741" s="16"/>
      <c r="BB741" s="65"/>
      <c r="BC741" s="16"/>
      <c r="BD741" s="16"/>
      <c r="BE741" s="16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17"/>
      <c r="BX741" s="9"/>
      <c r="BY741" s="40"/>
      <c r="BZ741" s="40"/>
      <c r="CA741" s="40"/>
      <c r="CB741" s="40"/>
      <c r="CC741" s="8"/>
    </row>
    <row r="742" ht="18.75" customHeight="1">
      <c r="A742" s="40"/>
      <c r="B742" s="17"/>
      <c r="D742" s="40"/>
      <c r="G742" s="42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2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W742" s="40"/>
      <c r="AX742" s="65"/>
      <c r="AY742" s="65"/>
      <c r="AZ742" s="16"/>
      <c r="BA742" s="16"/>
      <c r="BB742" s="65"/>
      <c r="BC742" s="16"/>
      <c r="BD742" s="16"/>
      <c r="BE742" s="16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17"/>
      <c r="BX742" s="9"/>
      <c r="BY742" s="40"/>
      <c r="BZ742" s="40"/>
      <c r="CA742" s="40"/>
      <c r="CB742" s="40"/>
      <c r="CC742" s="8"/>
    </row>
    <row r="743" ht="18.75" customHeight="1">
      <c r="A743" s="40"/>
      <c r="B743" s="17"/>
      <c r="D743" s="40"/>
      <c r="G743" s="42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2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W743" s="40"/>
      <c r="AX743" s="65"/>
      <c r="AY743" s="65"/>
      <c r="AZ743" s="16"/>
      <c r="BA743" s="16"/>
      <c r="BB743" s="65"/>
      <c r="BC743" s="16"/>
      <c r="BD743" s="16"/>
      <c r="BE743" s="16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17"/>
      <c r="BX743" s="9"/>
      <c r="BY743" s="40"/>
      <c r="BZ743" s="40"/>
      <c r="CA743" s="40"/>
      <c r="CB743" s="40"/>
      <c r="CC743" s="8"/>
    </row>
    <row r="744" ht="18.75" customHeight="1">
      <c r="A744" s="40"/>
      <c r="B744" s="17"/>
      <c r="D744" s="40"/>
      <c r="G744" s="42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2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W744" s="40"/>
      <c r="AX744" s="65"/>
      <c r="AY744" s="65"/>
      <c r="AZ744" s="16"/>
      <c r="BA744" s="16"/>
      <c r="BB744" s="65"/>
      <c r="BC744" s="16"/>
      <c r="BD744" s="16"/>
      <c r="BE744" s="16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17"/>
      <c r="BX744" s="9"/>
      <c r="BY744" s="40"/>
      <c r="BZ744" s="40"/>
      <c r="CA744" s="40"/>
      <c r="CB744" s="40"/>
      <c r="CC744" s="8"/>
    </row>
    <row r="745" ht="18.75" customHeight="1">
      <c r="A745" s="40"/>
      <c r="B745" s="17"/>
      <c r="D745" s="40"/>
      <c r="G745" s="42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2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W745" s="40"/>
      <c r="AX745" s="65"/>
      <c r="AY745" s="65"/>
      <c r="AZ745" s="16"/>
      <c r="BA745" s="16"/>
      <c r="BB745" s="65"/>
      <c r="BC745" s="16"/>
      <c r="BD745" s="16"/>
      <c r="BE745" s="16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17"/>
      <c r="BX745" s="9"/>
      <c r="BY745" s="40"/>
      <c r="BZ745" s="40"/>
      <c r="CA745" s="40"/>
      <c r="CB745" s="40"/>
      <c r="CC745" s="8"/>
    </row>
    <row r="746" ht="18.75" customHeight="1">
      <c r="A746" s="40"/>
      <c r="B746" s="17"/>
      <c r="D746" s="40"/>
      <c r="G746" s="42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2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W746" s="40"/>
      <c r="AX746" s="65"/>
      <c r="AY746" s="65"/>
      <c r="AZ746" s="16"/>
      <c r="BA746" s="16"/>
      <c r="BB746" s="65"/>
      <c r="BC746" s="16"/>
      <c r="BD746" s="16"/>
      <c r="BE746" s="16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17"/>
      <c r="BX746" s="9"/>
      <c r="BY746" s="40"/>
      <c r="BZ746" s="40"/>
      <c r="CA746" s="40"/>
      <c r="CB746" s="40"/>
      <c r="CC746" s="8"/>
    </row>
    <row r="747" ht="18.75" customHeight="1">
      <c r="A747" s="40"/>
      <c r="B747" s="17"/>
      <c r="D747" s="40"/>
      <c r="G747" s="42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2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W747" s="40"/>
      <c r="AX747" s="65"/>
      <c r="AY747" s="65"/>
      <c r="AZ747" s="16"/>
      <c r="BA747" s="16"/>
      <c r="BB747" s="65"/>
      <c r="BC747" s="16"/>
      <c r="BD747" s="16"/>
      <c r="BE747" s="16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17"/>
      <c r="BX747" s="9"/>
      <c r="BY747" s="40"/>
      <c r="BZ747" s="40"/>
      <c r="CA747" s="40"/>
      <c r="CB747" s="40"/>
      <c r="CC747" s="8"/>
    </row>
    <row r="748" ht="18.75" customHeight="1">
      <c r="A748" s="40"/>
      <c r="B748" s="17"/>
      <c r="D748" s="40"/>
      <c r="G748" s="42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2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W748" s="40"/>
      <c r="AX748" s="65"/>
      <c r="AY748" s="65"/>
      <c r="AZ748" s="16"/>
      <c r="BA748" s="16"/>
      <c r="BB748" s="65"/>
      <c r="BC748" s="16"/>
      <c r="BD748" s="16"/>
      <c r="BE748" s="16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17"/>
      <c r="BX748" s="9"/>
      <c r="BY748" s="40"/>
      <c r="BZ748" s="40"/>
      <c r="CA748" s="40"/>
      <c r="CB748" s="40"/>
      <c r="CC748" s="8"/>
    </row>
    <row r="749" ht="18.75" customHeight="1">
      <c r="A749" s="40"/>
      <c r="B749" s="17"/>
      <c r="D749" s="40"/>
      <c r="G749" s="42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2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W749" s="40"/>
      <c r="AX749" s="65"/>
      <c r="AY749" s="65"/>
      <c r="AZ749" s="16"/>
      <c r="BA749" s="16"/>
      <c r="BB749" s="65"/>
      <c r="BC749" s="16"/>
      <c r="BD749" s="16"/>
      <c r="BE749" s="16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17"/>
      <c r="BX749" s="9"/>
      <c r="BY749" s="40"/>
      <c r="BZ749" s="40"/>
      <c r="CA749" s="40"/>
      <c r="CB749" s="40"/>
      <c r="CC749" s="8"/>
    </row>
    <row r="750" ht="18.75" customHeight="1">
      <c r="A750" s="40"/>
      <c r="B750" s="17"/>
      <c r="D750" s="40"/>
      <c r="G750" s="42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2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W750" s="40"/>
      <c r="AX750" s="65"/>
      <c r="AY750" s="65"/>
      <c r="AZ750" s="16"/>
      <c r="BA750" s="16"/>
      <c r="BB750" s="65"/>
      <c r="BC750" s="16"/>
      <c r="BD750" s="16"/>
      <c r="BE750" s="16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17"/>
      <c r="BX750" s="9"/>
      <c r="BY750" s="40"/>
      <c r="BZ750" s="40"/>
      <c r="CA750" s="40"/>
      <c r="CB750" s="40"/>
      <c r="CC750" s="8"/>
    </row>
    <row r="751" ht="18.75" customHeight="1">
      <c r="A751" s="40"/>
      <c r="B751" s="17"/>
      <c r="D751" s="40"/>
      <c r="G751" s="42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2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W751" s="40"/>
      <c r="AX751" s="65"/>
      <c r="AY751" s="65"/>
      <c r="AZ751" s="16"/>
      <c r="BA751" s="16"/>
      <c r="BB751" s="65"/>
      <c r="BC751" s="16"/>
      <c r="BD751" s="16"/>
      <c r="BE751" s="16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17"/>
      <c r="BX751" s="9"/>
      <c r="BY751" s="40"/>
      <c r="BZ751" s="40"/>
      <c r="CA751" s="40"/>
      <c r="CB751" s="40"/>
      <c r="CC751" s="8"/>
    </row>
    <row r="752" ht="18.75" customHeight="1">
      <c r="A752" s="40"/>
      <c r="B752" s="17"/>
      <c r="D752" s="40"/>
      <c r="G752" s="42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2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W752" s="40"/>
      <c r="AX752" s="65"/>
      <c r="AY752" s="65"/>
      <c r="AZ752" s="16"/>
      <c r="BA752" s="16"/>
      <c r="BB752" s="65"/>
      <c r="BC752" s="16"/>
      <c r="BD752" s="16"/>
      <c r="BE752" s="16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17"/>
      <c r="BX752" s="9"/>
      <c r="BY752" s="40"/>
      <c r="BZ752" s="40"/>
      <c r="CA752" s="40"/>
      <c r="CB752" s="40"/>
      <c r="CC752" s="8"/>
    </row>
    <row r="753" ht="18.75" customHeight="1">
      <c r="A753" s="40"/>
      <c r="B753" s="17"/>
      <c r="D753" s="40"/>
      <c r="G753" s="42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2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W753" s="40"/>
      <c r="AX753" s="65"/>
      <c r="AY753" s="65"/>
      <c r="AZ753" s="16"/>
      <c r="BA753" s="16"/>
      <c r="BB753" s="65"/>
      <c r="BC753" s="16"/>
      <c r="BD753" s="16"/>
      <c r="BE753" s="16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17"/>
      <c r="BX753" s="9"/>
      <c r="BY753" s="40"/>
      <c r="BZ753" s="40"/>
      <c r="CA753" s="40"/>
      <c r="CB753" s="40"/>
      <c r="CC753" s="8"/>
    </row>
    <row r="754" ht="18.75" customHeight="1">
      <c r="A754" s="40"/>
      <c r="B754" s="17"/>
      <c r="D754" s="40"/>
      <c r="G754" s="42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2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W754" s="40"/>
      <c r="AX754" s="65"/>
      <c r="AY754" s="65"/>
      <c r="AZ754" s="16"/>
      <c r="BA754" s="16"/>
      <c r="BB754" s="65"/>
      <c r="BC754" s="16"/>
      <c r="BD754" s="16"/>
      <c r="BE754" s="16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17"/>
      <c r="BX754" s="9"/>
      <c r="BY754" s="40"/>
      <c r="BZ754" s="40"/>
      <c r="CA754" s="40"/>
      <c r="CB754" s="40"/>
      <c r="CC754" s="8"/>
    </row>
    <row r="755" ht="18.75" customHeight="1">
      <c r="A755" s="40"/>
      <c r="B755" s="17"/>
      <c r="D755" s="40"/>
      <c r="G755" s="42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2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W755" s="40"/>
      <c r="AX755" s="65"/>
      <c r="AY755" s="65"/>
      <c r="AZ755" s="16"/>
      <c r="BA755" s="16"/>
      <c r="BB755" s="65"/>
      <c r="BC755" s="16"/>
      <c r="BD755" s="16"/>
      <c r="BE755" s="16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17"/>
      <c r="BX755" s="9"/>
      <c r="BY755" s="40"/>
      <c r="BZ755" s="40"/>
      <c r="CA755" s="40"/>
      <c r="CB755" s="40"/>
      <c r="CC755" s="8"/>
    </row>
    <row r="756" ht="18.75" customHeight="1">
      <c r="A756" s="40"/>
      <c r="B756" s="17"/>
      <c r="D756" s="40"/>
      <c r="G756" s="42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2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W756" s="40"/>
      <c r="AX756" s="65"/>
      <c r="AY756" s="65"/>
      <c r="AZ756" s="16"/>
      <c r="BA756" s="16"/>
      <c r="BB756" s="65"/>
      <c r="BC756" s="16"/>
      <c r="BD756" s="16"/>
      <c r="BE756" s="16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17"/>
      <c r="BX756" s="9"/>
      <c r="BY756" s="40"/>
      <c r="BZ756" s="40"/>
      <c r="CA756" s="40"/>
      <c r="CB756" s="40"/>
      <c r="CC756" s="8"/>
    </row>
    <row r="757" ht="18.75" customHeight="1">
      <c r="A757" s="40"/>
      <c r="B757" s="17"/>
      <c r="D757" s="40"/>
      <c r="G757" s="42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2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W757" s="40"/>
      <c r="AX757" s="65"/>
      <c r="AY757" s="65"/>
      <c r="AZ757" s="16"/>
      <c r="BA757" s="16"/>
      <c r="BB757" s="65"/>
      <c r="BC757" s="16"/>
      <c r="BD757" s="16"/>
      <c r="BE757" s="16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17"/>
      <c r="BX757" s="9"/>
      <c r="BY757" s="40"/>
      <c r="BZ757" s="40"/>
      <c r="CA757" s="40"/>
      <c r="CB757" s="40"/>
      <c r="CC757" s="8"/>
    </row>
    <row r="758" ht="18.75" customHeight="1">
      <c r="A758" s="40"/>
      <c r="B758" s="17"/>
      <c r="D758" s="40"/>
      <c r="G758" s="42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2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W758" s="40"/>
      <c r="AX758" s="65"/>
      <c r="AY758" s="65"/>
      <c r="AZ758" s="16"/>
      <c r="BA758" s="16"/>
      <c r="BB758" s="65"/>
      <c r="BC758" s="16"/>
      <c r="BD758" s="16"/>
      <c r="BE758" s="16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17"/>
      <c r="BX758" s="9"/>
      <c r="BY758" s="40"/>
      <c r="BZ758" s="40"/>
      <c r="CA758" s="40"/>
      <c r="CB758" s="40"/>
      <c r="CC758" s="8"/>
    </row>
    <row r="759" ht="18.75" customHeight="1">
      <c r="A759" s="40"/>
      <c r="B759" s="17"/>
      <c r="D759" s="40"/>
      <c r="G759" s="42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2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W759" s="40"/>
      <c r="AX759" s="65"/>
      <c r="AY759" s="65"/>
      <c r="AZ759" s="16"/>
      <c r="BA759" s="16"/>
      <c r="BB759" s="65"/>
      <c r="BC759" s="16"/>
      <c r="BD759" s="16"/>
      <c r="BE759" s="16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17"/>
      <c r="BX759" s="9"/>
      <c r="BY759" s="40"/>
      <c r="BZ759" s="40"/>
      <c r="CA759" s="40"/>
      <c r="CB759" s="40"/>
      <c r="CC759" s="8"/>
    </row>
    <row r="760" ht="18.75" customHeight="1">
      <c r="A760" s="40"/>
      <c r="B760" s="17"/>
      <c r="D760" s="40"/>
      <c r="G760" s="42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2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W760" s="40"/>
      <c r="AX760" s="65"/>
      <c r="AY760" s="65"/>
      <c r="AZ760" s="16"/>
      <c r="BA760" s="16"/>
      <c r="BB760" s="65"/>
      <c r="BC760" s="16"/>
      <c r="BD760" s="16"/>
      <c r="BE760" s="16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17"/>
      <c r="BX760" s="9"/>
      <c r="BY760" s="40"/>
      <c r="BZ760" s="40"/>
      <c r="CA760" s="40"/>
      <c r="CB760" s="40"/>
      <c r="CC760" s="8"/>
    </row>
    <row r="761" ht="18.75" customHeight="1">
      <c r="A761" s="40"/>
      <c r="B761" s="17"/>
      <c r="D761" s="40"/>
      <c r="G761" s="42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2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W761" s="40"/>
      <c r="AX761" s="65"/>
      <c r="AY761" s="65"/>
      <c r="AZ761" s="16"/>
      <c r="BA761" s="16"/>
      <c r="BB761" s="65"/>
      <c r="BC761" s="16"/>
      <c r="BD761" s="16"/>
      <c r="BE761" s="16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17"/>
      <c r="BX761" s="9"/>
      <c r="BY761" s="40"/>
      <c r="BZ761" s="40"/>
      <c r="CA761" s="40"/>
      <c r="CB761" s="40"/>
      <c r="CC761" s="8"/>
    </row>
    <row r="762" ht="18.75" customHeight="1">
      <c r="A762" s="40"/>
      <c r="B762" s="17"/>
      <c r="D762" s="40"/>
      <c r="G762" s="42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2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W762" s="40"/>
      <c r="AX762" s="65"/>
      <c r="AY762" s="65"/>
      <c r="AZ762" s="16"/>
      <c r="BA762" s="16"/>
      <c r="BB762" s="65"/>
      <c r="BC762" s="16"/>
      <c r="BD762" s="16"/>
      <c r="BE762" s="16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17"/>
      <c r="BX762" s="9"/>
      <c r="BY762" s="40"/>
      <c r="BZ762" s="40"/>
      <c r="CA762" s="40"/>
      <c r="CB762" s="40"/>
      <c r="CC762" s="8"/>
    </row>
    <row r="763" ht="18.75" customHeight="1">
      <c r="A763" s="40"/>
      <c r="B763" s="17"/>
      <c r="D763" s="40"/>
      <c r="G763" s="42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2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W763" s="40"/>
      <c r="AX763" s="65"/>
      <c r="AY763" s="65"/>
      <c r="AZ763" s="16"/>
      <c r="BA763" s="16"/>
      <c r="BB763" s="65"/>
      <c r="BC763" s="16"/>
      <c r="BD763" s="16"/>
      <c r="BE763" s="16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17"/>
      <c r="BX763" s="9"/>
      <c r="BY763" s="40"/>
      <c r="BZ763" s="40"/>
      <c r="CA763" s="40"/>
      <c r="CB763" s="40"/>
      <c r="CC763" s="8"/>
    </row>
    <row r="764" ht="18.75" customHeight="1">
      <c r="A764" s="40"/>
      <c r="B764" s="17"/>
      <c r="D764" s="40"/>
      <c r="G764" s="42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2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W764" s="40"/>
      <c r="AX764" s="65"/>
      <c r="AY764" s="65"/>
      <c r="AZ764" s="16"/>
      <c r="BA764" s="16"/>
      <c r="BB764" s="65"/>
      <c r="BC764" s="16"/>
      <c r="BD764" s="16"/>
      <c r="BE764" s="16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17"/>
      <c r="BX764" s="9"/>
      <c r="BY764" s="40"/>
      <c r="BZ764" s="40"/>
      <c r="CA764" s="40"/>
      <c r="CB764" s="40"/>
      <c r="CC764" s="8"/>
    </row>
    <row r="765" ht="18.75" customHeight="1">
      <c r="A765" s="40"/>
      <c r="B765" s="17"/>
      <c r="D765" s="40"/>
      <c r="G765" s="42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2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W765" s="40"/>
      <c r="AX765" s="65"/>
      <c r="AY765" s="65"/>
      <c r="AZ765" s="16"/>
      <c r="BA765" s="16"/>
      <c r="BB765" s="65"/>
      <c r="BC765" s="16"/>
      <c r="BD765" s="16"/>
      <c r="BE765" s="16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17"/>
      <c r="BX765" s="9"/>
      <c r="BY765" s="40"/>
      <c r="BZ765" s="40"/>
      <c r="CA765" s="40"/>
      <c r="CB765" s="40"/>
      <c r="CC765" s="8"/>
    </row>
    <row r="766" ht="18.75" customHeight="1">
      <c r="A766" s="40"/>
      <c r="B766" s="17"/>
      <c r="D766" s="40"/>
      <c r="G766" s="42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2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W766" s="40"/>
      <c r="AX766" s="65"/>
      <c r="AY766" s="65"/>
      <c r="AZ766" s="16"/>
      <c r="BA766" s="16"/>
      <c r="BB766" s="65"/>
      <c r="BC766" s="16"/>
      <c r="BD766" s="16"/>
      <c r="BE766" s="16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17"/>
      <c r="BX766" s="9"/>
      <c r="BY766" s="40"/>
      <c r="BZ766" s="40"/>
      <c r="CA766" s="40"/>
      <c r="CB766" s="40"/>
      <c r="CC766" s="8"/>
    </row>
    <row r="767" ht="18.75" customHeight="1">
      <c r="A767" s="40"/>
      <c r="B767" s="17"/>
      <c r="D767" s="40"/>
      <c r="G767" s="42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2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W767" s="40"/>
      <c r="AX767" s="65"/>
      <c r="AY767" s="65"/>
      <c r="AZ767" s="16"/>
      <c r="BA767" s="16"/>
      <c r="BB767" s="65"/>
      <c r="BC767" s="16"/>
      <c r="BD767" s="16"/>
      <c r="BE767" s="16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17"/>
      <c r="BX767" s="9"/>
      <c r="BY767" s="40"/>
      <c r="BZ767" s="40"/>
      <c r="CA767" s="40"/>
      <c r="CB767" s="40"/>
      <c r="CC767" s="8"/>
    </row>
    <row r="768" ht="18.75" customHeight="1">
      <c r="A768" s="40"/>
      <c r="B768" s="17"/>
      <c r="D768" s="40"/>
      <c r="G768" s="42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2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W768" s="40"/>
      <c r="AX768" s="65"/>
      <c r="AY768" s="65"/>
      <c r="AZ768" s="16"/>
      <c r="BA768" s="16"/>
      <c r="BB768" s="65"/>
      <c r="BC768" s="16"/>
      <c r="BD768" s="16"/>
      <c r="BE768" s="16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17"/>
      <c r="BX768" s="9"/>
      <c r="BY768" s="40"/>
      <c r="BZ768" s="40"/>
      <c r="CA768" s="40"/>
      <c r="CB768" s="40"/>
      <c r="CC768" s="8"/>
    </row>
    <row r="769" ht="18.75" customHeight="1">
      <c r="A769" s="40"/>
      <c r="B769" s="17"/>
      <c r="D769" s="40"/>
      <c r="G769" s="42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2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W769" s="40"/>
      <c r="AX769" s="65"/>
      <c r="AY769" s="65"/>
      <c r="AZ769" s="16"/>
      <c r="BA769" s="16"/>
      <c r="BB769" s="65"/>
      <c r="BC769" s="16"/>
      <c r="BD769" s="16"/>
      <c r="BE769" s="16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17"/>
      <c r="BX769" s="9"/>
      <c r="BY769" s="40"/>
      <c r="BZ769" s="40"/>
      <c r="CA769" s="40"/>
      <c r="CB769" s="40"/>
      <c r="CC769" s="8"/>
    </row>
    <row r="770" ht="18.75" customHeight="1">
      <c r="A770" s="40"/>
      <c r="B770" s="17"/>
      <c r="D770" s="40"/>
      <c r="G770" s="42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2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W770" s="40"/>
      <c r="AX770" s="65"/>
      <c r="AY770" s="65"/>
      <c r="AZ770" s="16"/>
      <c r="BA770" s="16"/>
      <c r="BB770" s="65"/>
      <c r="BC770" s="16"/>
      <c r="BD770" s="16"/>
      <c r="BE770" s="16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17"/>
      <c r="BX770" s="9"/>
      <c r="BY770" s="40"/>
      <c r="BZ770" s="40"/>
      <c r="CA770" s="40"/>
      <c r="CB770" s="40"/>
      <c r="CC770" s="8"/>
    </row>
    <row r="771" ht="18.75" customHeight="1">
      <c r="A771" s="40"/>
      <c r="B771" s="17"/>
      <c r="D771" s="40"/>
      <c r="G771" s="42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2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W771" s="40"/>
      <c r="AX771" s="65"/>
      <c r="AY771" s="65"/>
      <c r="AZ771" s="16"/>
      <c r="BA771" s="16"/>
      <c r="BB771" s="65"/>
      <c r="BC771" s="16"/>
      <c r="BD771" s="16"/>
      <c r="BE771" s="16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17"/>
      <c r="BX771" s="9"/>
      <c r="BY771" s="40"/>
      <c r="BZ771" s="40"/>
      <c r="CA771" s="40"/>
      <c r="CB771" s="40"/>
      <c r="CC771" s="8"/>
    </row>
    <row r="772" ht="18.75" customHeight="1">
      <c r="A772" s="40"/>
      <c r="B772" s="17"/>
      <c r="D772" s="40"/>
      <c r="G772" s="42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2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W772" s="40"/>
      <c r="AX772" s="65"/>
      <c r="AY772" s="65"/>
      <c r="AZ772" s="16"/>
      <c r="BA772" s="16"/>
      <c r="BB772" s="65"/>
      <c r="BC772" s="16"/>
      <c r="BD772" s="16"/>
      <c r="BE772" s="16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17"/>
      <c r="BX772" s="9"/>
      <c r="BY772" s="40"/>
      <c r="BZ772" s="40"/>
      <c r="CA772" s="40"/>
      <c r="CB772" s="40"/>
      <c r="CC772" s="8"/>
    </row>
    <row r="773" ht="18.75" customHeight="1">
      <c r="A773" s="40"/>
      <c r="B773" s="17"/>
      <c r="D773" s="40"/>
      <c r="G773" s="42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2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W773" s="40"/>
      <c r="AX773" s="65"/>
      <c r="AY773" s="65"/>
      <c r="AZ773" s="16"/>
      <c r="BA773" s="16"/>
      <c r="BB773" s="65"/>
      <c r="BC773" s="16"/>
      <c r="BD773" s="16"/>
      <c r="BE773" s="16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17"/>
      <c r="BX773" s="9"/>
      <c r="BY773" s="40"/>
      <c r="BZ773" s="40"/>
      <c r="CA773" s="40"/>
      <c r="CB773" s="40"/>
      <c r="CC773" s="8"/>
    </row>
    <row r="774" ht="18.75" customHeight="1">
      <c r="A774" s="40"/>
      <c r="B774" s="17"/>
      <c r="D774" s="40"/>
      <c r="G774" s="42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2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W774" s="40"/>
      <c r="AX774" s="65"/>
      <c r="AY774" s="65"/>
      <c r="AZ774" s="16"/>
      <c r="BA774" s="16"/>
      <c r="BB774" s="65"/>
      <c r="BC774" s="16"/>
      <c r="BD774" s="16"/>
      <c r="BE774" s="16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17"/>
      <c r="BX774" s="9"/>
      <c r="BY774" s="40"/>
      <c r="BZ774" s="40"/>
      <c r="CA774" s="40"/>
      <c r="CB774" s="40"/>
      <c r="CC774" s="8"/>
    </row>
    <row r="775" ht="18.75" customHeight="1">
      <c r="A775" s="40"/>
      <c r="B775" s="17"/>
      <c r="D775" s="40"/>
      <c r="G775" s="42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2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W775" s="40"/>
      <c r="AX775" s="65"/>
      <c r="AY775" s="65"/>
      <c r="AZ775" s="16"/>
      <c r="BA775" s="16"/>
      <c r="BB775" s="65"/>
      <c r="BC775" s="16"/>
      <c r="BD775" s="16"/>
      <c r="BE775" s="16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17"/>
      <c r="BX775" s="9"/>
      <c r="BY775" s="40"/>
      <c r="BZ775" s="40"/>
      <c r="CA775" s="40"/>
      <c r="CB775" s="40"/>
      <c r="CC775" s="8"/>
    </row>
    <row r="776" ht="18.75" customHeight="1">
      <c r="A776" s="40"/>
      <c r="B776" s="17"/>
      <c r="D776" s="40"/>
      <c r="G776" s="42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2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W776" s="40"/>
      <c r="AX776" s="65"/>
      <c r="AY776" s="65"/>
      <c r="AZ776" s="16"/>
      <c r="BA776" s="16"/>
      <c r="BB776" s="65"/>
      <c r="BC776" s="16"/>
      <c r="BD776" s="16"/>
      <c r="BE776" s="16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17"/>
      <c r="BX776" s="9"/>
      <c r="BY776" s="40"/>
      <c r="BZ776" s="40"/>
      <c r="CA776" s="40"/>
      <c r="CB776" s="40"/>
      <c r="CC776" s="8"/>
    </row>
    <row r="777" ht="18.75" customHeight="1">
      <c r="A777" s="40"/>
      <c r="B777" s="17"/>
      <c r="D777" s="40"/>
      <c r="G777" s="42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2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W777" s="40"/>
      <c r="AX777" s="65"/>
      <c r="AY777" s="65"/>
      <c r="AZ777" s="16"/>
      <c r="BA777" s="16"/>
      <c r="BB777" s="65"/>
      <c r="BC777" s="16"/>
      <c r="BD777" s="16"/>
      <c r="BE777" s="16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17"/>
      <c r="BX777" s="9"/>
      <c r="BY777" s="40"/>
      <c r="BZ777" s="40"/>
      <c r="CA777" s="40"/>
      <c r="CB777" s="40"/>
      <c r="CC777" s="8"/>
    </row>
    <row r="778" ht="18.75" customHeight="1">
      <c r="A778" s="40"/>
      <c r="B778" s="17"/>
      <c r="D778" s="40"/>
      <c r="G778" s="42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2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W778" s="40"/>
      <c r="AX778" s="65"/>
      <c r="AY778" s="65"/>
      <c r="AZ778" s="16"/>
      <c r="BA778" s="16"/>
      <c r="BB778" s="65"/>
      <c r="BC778" s="16"/>
      <c r="BD778" s="16"/>
      <c r="BE778" s="16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17"/>
      <c r="BX778" s="9"/>
      <c r="BY778" s="40"/>
      <c r="BZ778" s="40"/>
      <c r="CA778" s="40"/>
      <c r="CB778" s="40"/>
      <c r="CC778" s="8"/>
    </row>
    <row r="779" ht="18.75" customHeight="1">
      <c r="A779" s="40"/>
      <c r="B779" s="17"/>
      <c r="D779" s="40"/>
      <c r="G779" s="42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2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W779" s="40"/>
      <c r="AX779" s="65"/>
      <c r="AY779" s="65"/>
      <c r="AZ779" s="16"/>
      <c r="BA779" s="16"/>
      <c r="BB779" s="65"/>
      <c r="BC779" s="16"/>
      <c r="BD779" s="16"/>
      <c r="BE779" s="16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17"/>
      <c r="BX779" s="9"/>
      <c r="BY779" s="40"/>
      <c r="BZ779" s="40"/>
      <c r="CA779" s="40"/>
      <c r="CB779" s="40"/>
      <c r="CC779" s="8"/>
    </row>
    <row r="780" ht="18.75" customHeight="1">
      <c r="A780" s="40"/>
      <c r="B780" s="17"/>
      <c r="D780" s="40"/>
      <c r="G780" s="42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2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W780" s="40"/>
      <c r="AX780" s="65"/>
      <c r="AY780" s="65"/>
      <c r="AZ780" s="16"/>
      <c r="BA780" s="16"/>
      <c r="BB780" s="65"/>
      <c r="BC780" s="16"/>
      <c r="BD780" s="16"/>
      <c r="BE780" s="16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17"/>
      <c r="BX780" s="9"/>
      <c r="BY780" s="40"/>
      <c r="BZ780" s="40"/>
      <c r="CA780" s="40"/>
      <c r="CB780" s="40"/>
      <c r="CC780" s="8"/>
    </row>
    <row r="781" ht="18.75" customHeight="1">
      <c r="A781" s="40"/>
      <c r="B781" s="17"/>
      <c r="D781" s="40"/>
      <c r="G781" s="42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2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W781" s="40"/>
      <c r="AX781" s="65"/>
      <c r="AY781" s="65"/>
      <c r="AZ781" s="16"/>
      <c r="BA781" s="16"/>
      <c r="BB781" s="65"/>
      <c r="BC781" s="16"/>
      <c r="BD781" s="16"/>
      <c r="BE781" s="16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17"/>
      <c r="BX781" s="9"/>
      <c r="BY781" s="40"/>
      <c r="BZ781" s="40"/>
      <c r="CA781" s="40"/>
      <c r="CB781" s="40"/>
      <c r="CC781" s="8"/>
    </row>
    <row r="782" ht="18.75" customHeight="1">
      <c r="A782" s="40"/>
      <c r="B782" s="17"/>
      <c r="D782" s="40"/>
      <c r="G782" s="42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2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W782" s="40"/>
      <c r="AX782" s="65"/>
      <c r="AY782" s="65"/>
      <c r="AZ782" s="16"/>
      <c r="BA782" s="16"/>
      <c r="BB782" s="65"/>
      <c r="BC782" s="16"/>
      <c r="BD782" s="16"/>
      <c r="BE782" s="16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17"/>
      <c r="BX782" s="9"/>
      <c r="BY782" s="40"/>
      <c r="BZ782" s="40"/>
      <c r="CA782" s="40"/>
      <c r="CB782" s="40"/>
      <c r="CC782" s="8"/>
    </row>
    <row r="783" ht="18.75" customHeight="1">
      <c r="A783" s="40"/>
      <c r="B783" s="17"/>
      <c r="D783" s="40"/>
      <c r="G783" s="42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2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W783" s="40"/>
      <c r="AX783" s="65"/>
      <c r="AY783" s="65"/>
      <c r="AZ783" s="16"/>
      <c r="BA783" s="16"/>
      <c r="BB783" s="65"/>
      <c r="BC783" s="16"/>
      <c r="BD783" s="16"/>
      <c r="BE783" s="16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17"/>
      <c r="BX783" s="9"/>
      <c r="BY783" s="40"/>
      <c r="BZ783" s="40"/>
      <c r="CA783" s="40"/>
      <c r="CB783" s="40"/>
      <c r="CC783" s="8"/>
    </row>
    <row r="784" ht="18.75" customHeight="1">
      <c r="A784" s="40"/>
      <c r="B784" s="17"/>
      <c r="D784" s="40"/>
      <c r="G784" s="42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2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W784" s="40"/>
      <c r="AX784" s="65"/>
      <c r="AY784" s="65"/>
      <c r="AZ784" s="16"/>
      <c r="BA784" s="16"/>
      <c r="BB784" s="65"/>
      <c r="BC784" s="16"/>
      <c r="BD784" s="16"/>
      <c r="BE784" s="16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17"/>
      <c r="BX784" s="9"/>
      <c r="BY784" s="40"/>
      <c r="BZ784" s="40"/>
      <c r="CA784" s="40"/>
      <c r="CB784" s="40"/>
      <c r="CC784" s="8"/>
    </row>
    <row r="785" ht="18.75" customHeight="1">
      <c r="A785" s="40"/>
      <c r="B785" s="17"/>
      <c r="D785" s="40"/>
      <c r="G785" s="42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2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W785" s="40"/>
      <c r="AX785" s="65"/>
      <c r="AY785" s="65"/>
      <c r="AZ785" s="16"/>
      <c r="BA785" s="16"/>
      <c r="BB785" s="65"/>
      <c r="BC785" s="16"/>
      <c r="BD785" s="16"/>
      <c r="BE785" s="16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17"/>
      <c r="BX785" s="9"/>
      <c r="BY785" s="40"/>
      <c r="BZ785" s="40"/>
      <c r="CA785" s="40"/>
      <c r="CB785" s="40"/>
      <c r="CC785" s="8"/>
    </row>
    <row r="786" ht="18.75" customHeight="1">
      <c r="A786" s="40"/>
      <c r="B786" s="17"/>
      <c r="D786" s="40"/>
      <c r="G786" s="42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2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W786" s="40"/>
      <c r="AX786" s="65"/>
      <c r="AY786" s="65"/>
      <c r="AZ786" s="16"/>
      <c r="BA786" s="16"/>
      <c r="BB786" s="65"/>
      <c r="BC786" s="16"/>
      <c r="BD786" s="16"/>
      <c r="BE786" s="16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17"/>
      <c r="BX786" s="9"/>
      <c r="BY786" s="40"/>
      <c r="BZ786" s="40"/>
      <c r="CA786" s="40"/>
      <c r="CB786" s="40"/>
      <c r="CC786" s="8"/>
    </row>
    <row r="787" ht="18.75" customHeight="1">
      <c r="A787" s="40"/>
      <c r="B787" s="17"/>
      <c r="D787" s="40"/>
      <c r="G787" s="42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2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W787" s="40"/>
      <c r="AX787" s="65"/>
      <c r="AY787" s="65"/>
      <c r="AZ787" s="16"/>
      <c r="BA787" s="16"/>
      <c r="BB787" s="65"/>
      <c r="BC787" s="16"/>
      <c r="BD787" s="16"/>
      <c r="BE787" s="16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17"/>
      <c r="BX787" s="9"/>
      <c r="BY787" s="40"/>
      <c r="BZ787" s="40"/>
      <c r="CA787" s="40"/>
      <c r="CB787" s="40"/>
      <c r="CC787" s="8"/>
    </row>
    <row r="788" ht="18.75" customHeight="1">
      <c r="A788" s="40"/>
      <c r="B788" s="17"/>
      <c r="D788" s="40"/>
      <c r="G788" s="42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2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W788" s="40"/>
      <c r="AX788" s="65"/>
      <c r="AY788" s="65"/>
      <c r="AZ788" s="16"/>
      <c r="BA788" s="16"/>
      <c r="BB788" s="65"/>
      <c r="BC788" s="16"/>
      <c r="BD788" s="16"/>
      <c r="BE788" s="16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17"/>
      <c r="BX788" s="9"/>
      <c r="BY788" s="40"/>
      <c r="BZ788" s="40"/>
      <c r="CA788" s="40"/>
      <c r="CB788" s="40"/>
      <c r="CC788" s="8"/>
    </row>
    <row r="789" ht="18.75" customHeight="1">
      <c r="A789" s="40"/>
      <c r="B789" s="17"/>
      <c r="D789" s="40"/>
      <c r="G789" s="42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2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W789" s="40"/>
      <c r="AX789" s="65"/>
      <c r="AY789" s="65"/>
      <c r="AZ789" s="16"/>
      <c r="BA789" s="16"/>
      <c r="BB789" s="65"/>
      <c r="BC789" s="16"/>
      <c r="BD789" s="16"/>
      <c r="BE789" s="16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17"/>
      <c r="BX789" s="9"/>
      <c r="BY789" s="40"/>
      <c r="BZ789" s="40"/>
      <c r="CA789" s="40"/>
      <c r="CB789" s="40"/>
      <c r="CC789" s="8"/>
    </row>
    <row r="790" ht="18.75" customHeight="1">
      <c r="A790" s="40"/>
      <c r="B790" s="17"/>
      <c r="D790" s="40"/>
      <c r="G790" s="42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2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W790" s="40"/>
      <c r="AX790" s="65"/>
      <c r="AY790" s="65"/>
      <c r="AZ790" s="16"/>
      <c r="BA790" s="16"/>
      <c r="BB790" s="65"/>
      <c r="BC790" s="16"/>
      <c r="BD790" s="16"/>
      <c r="BE790" s="16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17"/>
      <c r="BX790" s="9"/>
      <c r="BY790" s="40"/>
      <c r="BZ790" s="40"/>
      <c r="CA790" s="40"/>
      <c r="CB790" s="40"/>
      <c r="CC790" s="8"/>
    </row>
    <row r="791" ht="18.75" customHeight="1">
      <c r="A791" s="40"/>
      <c r="B791" s="17"/>
      <c r="D791" s="40"/>
      <c r="G791" s="42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2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W791" s="40"/>
      <c r="AX791" s="65"/>
      <c r="AY791" s="65"/>
      <c r="AZ791" s="16"/>
      <c r="BA791" s="16"/>
      <c r="BB791" s="65"/>
      <c r="BC791" s="16"/>
      <c r="BD791" s="16"/>
      <c r="BE791" s="16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17"/>
      <c r="BX791" s="9"/>
      <c r="BY791" s="40"/>
      <c r="BZ791" s="40"/>
      <c r="CA791" s="40"/>
      <c r="CB791" s="40"/>
      <c r="CC791" s="8"/>
    </row>
    <row r="792" ht="18.75" customHeight="1">
      <c r="A792" s="40"/>
      <c r="B792" s="17"/>
      <c r="D792" s="40"/>
      <c r="G792" s="42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2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W792" s="40"/>
      <c r="AX792" s="65"/>
      <c r="AY792" s="65"/>
      <c r="AZ792" s="16"/>
      <c r="BA792" s="16"/>
      <c r="BB792" s="65"/>
      <c r="BC792" s="16"/>
      <c r="BD792" s="16"/>
      <c r="BE792" s="16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17"/>
      <c r="BX792" s="9"/>
      <c r="BY792" s="40"/>
      <c r="BZ792" s="40"/>
      <c r="CA792" s="40"/>
      <c r="CB792" s="40"/>
      <c r="CC792" s="8"/>
    </row>
    <row r="793" ht="18.75" customHeight="1">
      <c r="A793" s="40"/>
      <c r="B793" s="17"/>
      <c r="D793" s="40"/>
      <c r="G793" s="42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2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W793" s="40"/>
      <c r="AX793" s="65"/>
      <c r="AY793" s="65"/>
      <c r="AZ793" s="16"/>
      <c r="BA793" s="16"/>
      <c r="BB793" s="65"/>
      <c r="BC793" s="16"/>
      <c r="BD793" s="16"/>
      <c r="BE793" s="16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17"/>
      <c r="BX793" s="9"/>
      <c r="BY793" s="40"/>
      <c r="BZ793" s="40"/>
      <c r="CA793" s="40"/>
      <c r="CB793" s="40"/>
      <c r="CC793" s="8"/>
    </row>
    <row r="794" ht="18.75" customHeight="1">
      <c r="A794" s="40"/>
      <c r="B794" s="17"/>
      <c r="D794" s="40"/>
      <c r="G794" s="42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2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W794" s="40"/>
      <c r="AX794" s="65"/>
      <c r="AY794" s="65"/>
      <c r="AZ794" s="16"/>
      <c r="BA794" s="16"/>
      <c r="BB794" s="65"/>
      <c r="BC794" s="16"/>
      <c r="BD794" s="16"/>
      <c r="BE794" s="16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17"/>
      <c r="BX794" s="9"/>
      <c r="BY794" s="40"/>
      <c r="BZ794" s="40"/>
      <c r="CA794" s="40"/>
      <c r="CB794" s="40"/>
      <c r="CC794" s="8"/>
    </row>
    <row r="795" ht="18.75" customHeight="1">
      <c r="A795" s="40"/>
      <c r="B795" s="17"/>
      <c r="D795" s="40"/>
      <c r="G795" s="42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2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W795" s="40"/>
      <c r="AX795" s="65"/>
      <c r="AY795" s="65"/>
      <c r="AZ795" s="16"/>
      <c r="BA795" s="16"/>
      <c r="BB795" s="65"/>
      <c r="BC795" s="16"/>
      <c r="BD795" s="16"/>
      <c r="BE795" s="16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17"/>
      <c r="BX795" s="9"/>
      <c r="BY795" s="40"/>
      <c r="BZ795" s="40"/>
      <c r="CA795" s="40"/>
      <c r="CB795" s="40"/>
      <c r="CC795" s="8"/>
    </row>
    <row r="796" ht="18.75" customHeight="1">
      <c r="A796" s="40"/>
      <c r="B796" s="17"/>
      <c r="D796" s="40"/>
      <c r="G796" s="42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2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W796" s="40"/>
      <c r="AX796" s="65"/>
      <c r="AY796" s="65"/>
      <c r="AZ796" s="16"/>
      <c r="BA796" s="16"/>
      <c r="BB796" s="65"/>
      <c r="BC796" s="16"/>
      <c r="BD796" s="16"/>
      <c r="BE796" s="16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17"/>
      <c r="BX796" s="9"/>
      <c r="BY796" s="40"/>
      <c r="BZ796" s="40"/>
      <c r="CA796" s="40"/>
      <c r="CB796" s="40"/>
      <c r="CC796" s="8"/>
    </row>
    <row r="797" ht="18.75" customHeight="1">
      <c r="A797" s="40"/>
      <c r="B797" s="17"/>
      <c r="D797" s="40"/>
      <c r="G797" s="42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2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W797" s="40"/>
      <c r="AX797" s="65"/>
      <c r="AY797" s="65"/>
      <c r="AZ797" s="16"/>
      <c r="BA797" s="16"/>
      <c r="BB797" s="65"/>
      <c r="BC797" s="16"/>
      <c r="BD797" s="16"/>
      <c r="BE797" s="16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17"/>
      <c r="BX797" s="9"/>
      <c r="BY797" s="40"/>
      <c r="BZ797" s="40"/>
      <c r="CA797" s="40"/>
      <c r="CB797" s="40"/>
      <c r="CC797" s="8"/>
    </row>
    <row r="798" ht="18.75" customHeight="1">
      <c r="A798" s="40"/>
      <c r="B798" s="17"/>
      <c r="D798" s="40"/>
      <c r="G798" s="42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2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W798" s="40"/>
      <c r="AX798" s="65"/>
      <c r="AY798" s="65"/>
      <c r="AZ798" s="16"/>
      <c r="BA798" s="16"/>
      <c r="BB798" s="65"/>
      <c r="BC798" s="16"/>
      <c r="BD798" s="16"/>
      <c r="BE798" s="16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17"/>
      <c r="BX798" s="9"/>
      <c r="BY798" s="40"/>
      <c r="BZ798" s="40"/>
      <c r="CA798" s="40"/>
      <c r="CB798" s="40"/>
      <c r="CC798" s="8"/>
    </row>
    <row r="799" ht="18.75" customHeight="1">
      <c r="A799" s="40"/>
      <c r="B799" s="17"/>
      <c r="D799" s="40"/>
      <c r="G799" s="42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2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W799" s="40"/>
      <c r="AX799" s="65"/>
      <c r="AY799" s="65"/>
      <c r="AZ799" s="16"/>
      <c r="BA799" s="16"/>
      <c r="BB799" s="65"/>
      <c r="BC799" s="16"/>
      <c r="BD799" s="16"/>
      <c r="BE799" s="16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17"/>
      <c r="BX799" s="9"/>
      <c r="BY799" s="40"/>
      <c r="BZ799" s="40"/>
      <c r="CA799" s="40"/>
      <c r="CB799" s="40"/>
      <c r="CC799" s="8"/>
    </row>
    <row r="800" ht="18.75" customHeight="1">
      <c r="A800" s="40"/>
      <c r="B800" s="17"/>
      <c r="D800" s="40"/>
      <c r="G800" s="42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2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W800" s="40"/>
      <c r="AX800" s="65"/>
      <c r="AY800" s="65"/>
      <c r="AZ800" s="16"/>
      <c r="BA800" s="16"/>
      <c r="BB800" s="65"/>
      <c r="BC800" s="16"/>
      <c r="BD800" s="16"/>
      <c r="BE800" s="16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17"/>
      <c r="BX800" s="9"/>
      <c r="BY800" s="40"/>
      <c r="BZ800" s="40"/>
      <c r="CA800" s="40"/>
      <c r="CB800" s="40"/>
      <c r="CC800" s="8"/>
    </row>
    <row r="801" ht="18.75" customHeight="1">
      <c r="A801" s="40"/>
      <c r="B801" s="17"/>
      <c r="D801" s="40"/>
      <c r="G801" s="42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2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W801" s="40"/>
      <c r="AX801" s="65"/>
      <c r="AY801" s="65"/>
      <c r="AZ801" s="16"/>
      <c r="BA801" s="16"/>
      <c r="BB801" s="65"/>
      <c r="BC801" s="16"/>
      <c r="BD801" s="16"/>
      <c r="BE801" s="16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17"/>
      <c r="BX801" s="9"/>
      <c r="BY801" s="40"/>
      <c r="BZ801" s="40"/>
      <c r="CA801" s="40"/>
      <c r="CB801" s="40"/>
      <c r="CC801" s="8"/>
    </row>
    <row r="802" ht="18.75" customHeight="1">
      <c r="A802" s="40"/>
      <c r="B802" s="17"/>
      <c r="D802" s="40"/>
      <c r="G802" s="42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2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W802" s="40"/>
      <c r="AX802" s="65"/>
      <c r="AY802" s="65"/>
      <c r="AZ802" s="16"/>
      <c r="BA802" s="16"/>
      <c r="BB802" s="65"/>
      <c r="BC802" s="16"/>
      <c r="BD802" s="16"/>
      <c r="BE802" s="16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17"/>
      <c r="BX802" s="9"/>
      <c r="BY802" s="40"/>
      <c r="BZ802" s="40"/>
      <c r="CA802" s="40"/>
      <c r="CB802" s="40"/>
      <c r="CC802" s="8"/>
    </row>
    <row r="803" ht="18.75" customHeight="1">
      <c r="A803" s="40"/>
      <c r="B803" s="17"/>
      <c r="D803" s="40"/>
      <c r="G803" s="42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2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W803" s="40"/>
      <c r="AX803" s="65"/>
      <c r="AY803" s="65"/>
      <c r="AZ803" s="16"/>
      <c r="BA803" s="16"/>
      <c r="BB803" s="65"/>
      <c r="BC803" s="16"/>
      <c r="BD803" s="16"/>
      <c r="BE803" s="16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17"/>
      <c r="BX803" s="9"/>
      <c r="BY803" s="40"/>
      <c r="BZ803" s="40"/>
      <c r="CA803" s="40"/>
      <c r="CB803" s="40"/>
      <c r="CC803" s="8"/>
    </row>
    <row r="804" ht="18.75" customHeight="1">
      <c r="A804" s="40"/>
      <c r="B804" s="17"/>
      <c r="D804" s="40"/>
      <c r="G804" s="42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2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W804" s="40"/>
      <c r="AX804" s="65"/>
      <c r="AY804" s="65"/>
      <c r="AZ804" s="16"/>
      <c r="BA804" s="16"/>
      <c r="BB804" s="65"/>
      <c r="BC804" s="16"/>
      <c r="BD804" s="16"/>
      <c r="BE804" s="16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17"/>
      <c r="BX804" s="9"/>
      <c r="BY804" s="40"/>
      <c r="BZ804" s="40"/>
      <c r="CA804" s="40"/>
      <c r="CB804" s="40"/>
      <c r="CC804" s="8"/>
    </row>
    <row r="805" ht="18.75" customHeight="1">
      <c r="A805" s="40"/>
      <c r="B805" s="17"/>
      <c r="D805" s="40"/>
      <c r="G805" s="42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2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W805" s="40"/>
      <c r="AX805" s="65"/>
      <c r="AY805" s="65"/>
      <c r="AZ805" s="16"/>
      <c r="BA805" s="16"/>
      <c r="BB805" s="65"/>
      <c r="BC805" s="16"/>
      <c r="BD805" s="16"/>
      <c r="BE805" s="16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17"/>
      <c r="BX805" s="9"/>
      <c r="BY805" s="40"/>
      <c r="BZ805" s="40"/>
      <c r="CA805" s="40"/>
      <c r="CB805" s="40"/>
      <c r="CC805" s="8"/>
    </row>
    <row r="806" ht="18.75" customHeight="1">
      <c r="A806" s="40"/>
      <c r="B806" s="17"/>
      <c r="D806" s="40"/>
      <c r="G806" s="42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2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W806" s="40"/>
      <c r="AX806" s="65"/>
      <c r="AY806" s="65"/>
      <c r="AZ806" s="16"/>
      <c r="BA806" s="16"/>
      <c r="BB806" s="65"/>
      <c r="BC806" s="16"/>
      <c r="BD806" s="16"/>
      <c r="BE806" s="16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17"/>
      <c r="BX806" s="9"/>
      <c r="BY806" s="40"/>
      <c r="BZ806" s="40"/>
      <c r="CA806" s="40"/>
      <c r="CB806" s="40"/>
      <c r="CC806" s="8"/>
    </row>
    <row r="807" ht="18.75" customHeight="1">
      <c r="A807" s="40"/>
      <c r="B807" s="17"/>
      <c r="D807" s="40"/>
      <c r="G807" s="42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2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W807" s="40"/>
      <c r="AX807" s="65"/>
      <c r="AY807" s="65"/>
      <c r="AZ807" s="16"/>
      <c r="BA807" s="16"/>
      <c r="BB807" s="65"/>
      <c r="BC807" s="16"/>
      <c r="BD807" s="16"/>
      <c r="BE807" s="16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17"/>
      <c r="BX807" s="9"/>
      <c r="BY807" s="40"/>
      <c r="BZ807" s="40"/>
      <c r="CA807" s="40"/>
      <c r="CB807" s="40"/>
      <c r="CC807" s="8"/>
    </row>
    <row r="808" ht="18.75" customHeight="1">
      <c r="A808" s="40"/>
      <c r="B808" s="17"/>
      <c r="D808" s="40"/>
      <c r="G808" s="42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2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W808" s="40"/>
      <c r="AX808" s="65"/>
      <c r="AY808" s="65"/>
      <c r="AZ808" s="16"/>
      <c r="BA808" s="16"/>
      <c r="BB808" s="65"/>
      <c r="BC808" s="16"/>
      <c r="BD808" s="16"/>
      <c r="BE808" s="16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17"/>
      <c r="BX808" s="9"/>
      <c r="BY808" s="40"/>
      <c r="BZ808" s="40"/>
      <c r="CA808" s="40"/>
      <c r="CB808" s="40"/>
      <c r="CC808" s="8"/>
    </row>
    <row r="809" ht="18.75" customHeight="1">
      <c r="A809" s="40"/>
      <c r="B809" s="17"/>
      <c r="D809" s="40"/>
      <c r="G809" s="42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2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W809" s="40"/>
      <c r="AX809" s="65"/>
      <c r="AY809" s="65"/>
      <c r="AZ809" s="16"/>
      <c r="BA809" s="16"/>
      <c r="BB809" s="65"/>
      <c r="BC809" s="16"/>
      <c r="BD809" s="16"/>
      <c r="BE809" s="16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17"/>
      <c r="BX809" s="9"/>
      <c r="BY809" s="40"/>
      <c r="BZ809" s="40"/>
      <c r="CA809" s="40"/>
      <c r="CB809" s="40"/>
      <c r="CC809" s="8"/>
    </row>
    <row r="810" ht="18.75" customHeight="1">
      <c r="A810" s="40"/>
      <c r="B810" s="17"/>
      <c r="D810" s="40"/>
      <c r="G810" s="42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2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W810" s="40"/>
      <c r="AX810" s="65"/>
      <c r="AY810" s="65"/>
      <c r="AZ810" s="16"/>
      <c r="BA810" s="16"/>
      <c r="BB810" s="65"/>
      <c r="BC810" s="16"/>
      <c r="BD810" s="16"/>
      <c r="BE810" s="16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17"/>
      <c r="BX810" s="9"/>
      <c r="BY810" s="40"/>
      <c r="BZ810" s="40"/>
      <c r="CA810" s="40"/>
      <c r="CB810" s="40"/>
      <c r="CC810" s="8"/>
    </row>
    <row r="811" ht="18.75" customHeight="1">
      <c r="A811" s="40"/>
      <c r="B811" s="17"/>
      <c r="D811" s="40"/>
      <c r="G811" s="42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2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W811" s="40"/>
      <c r="AX811" s="65"/>
      <c r="AY811" s="65"/>
      <c r="AZ811" s="16"/>
      <c r="BA811" s="16"/>
      <c r="BB811" s="65"/>
      <c r="BC811" s="16"/>
      <c r="BD811" s="16"/>
      <c r="BE811" s="16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17"/>
      <c r="BX811" s="9"/>
      <c r="BY811" s="40"/>
      <c r="BZ811" s="40"/>
      <c r="CA811" s="40"/>
      <c r="CB811" s="40"/>
      <c r="CC811" s="8"/>
    </row>
    <row r="812" ht="18.75" customHeight="1">
      <c r="A812" s="40"/>
      <c r="B812" s="17"/>
      <c r="D812" s="40"/>
      <c r="G812" s="42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2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W812" s="40"/>
      <c r="AX812" s="65"/>
      <c r="AY812" s="65"/>
      <c r="AZ812" s="16"/>
      <c r="BA812" s="16"/>
      <c r="BB812" s="65"/>
      <c r="BC812" s="16"/>
      <c r="BD812" s="16"/>
      <c r="BE812" s="16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17"/>
      <c r="BX812" s="9"/>
      <c r="BY812" s="40"/>
      <c r="BZ812" s="40"/>
      <c r="CA812" s="40"/>
      <c r="CB812" s="40"/>
      <c r="CC812" s="8"/>
    </row>
    <row r="813" ht="18.75" customHeight="1">
      <c r="A813" s="40"/>
      <c r="B813" s="17"/>
      <c r="D813" s="40"/>
      <c r="G813" s="42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2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  <c r="AD813" s="40"/>
      <c r="AE813" s="40"/>
      <c r="AF813" s="40"/>
      <c r="AG813" s="40"/>
      <c r="AH813" s="40"/>
      <c r="AI813" s="40"/>
      <c r="AJ813" s="40"/>
      <c r="AK813" s="40"/>
      <c r="AL813" s="40"/>
      <c r="AM813" s="40"/>
      <c r="AN813" s="40"/>
      <c r="AO813" s="40"/>
      <c r="AP813" s="40"/>
      <c r="AQ813" s="40"/>
      <c r="AR813" s="40"/>
      <c r="AW813" s="40"/>
      <c r="AX813" s="65"/>
      <c r="AY813" s="65"/>
      <c r="AZ813" s="16"/>
      <c r="BA813" s="16"/>
      <c r="BB813" s="65"/>
      <c r="BC813" s="16"/>
      <c r="BD813" s="16"/>
      <c r="BE813" s="16"/>
      <c r="BF813" s="40"/>
      <c r="BG813" s="40"/>
      <c r="BH813" s="40"/>
      <c r="BI813" s="40"/>
      <c r="BJ813" s="40"/>
      <c r="BK813" s="40"/>
      <c r="BL813" s="40"/>
      <c r="BM813" s="40"/>
      <c r="BN813" s="40"/>
      <c r="BO813" s="40"/>
      <c r="BP813" s="40"/>
      <c r="BQ813" s="40"/>
      <c r="BR813" s="40"/>
      <c r="BS813" s="40"/>
      <c r="BT813" s="40"/>
      <c r="BU813" s="40"/>
      <c r="BV813" s="40"/>
      <c r="BW813" s="17"/>
      <c r="BX813" s="9"/>
      <c r="BY813" s="40"/>
      <c r="BZ813" s="40"/>
      <c r="CA813" s="40"/>
      <c r="CB813" s="40"/>
      <c r="CC813" s="8"/>
    </row>
    <row r="814" ht="18.75" customHeight="1">
      <c r="A814" s="40"/>
      <c r="B814" s="17"/>
      <c r="D814" s="40"/>
      <c r="G814" s="42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2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  <c r="AD814" s="40"/>
      <c r="AE814" s="40"/>
      <c r="AF814" s="40"/>
      <c r="AG814" s="40"/>
      <c r="AH814" s="40"/>
      <c r="AI814" s="40"/>
      <c r="AJ814" s="40"/>
      <c r="AK814" s="40"/>
      <c r="AL814" s="40"/>
      <c r="AM814" s="40"/>
      <c r="AN814" s="40"/>
      <c r="AO814" s="40"/>
      <c r="AP814" s="40"/>
      <c r="AQ814" s="40"/>
      <c r="AR814" s="40"/>
      <c r="AW814" s="40"/>
      <c r="AX814" s="65"/>
      <c r="AY814" s="65"/>
      <c r="AZ814" s="16"/>
      <c r="BA814" s="16"/>
      <c r="BB814" s="65"/>
      <c r="BC814" s="16"/>
      <c r="BD814" s="16"/>
      <c r="BE814" s="16"/>
      <c r="BF814" s="40"/>
      <c r="BG814" s="40"/>
      <c r="BH814" s="40"/>
      <c r="BI814" s="40"/>
      <c r="BJ814" s="40"/>
      <c r="BK814" s="40"/>
      <c r="BL814" s="40"/>
      <c r="BM814" s="40"/>
      <c r="BN814" s="40"/>
      <c r="BO814" s="40"/>
      <c r="BP814" s="40"/>
      <c r="BQ814" s="40"/>
      <c r="BR814" s="40"/>
      <c r="BS814" s="40"/>
      <c r="BT814" s="40"/>
      <c r="BU814" s="40"/>
      <c r="BV814" s="40"/>
      <c r="BW814" s="17"/>
      <c r="BX814" s="9"/>
      <c r="BY814" s="40"/>
      <c r="BZ814" s="40"/>
      <c r="CA814" s="40"/>
      <c r="CB814" s="40"/>
      <c r="CC814" s="8"/>
    </row>
    <row r="815" ht="18.75" customHeight="1">
      <c r="A815" s="40"/>
      <c r="B815" s="17"/>
      <c r="D815" s="40"/>
      <c r="G815" s="42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2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  <c r="AD815" s="40"/>
      <c r="AE815" s="40"/>
      <c r="AF815" s="40"/>
      <c r="AG815" s="40"/>
      <c r="AH815" s="40"/>
      <c r="AI815" s="40"/>
      <c r="AJ815" s="40"/>
      <c r="AK815" s="40"/>
      <c r="AL815" s="40"/>
      <c r="AM815" s="40"/>
      <c r="AN815" s="40"/>
      <c r="AO815" s="40"/>
      <c r="AP815" s="40"/>
      <c r="AQ815" s="40"/>
      <c r="AR815" s="40"/>
      <c r="AW815" s="40"/>
      <c r="AX815" s="65"/>
      <c r="AY815" s="65"/>
      <c r="AZ815" s="16"/>
      <c r="BA815" s="16"/>
      <c r="BB815" s="65"/>
      <c r="BC815" s="16"/>
      <c r="BD815" s="16"/>
      <c r="BE815" s="16"/>
      <c r="BF815" s="40"/>
      <c r="BG815" s="40"/>
      <c r="BH815" s="40"/>
      <c r="BI815" s="40"/>
      <c r="BJ815" s="40"/>
      <c r="BK815" s="40"/>
      <c r="BL815" s="40"/>
      <c r="BM815" s="40"/>
      <c r="BN815" s="40"/>
      <c r="BO815" s="40"/>
      <c r="BP815" s="40"/>
      <c r="BQ815" s="40"/>
      <c r="BR815" s="40"/>
      <c r="BS815" s="40"/>
      <c r="BT815" s="40"/>
      <c r="BU815" s="40"/>
      <c r="BV815" s="40"/>
      <c r="BW815" s="17"/>
      <c r="BX815" s="9"/>
      <c r="BY815" s="40"/>
      <c r="BZ815" s="40"/>
      <c r="CA815" s="40"/>
      <c r="CB815" s="40"/>
      <c r="CC815" s="8"/>
    </row>
    <row r="816" ht="18.75" customHeight="1">
      <c r="A816" s="40"/>
      <c r="B816" s="17"/>
      <c r="D816" s="40"/>
      <c r="G816" s="42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2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  <c r="AD816" s="40"/>
      <c r="AE816" s="40"/>
      <c r="AF816" s="40"/>
      <c r="AG816" s="40"/>
      <c r="AH816" s="40"/>
      <c r="AI816" s="40"/>
      <c r="AJ816" s="40"/>
      <c r="AK816" s="40"/>
      <c r="AL816" s="40"/>
      <c r="AM816" s="40"/>
      <c r="AN816" s="40"/>
      <c r="AO816" s="40"/>
      <c r="AP816" s="40"/>
      <c r="AQ816" s="40"/>
      <c r="AR816" s="40"/>
      <c r="AW816" s="40"/>
      <c r="AX816" s="65"/>
      <c r="AY816" s="65"/>
      <c r="AZ816" s="16"/>
      <c r="BA816" s="16"/>
      <c r="BB816" s="65"/>
      <c r="BC816" s="16"/>
      <c r="BD816" s="16"/>
      <c r="BE816" s="16"/>
      <c r="BF816" s="40"/>
      <c r="BG816" s="40"/>
      <c r="BH816" s="40"/>
      <c r="BI816" s="40"/>
      <c r="BJ816" s="40"/>
      <c r="BK816" s="40"/>
      <c r="BL816" s="40"/>
      <c r="BM816" s="40"/>
      <c r="BN816" s="40"/>
      <c r="BO816" s="40"/>
      <c r="BP816" s="40"/>
      <c r="BQ816" s="40"/>
      <c r="BR816" s="40"/>
      <c r="BS816" s="40"/>
      <c r="BT816" s="40"/>
      <c r="BU816" s="40"/>
      <c r="BV816" s="40"/>
      <c r="BW816" s="17"/>
      <c r="BX816" s="9"/>
      <c r="BY816" s="40"/>
      <c r="BZ816" s="40"/>
      <c r="CA816" s="40"/>
      <c r="CB816" s="40"/>
      <c r="CC816" s="8"/>
    </row>
    <row r="817" ht="18.75" customHeight="1">
      <c r="A817" s="40"/>
      <c r="B817" s="17"/>
      <c r="D817" s="40"/>
      <c r="G817" s="42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2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  <c r="AD817" s="40"/>
      <c r="AE817" s="40"/>
      <c r="AF817" s="40"/>
      <c r="AG817" s="40"/>
      <c r="AH817" s="40"/>
      <c r="AI817" s="40"/>
      <c r="AJ817" s="40"/>
      <c r="AK817" s="40"/>
      <c r="AL817" s="40"/>
      <c r="AM817" s="40"/>
      <c r="AN817" s="40"/>
      <c r="AO817" s="40"/>
      <c r="AP817" s="40"/>
      <c r="AQ817" s="40"/>
      <c r="AR817" s="40"/>
      <c r="AW817" s="40"/>
      <c r="AX817" s="65"/>
      <c r="AY817" s="65"/>
      <c r="AZ817" s="16"/>
      <c r="BA817" s="16"/>
      <c r="BB817" s="65"/>
      <c r="BC817" s="16"/>
      <c r="BD817" s="16"/>
      <c r="BE817" s="16"/>
      <c r="BF817" s="40"/>
      <c r="BG817" s="40"/>
      <c r="BH817" s="40"/>
      <c r="BI817" s="40"/>
      <c r="BJ817" s="40"/>
      <c r="BK817" s="40"/>
      <c r="BL817" s="40"/>
      <c r="BM817" s="40"/>
      <c r="BN817" s="40"/>
      <c r="BO817" s="40"/>
      <c r="BP817" s="40"/>
      <c r="BQ817" s="40"/>
      <c r="BR817" s="40"/>
      <c r="BS817" s="40"/>
      <c r="BT817" s="40"/>
      <c r="BU817" s="40"/>
      <c r="BV817" s="40"/>
      <c r="BW817" s="17"/>
      <c r="BX817" s="9"/>
      <c r="BY817" s="40"/>
      <c r="BZ817" s="40"/>
      <c r="CA817" s="40"/>
      <c r="CB817" s="40"/>
      <c r="CC817" s="8"/>
    </row>
    <row r="818" ht="18.75" customHeight="1">
      <c r="A818" s="40"/>
      <c r="B818" s="17"/>
      <c r="D818" s="40"/>
      <c r="G818" s="42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2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  <c r="AD818" s="40"/>
      <c r="AE818" s="40"/>
      <c r="AF818" s="40"/>
      <c r="AG818" s="40"/>
      <c r="AH818" s="40"/>
      <c r="AI818" s="40"/>
      <c r="AJ818" s="40"/>
      <c r="AK818" s="40"/>
      <c r="AL818" s="40"/>
      <c r="AM818" s="40"/>
      <c r="AN818" s="40"/>
      <c r="AO818" s="40"/>
      <c r="AP818" s="40"/>
      <c r="AQ818" s="40"/>
      <c r="AR818" s="40"/>
      <c r="AW818" s="40"/>
      <c r="AX818" s="65"/>
      <c r="AY818" s="65"/>
      <c r="AZ818" s="16"/>
      <c r="BA818" s="16"/>
      <c r="BB818" s="65"/>
      <c r="BC818" s="16"/>
      <c r="BD818" s="16"/>
      <c r="BE818" s="16"/>
      <c r="BF818" s="40"/>
      <c r="BG818" s="40"/>
      <c r="BH818" s="40"/>
      <c r="BI818" s="40"/>
      <c r="BJ818" s="40"/>
      <c r="BK818" s="40"/>
      <c r="BL818" s="40"/>
      <c r="BM818" s="40"/>
      <c r="BN818" s="40"/>
      <c r="BO818" s="40"/>
      <c r="BP818" s="40"/>
      <c r="BQ818" s="40"/>
      <c r="BR818" s="40"/>
      <c r="BS818" s="40"/>
      <c r="BT818" s="40"/>
      <c r="BU818" s="40"/>
      <c r="BV818" s="40"/>
      <c r="BW818" s="17"/>
      <c r="BX818" s="9"/>
      <c r="BY818" s="40"/>
      <c r="BZ818" s="40"/>
      <c r="CA818" s="40"/>
      <c r="CB818" s="40"/>
      <c r="CC818" s="8"/>
    </row>
    <row r="819" ht="18.75" customHeight="1">
      <c r="A819" s="40"/>
      <c r="B819" s="17"/>
      <c r="D819" s="40"/>
      <c r="G819" s="42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2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  <c r="AD819" s="40"/>
      <c r="AE819" s="40"/>
      <c r="AF819" s="40"/>
      <c r="AG819" s="40"/>
      <c r="AH819" s="40"/>
      <c r="AI819" s="40"/>
      <c r="AJ819" s="40"/>
      <c r="AK819" s="40"/>
      <c r="AL819" s="40"/>
      <c r="AM819" s="40"/>
      <c r="AN819" s="40"/>
      <c r="AO819" s="40"/>
      <c r="AP819" s="40"/>
      <c r="AQ819" s="40"/>
      <c r="AR819" s="40"/>
      <c r="AW819" s="40"/>
      <c r="AX819" s="65"/>
      <c r="AY819" s="65"/>
      <c r="AZ819" s="16"/>
      <c r="BA819" s="16"/>
      <c r="BB819" s="65"/>
      <c r="BC819" s="16"/>
      <c r="BD819" s="16"/>
      <c r="BE819" s="16"/>
      <c r="BF819" s="40"/>
      <c r="BG819" s="40"/>
      <c r="BH819" s="40"/>
      <c r="BI819" s="40"/>
      <c r="BJ819" s="40"/>
      <c r="BK819" s="40"/>
      <c r="BL819" s="40"/>
      <c r="BM819" s="40"/>
      <c r="BN819" s="40"/>
      <c r="BO819" s="40"/>
      <c r="BP819" s="40"/>
      <c r="BQ819" s="40"/>
      <c r="BR819" s="40"/>
      <c r="BS819" s="40"/>
      <c r="BT819" s="40"/>
      <c r="BU819" s="40"/>
      <c r="BV819" s="40"/>
      <c r="BW819" s="17"/>
      <c r="BX819" s="9"/>
      <c r="BY819" s="40"/>
      <c r="BZ819" s="40"/>
      <c r="CA819" s="40"/>
      <c r="CB819" s="40"/>
      <c r="CC819" s="8"/>
    </row>
    <row r="820" ht="18.75" customHeight="1">
      <c r="A820" s="40"/>
      <c r="B820" s="17"/>
      <c r="D820" s="40"/>
      <c r="G820" s="42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2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  <c r="AD820" s="40"/>
      <c r="AE820" s="40"/>
      <c r="AF820" s="40"/>
      <c r="AG820" s="40"/>
      <c r="AH820" s="40"/>
      <c r="AI820" s="40"/>
      <c r="AJ820" s="40"/>
      <c r="AK820" s="40"/>
      <c r="AL820" s="40"/>
      <c r="AM820" s="40"/>
      <c r="AN820" s="40"/>
      <c r="AO820" s="40"/>
      <c r="AP820" s="40"/>
      <c r="AQ820" s="40"/>
      <c r="AR820" s="40"/>
      <c r="AW820" s="40"/>
      <c r="AX820" s="65"/>
      <c r="AY820" s="65"/>
      <c r="AZ820" s="16"/>
      <c r="BA820" s="16"/>
      <c r="BB820" s="65"/>
      <c r="BC820" s="16"/>
      <c r="BD820" s="16"/>
      <c r="BE820" s="16"/>
      <c r="BF820" s="40"/>
      <c r="BG820" s="40"/>
      <c r="BH820" s="40"/>
      <c r="BI820" s="40"/>
      <c r="BJ820" s="40"/>
      <c r="BK820" s="40"/>
      <c r="BL820" s="40"/>
      <c r="BM820" s="40"/>
      <c r="BN820" s="40"/>
      <c r="BO820" s="40"/>
      <c r="BP820" s="40"/>
      <c r="BQ820" s="40"/>
      <c r="BR820" s="40"/>
      <c r="BS820" s="40"/>
      <c r="BT820" s="40"/>
      <c r="BU820" s="40"/>
      <c r="BV820" s="40"/>
      <c r="BW820" s="17"/>
      <c r="BX820" s="9"/>
      <c r="BY820" s="40"/>
      <c r="BZ820" s="40"/>
      <c r="CA820" s="40"/>
      <c r="CB820" s="40"/>
      <c r="CC820" s="8"/>
    </row>
    <row r="821" ht="18.75" customHeight="1">
      <c r="A821" s="40"/>
      <c r="B821" s="17"/>
      <c r="D821" s="40"/>
      <c r="G821" s="42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2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  <c r="AD821" s="40"/>
      <c r="AE821" s="40"/>
      <c r="AF821" s="40"/>
      <c r="AG821" s="40"/>
      <c r="AH821" s="40"/>
      <c r="AI821" s="40"/>
      <c r="AJ821" s="40"/>
      <c r="AK821" s="40"/>
      <c r="AL821" s="40"/>
      <c r="AM821" s="40"/>
      <c r="AN821" s="40"/>
      <c r="AO821" s="40"/>
      <c r="AP821" s="40"/>
      <c r="AQ821" s="40"/>
      <c r="AR821" s="40"/>
      <c r="AW821" s="40"/>
      <c r="AX821" s="65"/>
      <c r="AY821" s="65"/>
      <c r="AZ821" s="16"/>
      <c r="BA821" s="16"/>
      <c r="BB821" s="65"/>
      <c r="BC821" s="16"/>
      <c r="BD821" s="16"/>
      <c r="BE821" s="16"/>
      <c r="BF821" s="40"/>
      <c r="BG821" s="40"/>
      <c r="BH821" s="40"/>
      <c r="BI821" s="40"/>
      <c r="BJ821" s="40"/>
      <c r="BK821" s="40"/>
      <c r="BL821" s="40"/>
      <c r="BM821" s="40"/>
      <c r="BN821" s="40"/>
      <c r="BO821" s="40"/>
      <c r="BP821" s="40"/>
      <c r="BQ821" s="40"/>
      <c r="BR821" s="40"/>
      <c r="BS821" s="40"/>
      <c r="BT821" s="40"/>
      <c r="BU821" s="40"/>
      <c r="BV821" s="40"/>
      <c r="BW821" s="17"/>
      <c r="BX821" s="9"/>
      <c r="BY821" s="40"/>
      <c r="BZ821" s="40"/>
      <c r="CA821" s="40"/>
      <c r="CB821" s="40"/>
      <c r="CC821" s="8"/>
    </row>
    <row r="822" ht="18.75" customHeight="1">
      <c r="A822" s="40"/>
      <c r="B822" s="17"/>
      <c r="D822" s="40"/>
      <c r="G822" s="42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2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  <c r="AD822" s="40"/>
      <c r="AE822" s="40"/>
      <c r="AF822" s="40"/>
      <c r="AG822" s="40"/>
      <c r="AH822" s="40"/>
      <c r="AI822" s="40"/>
      <c r="AJ822" s="40"/>
      <c r="AK822" s="40"/>
      <c r="AL822" s="40"/>
      <c r="AM822" s="40"/>
      <c r="AN822" s="40"/>
      <c r="AO822" s="40"/>
      <c r="AP822" s="40"/>
      <c r="AQ822" s="40"/>
      <c r="AR822" s="40"/>
      <c r="AW822" s="40"/>
      <c r="AX822" s="65"/>
      <c r="AY822" s="65"/>
      <c r="AZ822" s="16"/>
      <c r="BA822" s="16"/>
      <c r="BB822" s="65"/>
      <c r="BC822" s="16"/>
      <c r="BD822" s="16"/>
      <c r="BE822" s="16"/>
      <c r="BF822" s="40"/>
      <c r="BG822" s="40"/>
      <c r="BH822" s="40"/>
      <c r="BI822" s="40"/>
      <c r="BJ822" s="40"/>
      <c r="BK822" s="40"/>
      <c r="BL822" s="40"/>
      <c r="BM822" s="40"/>
      <c r="BN822" s="40"/>
      <c r="BO822" s="40"/>
      <c r="BP822" s="40"/>
      <c r="BQ822" s="40"/>
      <c r="BR822" s="40"/>
      <c r="BS822" s="40"/>
      <c r="BT822" s="40"/>
      <c r="BU822" s="40"/>
      <c r="BV822" s="40"/>
      <c r="BW822" s="17"/>
      <c r="BX822" s="9"/>
      <c r="BY822" s="40"/>
      <c r="BZ822" s="40"/>
      <c r="CA822" s="40"/>
      <c r="CB822" s="40"/>
      <c r="CC822" s="8"/>
    </row>
    <row r="823" ht="18.75" customHeight="1">
      <c r="A823" s="40"/>
      <c r="B823" s="17"/>
      <c r="D823" s="40"/>
      <c r="G823" s="42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2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  <c r="AD823" s="40"/>
      <c r="AE823" s="40"/>
      <c r="AF823" s="40"/>
      <c r="AG823" s="40"/>
      <c r="AH823" s="40"/>
      <c r="AI823" s="40"/>
      <c r="AJ823" s="40"/>
      <c r="AK823" s="40"/>
      <c r="AL823" s="40"/>
      <c r="AM823" s="40"/>
      <c r="AN823" s="40"/>
      <c r="AO823" s="40"/>
      <c r="AP823" s="40"/>
      <c r="AQ823" s="40"/>
      <c r="AR823" s="40"/>
      <c r="AW823" s="40"/>
      <c r="AX823" s="65"/>
      <c r="AY823" s="65"/>
      <c r="AZ823" s="16"/>
      <c r="BA823" s="16"/>
      <c r="BB823" s="65"/>
      <c r="BC823" s="16"/>
      <c r="BD823" s="16"/>
      <c r="BE823" s="16"/>
      <c r="BF823" s="40"/>
      <c r="BG823" s="40"/>
      <c r="BH823" s="40"/>
      <c r="BI823" s="40"/>
      <c r="BJ823" s="40"/>
      <c r="BK823" s="40"/>
      <c r="BL823" s="40"/>
      <c r="BM823" s="40"/>
      <c r="BN823" s="40"/>
      <c r="BO823" s="40"/>
      <c r="BP823" s="40"/>
      <c r="BQ823" s="40"/>
      <c r="BR823" s="40"/>
      <c r="BS823" s="40"/>
      <c r="BT823" s="40"/>
      <c r="BU823" s="40"/>
      <c r="BV823" s="40"/>
      <c r="BW823" s="17"/>
      <c r="BX823" s="9"/>
      <c r="BY823" s="40"/>
      <c r="BZ823" s="40"/>
      <c r="CA823" s="40"/>
      <c r="CB823" s="40"/>
      <c r="CC823" s="8"/>
    </row>
    <row r="824" ht="18.75" customHeight="1">
      <c r="A824" s="40"/>
      <c r="B824" s="17"/>
      <c r="D824" s="40"/>
      <c r="G824" s="42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2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  <c r="AD824" s="40"/>
      <c r="AE824" s="40"/>
      <c r="AF824" s="40"/>
      <c r="AG824" s="40"/>
      <c r="AH824" s="40"/>
      <c r="AI824" s="40"/>
      <c r="AJ824" s="40"/>
      <c r="AK824" s="40"/>
      <c r="AL824" s="40"/>
      <c r="AM824" s="40"/>
      <c r="AN824" s="40"/>
      <c r="AO824" s="40"/>
      <c r="AP824" s="40"/>
      <c r="AQ824" s="40"/>
      <c r="AR824" s="40"/>
      <c r="AW824" s="40"/>
      <c r="AX824" s="65"/>
      <c r="AY824" s="65"/>
      <c r="AZ824" s="16"/>
      <c r="BA824" s="16"/>
      <c r="BB824" s="65"/>
      <c r="BC824" s="16"/>
      <c r="BD824" s="16"/>
      <c r="BE824" s="16"/>
      <c r="BF824" s="40"/>
      <c r="BG824" s="40"/>
      <c r="BH824" s="40"/>
      <c r="BI824" s="40"/>
      <c r="BJ824" s="40"/>
      <c r="BK824" s="40"/>
      <c r="BL824" s="40"/>
      <c r="BM824" s="40"/>
      <c r="BN824" s="40"/>
      <c r="BO824" s="40"/>
      <c r="BP824" s="40"/>
      <c r="BQ824" s="40"/>
      <c r="BR824" s="40"/>
      <c r="BS824" s="40"/>
      <c r="BT824" s="40"/>
      <c r="BU824" s="40"/>
      <c r="BV824" s="40"/>
      <c r="BW824" s="17"/>
      <c r="BX824" s="9"/>
      <c r="BY824" s="40"/>
      <c r="BZ824" s="40"/>
      <c r="CA824" s="40"/>
      <c r="CB824" s="40"/>
      <c r="CC824" s="8"/>
    </row>
    <row r="825" ht="18.75" customHeight="1">
      <c r="A825" s="40"/>
      <c r="B825" s="17"/>
      <c r="D825" s="40"/>
      <c r="G825" s="42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2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  <c r="AD825" s="40"/>
      <c r="AE825" s="40"/>
      <c r="AF825" s="40"/>
      <c r="AG825" s="40"/>
      <c r="AH825" s="40"/>
      <c r="AI825" s="40"/>
      <c r="AJ825" s="40"/>
      <c r="AK825" s="40"/>
      <c r="AL825" s="40"/>
      <c r="AM825" s="40"/>
      <c r="AN825" s="40"/>
      <c r="AO825" s="40"/>
      <c r="AP825" s="40"/>
      <c r="AQ825" s="40"/>
      <c r="AR825" s="40"/>
      <c r="AW825" s="40"/>
      <c r="AX825" s="65"/>
      <c r="AY825" s="65"/>
      <c r="AZ825" s="16"/>
      <c r="BA825" s="16"/>
      <c r="BB825" s="65"/>
      <c r="BC825" s="16"/>
      <c r="BD825" s="16"/>
      <c r="BE825" s="16"/>
      <c r="BF825" s="40"/>
      <c r="BG825" s="40"/>
      <c r="BH825" s="40"/>
      <c r="BI825" s="40"/>
      <c r="BJ825" s="40"/>
      <c r="BK825" s="40"/>
      <c r="BL825" s="40"/>
      <c r="BM825" s="40"/>
      <c r="BN825" s="40"/>
      <c r="BO825" s="40"/>
      <c r="BP825" s="40"/>
      <c r="BQ825" s="40"/>
      <c r="BR825" s="40"/>
      <c r="BS825" s="40"/>
      <c r="BT825" s="40"/>
      <c r="BU825" s="40"/>
      <c r="BV825" s="40"/>
      <c r="BW825" s="17"/>
      <c r="BX825" s="9"/>
      <c r="BY825" s="40"/>
      <c r="BZ825" s="40"/>
      <c r="CA825" s="40"/>
      <c r="CB825" s="40"/>
      <c r="CC825" s="8"/>
    </row>
    <row r="826" ht="18.75" customHeight="1">
      <c r="A826" s="40"/>
      <c r="B826" s="17"/>
      <c r="D826" s="40"/>
      <c r="G826" s="42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2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  <c r="AD826" s="40"/>
      <c r="AE826" s="40"/>
      <c r="AF826" s="40"/>
      <c r="AG826" s="40"/>
      <c r="AH826" s="40"/>
      <c r="AI826" s="40"/>
      <c r="AJ826" s="40"/>
      <c r="AK826" s="40"/>
      <c r="AL826" s="40"/>
      <c r="AM826" s="40"/>
      <c r="AN826" s="40"/>
      <c r="AO826" s="40"/>
      <c r="AP826" s="40"/>
      <c r="AQ826" s="40"/>
      <c r="AR826" s="40"/>
      <c r="AW826" s="40"/>
      <c r="AX826" s="65"/>
      <c r="AY826" s="65"/>
      <c r="AZ826" s="16"/>
      <c r="BA826" s="16"/>
      <c r="BB826" s="65"/>
      <c r="BC826" s="16"/>
      <c r="BD826" s="16"/>
      <c r="BE826" s="16"/>
      <c r="BF826" s="40"/>
      <c r="BG826" s="40"/>
      <c r="BH826" s="40"/>
      <c r="BI826" s="40"/>
      <c r="BJ826" s="40"/>
      <c r="BK826" s="40"/>
      <c r="BL826" s="40"/>
      <c r="BM826" s="40"/>
      <c r="BN826" s="40"/>
      <c r="BO826" s="40"/>
      <c r="BP826" s="40"/>
      <c r="BQ826" s="40"/>
      <c r="BR826" s="40"/>
      <c r="BS826" s="40"/>
      <c r="BT826" s="40"/>
      <c r="BU826" s="40"/>
      <c r="BV826" s="40"/>
      <c r="BW826" s="17"/>
      <c r="BX826" s="9"/>
      <c r="BY826" s="40"/>
      <c r="BZ826" s="40"/>
      <c r="CA826" s="40"/>
      <c r="CB826" s="40"/>
      <c r="CC826" s="8"/>
    </row>
    <row r="827" ht="18.75" customHeight="1">
      <c r="A827" s="40"/>
      <c r="B827" s="17"/>
      <c r="D827" s="40"/>
      <c r="G827" s="42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2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  <c r="AD827" s="40"/>
      <c r="AE827" s="40"/>
      <c r="AF827" s="40"/>
      <c r="AG827" s="40"/>
      <c r="AH827" s="40"/>
      <c r="AI827" s="40"/>
      <c r="AJ827" s="40"/>
      <c r="AK827" s="40"/>
      <c r="AL827" s="40"/>
      <c r="AM827" s="40"/>
      <c r="AN827" s="40"/>
      <c r="AO827" s="40"/>
      <c r="AP827" s="40"/>
      <c r="AQ827" s="40"/>
      <c r="AR827" s="40"/>
      <c r="AW827" s="40"/>
      <c r="AX827" s="65"/>
      <c r="AY827" s="65"/>
      <c r="AZ827" s="16"/>
      <c r="BA827" s="16"/>
      <c r="BB827" s="65"/>
      <c r="BC827" s="16"/>
      <c r="BD827" s="16"/>
      <c r="BE827" s="16"/>
      <c r="BF827" s="40"/>
      <c r="BG827" s="40"/>
      <c r="BH827" s="40"/>
      <c r="BI827" s="40"/>
      <c r="BJ827" s="40"/>
      <c r="BK827" s="40"/>
      <c r="BL827" s="40"/>
      <c r="BM827" s="40"/>
      <c r="BN827" s="40"/>
      <c r="BO827" s="40"/>
      <c r="BP827" s="40"/>
      <c r="BQ827" s="40"/>
      <c r="BR827" s="40"/>
      <c r="BS827" s="40"/>
      <c r="BT827" s="40"/>
      <c r="BU827" s="40"/>
      <c r="BV827" s="40"/>
      <c r="BW827" s="17"/>
      <c r="BX827" s="9"/>
      <c r="BY827" s="40"/>
      <c r="BZ827" s="40"/>
      <c r="CA827" s="40"/>
      <c r="CB827" s="40"/>
      <c r="CC827" s="8"/>
    </row>
    <row r="828" ht="18.75" customHeight="1">
      <c r="A828" s="40"/>
      <c r="B828" s="17"/>
      <c r="D828" s="40"/>
      <c r="G828" s="42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2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  <c r="AD828" s="40"/>
      <c r="AE828" s="40"/>
      <c r="AF828" s="40"/>
      <c r="AG828" s="40"/>
      <c r="AH828" s="40"/>
      <c r="AI828" s="40"/>
      <c r="AJ828" s="40"/>
      <c r="AK828" s="40"/>
      <c r="AL828" s="40"/>
      <c r="AM828" s="40"/>
      <c r="AN828" s="40"/>
      <c r="AO828" s="40"/>
      <c r="AP828" s="40"/>
      <c r="AQ828" s="40"/>
      <c r="AR828" s="40"/>
      <c r="AW828" s="40"/>
      <c r="AX828" s="65"/>
      <c r="AY828" s="65"/>
      <c r="AZ828" s="16"/>
      <c r="BA828" s="16"/>
      <c r="BB828" s="65"/>
      <c r="BC828" s="16"/>
      <c r="BD828" s="16"/>
      <c r="BE828" s="16"/>
      <c r="BF828" s="40"/>
      <c r="BG828" s="40"/>
      <c r="BH828" s="40"/>
      <c r="BI828" s="40"/>
      <c r="BJ828" s="40"/>
      <c r="BK828" s="40"/>
      <c r="BL828" s="40"/>
      <c r="BM828" s="40"/>
      <c r="BN828" s="40"/>
      <c r="BO828" s="40"/>
      <c r="BP828" s="40"/>
      <c r="BQ828" s="40"/>
      <c r="BR828" s="40"/>
      <c r="BS828" s="40"/>
      <c r="BT828" s="40"/>
      <c r="BU828" s="40"/>
      <c r="BV828" s="40"/>
      <c r="BW828" s="17"/>
      <c r="BX828" s="9"/>
      <c r="BY828" s="40"/>
      <c r="BZ828" s="40"/>
      <c r="CA828" s="40"/>
      <c r="CB828" s="40"/>
      <c r="CC828" s="8"/>
    </row>
    <row r="829" ht="18.75" customHeight="1">
      <c r="A829" s="40"/>
      <c r="B829" s="17"/>
      <c r="D829" s="40"/>
      <c r="G829" s="42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2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  <c r="AD829" s="40"/>
      <c r="AE829" s="40"/>
      <c r="AF829" s="40"/>
      <c r="AG829" s="40"/>
      <c r="AH829" s="40"/>
      <c r="AI829" s="40"/>
      <c r="AJ829" s="40"/>
      <c r="AK829" s="40"/>
      <c r="AL829" s="40"/>
      <c r="AM829" s="40"/>
      <c r="AN829" s="40"/>
      <c r="AO829" s="40"/>
      <c r="AP829" s="40"/>
      <c r="AQ829" s="40"/>
      <c r="AR829" s="40"/>
      <c r="AW829" s="40"/>
      <c r="AX829" s="65"/>
      <c r="AY829" s="65"/>
      <c r="AZ829" s="16"/>
      <c r="BA829" s="16"/>
      <c r="BB829" s="65"/>
      <c r="BC829" s="16"/>
      <c r="BD829" s="16"/>
      <c r="BE829" s="16"/>
      <c r="BF829" s="40"/>
      <c r="BG829" s="40"/>
      <c r="BH829" s="40"/>
      <c r="BI829" s="40"/>
      <c r="BJ829" s="40"/>
      <c r="BK829" s="40"/>
      <c r="BL829" s="40"/>
      <c r="BM829" s="40"/>
      <c r="BN829" s="40"/>
      <c r="BO829" s="40"/>
      <c r="BP829" s="40"/>
      <c r="BQ829" s="40"/>
      <c r="BR829" s="40"/>
      <c r="BS829" s="40"/>
      <c r="BT829" s="40"/>
      <c r="BU829" s="40"/>
      <c r="BV829" s="40"/>
      <c r="BW829" s="17"/>
      <c r="BX829" s="9"/>
      <c r="BY829" s="40"/>
      <c r="BZ829" s="40"/>
      <c r="CA829" s="40"/>
      <c r="CB829" s="40"/>
      <c r="CC829" s="8"/>
    </row>
    <row r="830" ht="18.75" customHeight="1">
      <c r="A830" s="40"/>
      <c r="B830" s="17"/>
      <c r="D830" s="40"/>
      <c r="G830" s="42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2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  <c r="AD830" s="40"/>
      <c r="AE830" s="40"/>
      <c r="AF830" s="40"/>
      <c r="AG830" s="40"/>
      <c r="AH830" s="40"/>
      <c r="AI830" s="40"/>
      <c r="AJ830" s="40"/>
      <c r="AK830" s="40"/>
      <c r="AL830" s="40"/>
      <c r="AM830" s="40"/>
      <c r="AN830" s="40"/>
      <c r="AO830" s="40"/>
      <c r="AP830" s="40"/>
      <c r="AQ830" s="40"/>
      <c r="AR830" s="40"/>
      <c r="AW830" s="40"/>
      <c r="AX830" s="65"/>
      <c r="AY830" s="65"/>
      <c r="AZ830" s="16"/>
      <c r="BA830" s="16"/>
      <c r="BB830" s="65"/>
      <c r="BC830" s="16"/>
      <c r="BD830" s="16"/>
      <c r="BE830" s="16"/>
      <c r="BF830" s="40"/>
      <c r="BG830" s="40"/>
      <c r="BH830" s="40"/>
      <c r="BI830" s="40"/>
      <c r="BJ830" s="40"/>
      <c r="BK830" s="40"/>
      <c r="BL830" s="40"/>
      <c r="BM830" s="40"/>
      <c r="BN830" s="40"/>
      <c r="BO830" s="40"/>
      <c r="BP830" s="40"/>
      <c r="BQ830" s="40"/>
      <c r="BR830" s="40"/>
      <c r="BS830" s="40"/>
      <c r="BT830" s="40"/>
      <c r="BU830" s="40"/>
      <c r="BV830" s="40"/>
      <c r="BW830" s="17"/>
      <c r="BX830" s="9"/>
      <c r="BY830" s="40"/>
      <c r="BZ830" s="40"/>
      <c r="CA830" s="40"/>
      <c r="CB830" s="40"/>
      <c r="CC830" s="8"/>
    </row>
    <row r="831" ht="18.75" customHeight="1">
      <c r="A831" s="40"/>
      <c r="B831" s="17"/>
      <c r="D831" s="40"/>
      <c r="G831" s="42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2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  <c r="AD831" s="40"/>
      <c r="AE831" s="40"/>
      <c r="AF831" s="40"/>
      <c r="AG831" s="40"/>
      <c r="AH831" s="40"/>
      <c r="AI831" s="40"/>
      <c r="AJ831" s="40"/>
      <c r="AK831" s="40"/>
      <c r="AL831" s="40"/>
      <c r="AM831" s="40"/>
      <c r="AN831" s="40"/>
      <c r="AO831" s="40"/>
      <c r="AP831" s="40"/>
      <c r="AQ831" s="40"/>
      <c r="AR831" s="40"/>
      <c r="AW831" s="40"/>
      <c r="AX831" s="65"/>
      <c r="AY831" s="65"/>
      <c r="AZ831" s="16"/>
      <c r="BA831" s="16"/>
      <c r="BB831" s="65"/>
      <c r="BC831" s="16"/>
      <c r="BD831" s="16"/>
      <c r="BE831" s="16"/>
      <c r="BF831" s="40"/>
      <c r="BG831" s="40"/>
      <c r="BH831" s="40"/>
      <c r="BI831" s="40"/>
      <c r="BJ831" s="40"/>
      <c r="BK831" s="40"/>
      <c r="BL831" s="40"/>
      <c r="BM831" s="40"/>
      <c r="BN831" s="40"/>
      <c r="BO831" s="40"/>
      <c r="BP831" s="40"/>
      <c r="BQ831" s="40"/>
      <c r="BR831" s="40"/>
      <c r="BS831" s="40"/>
      <c r="BT831" s="40"/>
      <c r="BU831" s="40"/>
      <c r="BV831" s="40"/>
      <c r="BW831" s="17"/>
      <c r="BX831" s="9"/>
      <c r="BY831" s="40"/>
      <c r="BZ831" s="40"/>
      <c r="CA831" s="40"/>
      <c r="CB831" s="40"/>
      <c r="CC831" s="8"/>
    </row>
    <row r="832" ht="18.75" customHeight="1">
      <c r="A832" s="40"/>
      <c r="B832" s="17"/>
      <c r="D832" s="40"/>
      <c r="G832" s="42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2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  <c r="AD832" s="40"/>
      <c r="AE832" s="40"/>
      <c r="AF832" s="40"/>
      <c r="AG832" s="40"/>
      <c r="AH832" s="40"/>
      <c r="AI832" s="40"/>
      <c r="AJ832" s="40"/>
      <c r="AK832" s="40"/>
      <c r="AL832" s="40"/>
      <c r="AM832" s="40"/>
      <c r="AN832" s="40"/>
      <c r="AO832" s="40"/>
      <c r="AP832" s="40"/>
      <c r="AQ832" s="40"/>
      <c r="AR832" s="40"/>
      <c r="AW832" s="40"/>
      <c r="AX832" s="65"/>
      <c r="AY832" s="65"/>
      <c r="AZ832" s="16"/>
      <c r="BA832" s="16"/>
      <c r="BB832" s="65"/>
      <c r="BC832" s="16"/>
      <c r="BD832" s="16"/>
      <c r="BE832" s="16"/>
      <c r="BF832" s="40"/>
      <c r="BG832" s="40"/>
      <c r="BH832" s="40"/>
      <c r="BI832" s="40"/>
      <c r="BJ832" s="40"/>
      <c r="BK832" s="40"/>
      <c r="BL832" s="40"/>
      <c r="BM832" s="40"/>
      <c r="BN832" s="40"/>
      <c r="BO832" s="40"/>
      <c r="BP832" s="40"/>
      <c r="BQ832" s="40"/>
      <c r="BR832" s="40"/>
      <c r="BS832" s="40"/>
      <c r="BT832" s="40"/>
      <c r="BU832" s="40"/>
      <c r="BV832" s="40"/>
      <c r="BW832" s="17"/>
      <c r="BX832" s="9"/>
      <c r="BY832" s="40"/>
      <c r="BZ832" s="40"/>
      <c r="CA832" s="40"/>
      <c r="CB832" s="40"/>
      <c r="CC832" s="8"/>
    </row>
    <row r="833" ht="18.75" customHeight="1">
      <c r="A833" s="40"/>
      <c r="B833" s="17"/>
      <c r="D833" s="40"/>
      <c r="G833" s="42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2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  <c r="AD833" s="40"/>
      <c r="AE833" s="40"/>
      <c r="AF833" s="40"/>
      <c r="AG833" s="40"/>
      <c r="AH833" s="40"/>
      <c r="AI833" s="40"/>
      <c r="AJ833" s="40"/>
      <c r="AK833" s="40"/>
      <c r="AL833" s="40"/>
      <c r="AM833" s="40"/>
      <c r="AN833" s="40"/>
      <c r="AO833" s="40"/>
      <c r="AP833" s="40"/>
      <c r="AQ833" s="40"/>
      <c r="AR833" s="40"/>
      <c r="AW833" s="40"/>
      <c r="AX833" s="65"/>
      <c r="AY833" s="65"/>
      <c r="AZ833" s="16"/>
      <c r="BA833" s="16"/>
      <c r="BB833" s="65"/>
      <c r="BC833" s="16"/>
      <c r="BD833" s="16"/>
      <c r="BE833" s="16"/>
      <c r="BF833" s="40"/>
      <c r="BG833" s="40"/>
      <c r="BH833" s="40"/>
      <c r="BI833" s="40"/>
      <c r="BJ833" s="40"/>
      <c r="BK833" s="40"/>
      <c r="BL833" s="40"/>
      <c r="BM833" s="40"/>
      <c r="BN833" s="40"/>
      <c r="BO833" s="40"/>
      <c r="BP833" s="40"/>
      <c r="BQ833" s="40"/>
      <c r="BR833" s="40"/>
      <c r="BS833" s="40"/>
      <c r="BT833" s="40"/>
      <c r="BU833" s="40"/>
      <c r="BV833" s="40"/>
      <c r="BW833" s="17"/>
      <c r="BX833" s="9"/>
      <c r="BY833" s="40"/>
      <c r="BZ833" s="40"/>
      <c r="CA833" s="40"/>
      <c r="CB833" s="40"/>
      <c r="CC833" s="8"/>
    </row>
    <row r="834" ht="18.75" customHeight="1">
      <c r="A834" s="40"/>
      <c r="B834" s="17"/>
      <c r="D834" s="40"/>
      <c r="G834" s="42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2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  <c r="AD834" s="40"/>
      <c r="AE834" s="40"/>
      <c r="AF834" s="40"/>
      <c r="AG834" s="40"/>
      <c r="AH834" s="40"/>
      <c r="AI834" s="40"/>
      <c r="AJ834" s="40"/>
      <c r="AK834" s="40"/>
      <c r="AL834" s="40"/>
      <c r="AM834" s="40"/>
      <c r="AN834" s="40"/>
      <c r="AO834" s="40"/>
      <c r="AP834" s="40"/>
      <c r="AQ834" s="40"/>
      <c r="AR834" s="40"/>
      <c r="AW834" s="40"/>
      <c r="AX834" s="65"/>
      <c r="AY834" s="65"/>
      <c r="AZ834" s="16"/>
      <c r="BA834" s="16"/>
      <c r="BB834" s="65"/>
      <c r="BC834" s="16"/>
      <c r="BD834" s="16"/>
      <c r="BE834" s="16"/>
      <c r="BF834" s="40"/>
      <c r="BG834" s="40"/>
      <c r="BH834" s="40"/>
      <c r="BI834" s="40"/>
      <c r="BJ834" s="40"/>
      <c r="BK834" s="40"/>
      <c r="BL834" s="40"/>
      <c r="BM834" s="40"/>
      <c r="BN834" s="40"/>
      <c r="BO834" s="40"/>
      <c r="BP834" s="40"/>
      <c r="BQ834" s="40"/>
      <c r="BR834" s="40"/>
      <c r="BS834" s="40"/>
      <c r="BT834" s="40"/>
      <c r="BU834" s="40"/>
      <c r="BV834" s="40"/>
      <c r="BW834" s="17"/>
      <c r="BX834" s="9"/>
      <c r="BY834" s="40"/>
      <c r="BZ834" s="40"/>
      <c r="CA834" s="40"/>
      <c r="CB834" s="40"/>
      <c r="CC834" s="8"/>
    </row>
    <row r="835" ht="18.75" customHeight="1">
      <c r="A835" s="40"/>
      <c r="B835" s="17"/>
      <c r="D835" s="40"/>
      <c r="G835" s="42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2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  <c r="AD835" s="40"/>
      <c r="AE835" s="40"/>
      <c r="AF835" s="40"/>
      <c r="AG835" s="40"/>
      <c r="AH835" s="40"/>
      <c r="AI835" s="40"/>
      <c r="AJ835" s="40"/>
      <c r="AK835" s="40"/>
      <c r="AL835" s="40"/>
      <c r="AM835" s="40"/>
      <c r="AN835" s="40"/>
      <c r="AO835" s="40"/>
      <c r="AP835" s="40"/>
      <c r="AQ835" s="40"/>
      <c r="AR835" s="40"/>
      <c r="AW835" s="40"/>
      <c r="AX835" s="65"/>
      <c r="AY835" s="65"/>
      <c r="AZ835" s="16"/>
      <c r="BA835" s="16"/>
      <c r="BB835" s="65"/>
      <c r="BC835" s="16"/>
      <c r="BD835" s="16"/>
      <c r="BE835" s="16"/>
      <c r="BF835" s="40"/>
      <c r="BG835" s="40"/>
      <c r="BH835" s="40"/>
      <c r="BI835" s="40"/>
      <c r="BJ835" s="40"/>
      <c r="BK835" s="40"/>
      <c r="BL835" s="40"/>
      <c r="BM835" s="40"/>
      <c r="BN835" s="40"/>
      <c r="BO835" s="40"/>
      <c r="BP835" s="40"/>
      <c r="BQ835" s="40"/>
      <c r="BR835" s="40"/>
      <c r="BS835" s="40"/>
      <c r="BT835" s="40"/>
      <c r="BU835" s="40"/>
      <c r="BV835" s="40"/>
      <c r="BW835" s="17"/>
      <c r="BX835" s="9"/>
      <c r="BY835" s="40"/>
      <c r="BZ835" s="40"/>
      <c r="CA835" s="40"/>
      <c r="CB835" s="40"/>
      <c r="CC835" s="8"/>
    </row>
    <row r="836" ht="18.75" customHeight="1">
      <c r="A836" s="40"/>
      <c r="B836" s="17"/>
      <c r="D836" s="40"/>
      <c r="G836" s="42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2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  <c r="AD836" s="40"/>
      <c r="AE836" s="40"/>
      <c r="AF836" s="40"/>
      <c r="AG836" s="40"/>
      <c r="AH836" s="40"/>
      <c r="AI836" s="40"/>
      <c r="AJ836" s="40"/>
      <c r="AK836" s="40"/>
      <c r="AL836" s="40"/>
      <c r="AM836" s="40"/>
      <c r="AN836" s="40"/>
      <c r="AO836" s="40"/>
      <c r="AP836" s="40"/>
      <c r="AQ836" s="40"/>
      <c r="AR836" s="40"/>
      <c r="AW836" s="40"/>
      <c r="AX836" s="65"/>
      <c r="AY836" s="65"/>
      <c r="AZ836" s="16"/>
      <c r="BA836" s="16"/>
      <c r="BB836" s="65"/>
      <c r="BC836" s="16"/>
      <c r="BD836" s="16"/>
      <c r="BE836" s="16"/>
      <c r="BF836" s="40"/>
      <c r="BG836" s="40"/>
      <c r="BH836" s="40"/>
      <c r="BI836" s="40"/>
      <c r="BJ836" s="40"/>
      <c r="BK836" s="40"/>
      <c r="BL836" s="40"/>
      <c r="BM836" s="40"/>
      <c r="BN836" s="40"/>
      <c r="BO836" s="40"/>
      <c r="BP836" s="40"/>
      <c r="BQ836" s="40"/>
      <c r="BR836" s="40"/>
      <c r="BS836" s="40"/>
      <c r="BT836" s="40"/>
      <c r="BU836" s="40"/>
      <c r="BV836" s="40"/>
      <c r="BW836" s="17"/>
      <c r="BX836" s="9"/>
      <c r="BY836" s="40"/>
      <c r="BZ836" s="40"/>
      <c r="CA836" s="40"/>
      <c r="CB836" s="40"/>
      <c r="CC836" s="8"/>
    </row>
    <row r="837" ht="18.75" customHeight="1">
      <c r="A837" s="40"/>
      <c r="B837" s="17"/>
      <c r="D837" s="40"/>
      <c r="G837" s="42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2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  <c r="AD837" s="40"/>
      <c r="AE837" s="40"/>
      <c r="AF837" s="40"/>
      <c r="AG837" s="40"/>
      <c r="AH837" s="40"/>
      <c r="AI837" s="40"/>
      <c r="AJ837" s="40"/>
      <c r="AK837" s="40"/>
      <c r="AL837" s="40"/>
      <c r="AM837" s="40"/>
      <c r="AN837" s="40"/>
      <c r="AO837" s="40"/>
      <c r="AP837" s="40"/>
      <c r="AQ837" s="40"/>
      <c r="AR837" s="40"/>
      <c r="AW837" s="40"/>
      <c r="AX837" s="65"/>
      <c r="AY837" s="65"/>
      <c r="AZ837" s="16"/>
      <c r="BA837" s="16"/>
      <c r="BB837" s="65"/>
      <c r="BC837" s="16"/>
      <c r="BD837" s="16"/>
      <c r="BE837" s="16"/>
      <c r="BF837" s="40"/>
      <c r="BG837" s="40"/>
      <c r="BH837" s="40"/>
      <c r="BI837" s="40"/>
      <c r="BJ837" s="40"/>
      <c r="BK837" s="40"/>
      <c r="BL837" s="40"/>
      <c r="BM837" s="40"/>
      <c r="BN837" s="40"/>
      <c r="BO837" s="40"/>
      <c r="BP837" s="40"/>
      <c r="BQ837" s="40"/>
      <c r="BR837" s="40"/>
      <c r="BS837" s="40"/>
      <c r="BT837" s="40"/>
      <c r="BU837" s="40"/>
      <c r="BV837" s="40"/>
      <c r="BW837" s="17"/>
      <c r="BX837" s="9"/>
      <c r="BY837" s="40"/>
      <c r="BZ837" s="40"/>
      <c r="CA837" s="40"/>
      <c r="CB837" s="40"/>
      <c r="CC837" s="8"/>
    </row>
    <row r="838" ht="18.75" customHeight="1">
      <c r="A838" s="40"/>
      <c r="B838" s="17"/>
      <c r="D838" s="40"/>
      <c r="G838" s="42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2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  <c r="AD838" s="40"/>
      <c r="AE838" s="40"/>
      <c r="AF838" s="40"/>
      <c r="AG838" s="40"/>
      <c r="AH838" s="40"/>
      <c r="AI838" s="40"/>
      <c r="AJ838" s="40"/>
      <c r="AK838" s="40"/>
      <c r="AL838" s="40"/>
      <c r="AM838" s="40"/>
      <c r="AN838" s="40"/>
      <c r="AO838" s="40"/>
      <c r="AP838" s="40"/>
      <c r="AQ838" s="40"/>
      <c r="AR838" s="40"/>
      <c r="AW838" s="40"/>
      <c r="AX838" s="65"/>
      <c r="AY838" s="65"/>
      <c r="AZ838" s="16"/>
      <c r="BA838" s="16"/>
      <c r="BB838" s="65"/>
      <c r="BC838" s="16"/>
      <c r="BD838" s="16"/>
      <c r="BE838" s="16"/>
      <c r="BF838" s="40"/>
      <c r="BG838" s="40"/>
      <c r="BH838" s="40"/>
      <c r="BI838" s="40"/>
      <c r="BJ838" s="40"/>
      <c r="BK838" s="40"/>
      <c r="BL838" s="40"/>
      <c r="BM838" s="40"/>
      <c r="BN838" s="40"/>
      <c r="BO838" s="40"/>
      <c r="BP838" s="40"/>
      <c r="BQ838" s="40"/>
      <c r="BR838" s="40"/>
      <c r="BS838" s="40"/>
      <c r="BT838" s="40"/>
      <c r="BU838" s="40"/>
      <c r="BV838" s="40"/>
      <c r="BW838" s="17"/>
      <c r="BX838" s="9"/>
      <c r="BY838" s="40"/>
      <c r="BZ838" s="40"/>
      <c r="CA838" s="40"/>
      <c r="CB838" s="40"/>
      <c r="CC838" s="8"/>
    </row>
    <row r="839" ht="18.75" customHeight="1">
      <c r="A839" s="40"/>
      <c r="B839" s="17"/>
      <c r="D839" s="40"/>
      <c r="G839" s="42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2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  <c r="AD839" s="40"/>
      <c r="AE839" s="40"/>
      <c r="AF839" s="40"/>
      <c r="AG839" s="40"/>
      <c r="AH839" s="40"/>
      <c r="AI839" s="40"/>
      <c r="AJ839" s="40"/>
      <c r="AK839" s="40"/>
      <c r="AL839" s="40"/>
      <c r="AM839" s="40"/>
      <c r="AN839" s="40"/>
      <c r="AO839" s="40"/>
      <c r="AP839" s="40"/>
      <c r="AQ839" s="40"/>
      <c r="AR839" s="40"/>
      <c r="AW839" s="40"/>
      <c r="AX839" s="65"/>
      <c r="AY839" s="65"/>
      <c r="AZ839" s="16"/>
      <c r="BA839" s="16"/>
      <c r="BB839" s="65"/>
      <c r="BC839" s="16"/>
      <c r="BD839" s="16"/>
      <c r="BE839" s="16"/>
      <c r="BF839" s="40"/>
      <c r="BG839" s="40"/>
      <c r="BH839" s="40"/>
      <c r="BI839" s="40"/>
      <c r="BJ839" s="40"/>
      <c r="BK839" s="40"/>
      <c r="BL839" s="40"/>
      <c r="BM839" s="40"/>
      <c r="BN839" s="40"/>
      <c r="BO839" s="40"/>
      <c r="BP839" s="40"/>
      <c r="BQ839" s="40"/>
      <c r="BR839" s="40"/>
      <c r="BS839" s="40"/>
      <c r="BT839" s="40"/>
      <c r="BU839" s="40"/>
      <c r="BV839" s="40"/>
      <c r="BW839" s="17"/>
      <c r="BX839" s="9"/>
      <c r="BY839" s="40"/>
      <c r="BZ839" s="40"/>
      <c r="CA839" s="40"/>
      <c r="CB839" s="40"/>
      <c r="CC839" s="8"/>
    </row>
    <row r="840" ht="18.75" customHeight="1">
      <c r="A840" s="40"/>
      <c r="B840" s="17"/>
      <c r="D840" s="40"/>
      <c r="G840" s="42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2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  <c r="AD840" s="40"/>
      <c r="AE840" s="40"/>
      <c r="AF840" s="40"/>
      <c r="AG840" s="40"/>
      <c r="AH840" s="40"/>
      <c r="AI840" s="40"/>
      <c r="AJ840" s="40"/>
      <c r="AK840" s="40"/>
      <c r="AL840" s="40"/>
      <c r="AM840" s="40"/>
      <c r="AN840" s="40"/>
      <c r="AO840" s="40"/>
      <c r="AP840" s="40"/>
      <c r="AQ840" s="40"/>
      <c r="AR840" s="40"/>
      <c r="AW840" s="40"/>
      <c r="AX840" s="65"/>
      <c r="AY840" s="65"/>
      <c r="AZ840" s="16"/>
      <c r="BA840" s="16"/>
      <c r="BB840" s="65"/>
      <c r="BC840" s="16"/>
      <c r="BD840" s="16"/>
      <c r="BE840" s="16"/>
      <c r="BF840" s="40"/>
      <c r="BG840" s="40"/>
      <c r="BH840" s="40"/>
      <c r="BI840" s="40"/>
      <c r="BJ840" s="40"/>
      <c r="BK840" s="40"/>
      <c r="BL840" s="40"/>
      <c r="BM840" s="40"/>
      <c r="BN840" s="40"/>
      <c r="BO840" s="40"/>
      <c r="BP840" s="40"/>
      <c r="BQ840" s="40"/>
      <c r="BR840" s="40"/>
      <c r="BS840" s="40"/>
      <c r="BT840" s="40"/>
      <c r="BU840" s="40"/>
      <c r="BV840" s="40"/>
      <c r="BW840" s="17"/>
      <c r="BX840" s="9"/>
      <c r="BY840" s="40"/>
      <c r="BZ840" s="40"/>
      <c r="CA840" s="40"/>
      <c r="CB840" s="40"/>
      <c r="CC840" s="8"/>
    </row>
    <row r="841" ht="18.75" customHeight="1">
      <c r="A841" s="40"/>
      <c r="B841" s="17"/>
      <c r="D841" s="40"/>
      <c r="G841" s="42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2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  <c r="AD841" s="40"/>
      <c r="AE841" s="40"/>
      <c r="AF841" s="40"/>
      <c r="AG841" s="40"/>
      <c r="AH841" s="40"/>
      <c r="AI841" s="40"/>
      <c r="AJ841" s="40"/>
      <c r="AK841" s="40"/>
      <c r="AL841" s="40"/>
      <c r="AM841" s="40"/>
      <c r="AN841" s="40"/>
      <c r="AO841" s="40"/>
      <c r="AP841" s="40"/>
      <c r="AQ841" s="40"/>
      <c r="AR841" s="40"/>
      <c r="AW841" s="40"/>
      <c r="AX841" s="65"/>
      <c r="AY841" s="65"/>
      <c r="AZ841" s="16"/>
      <c r="BA841" s="16"/>
      <c r="BB841" s="65"/>
      <c r="BC841" s="16"/>
      <c r="BD841" s="16"/>
      <c r="BE841" s="16"/>
      <c r="BF841" s="40"/>
      <c r="BG841" s="40"/>
      <c r="BH841" s="40"/>
      <c r="BI841" s="40"/>
      <c r="BJ841" s="40"/>
      <c r="BK841" s="40"/>
      <c r="BL841" s="40"/>
      <c r="BM841" s="40"/>
      <c r="BN841" s="40"/>
      <c r="BO841" s="40"/>
      <c r="BP841" s="40"/>
      <c r="BQ841" s="40"/>
      <c r="BR841" s="40"/>
      <c r="BS841" s="40"/>
      <c r="BT841" s="40"/>
      <c r="BU841" s="40"/>
      <c r="BV841" s="40"/>
      <c r="BW841" s="17"/>
      <c r="BX841" s="9"/>
      <c r="BY841" s="40"/>
      <c r="BZ841" s="40"/>
      <c r="CA841" s="40"/>
      <c r="CB841" s="40"/>
      <c r="CC841" s="8"/>
    </row>
    <row r="842" ht="18.75" customHeight="1">
      <c r="A842" s="40"/>
      <c r="B842" s="17"/>
      <c r="D842" s="40"/>
      <c r="G842" s="42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2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  <c r="AD842" s="40"/>
      <c r="AE842" s="40"/>
      <c r="AF842" s="40"/>
      <c r="AG842" s="40"/>
      <c r="AH842" s="40"/>
      <c r="AI842" s="40"/>
      <c r="AJ842" s="40"/>
      <c r="AK842" s="40"/>
      <c r="AL842" s="40"/>
      <c r="AM842" s="40"/>
      <c r="AN842" s="40"/>
      <c r="AO842" s="40"/>
      <c r="AP842" s="40"/>
      <c r="AQ842" s="40"/>
      <c r="AR842" s="40"/>
      <c r="AW842" s="40"/>
      <c r="AX842" s="65"/>
      <c r="AY842" s="65"/>
      <c r="AZ842" s="16"/>
      <c r="BA842" s="16"/>
      <c r="BB842" s="65"/>
      <c r="BC842" s="16"/>
      <c r="BD842" s="16"/>
      <c r="BE842" s="16"/>
      <c r="BF842" s="40"/>
      <c r="BG842" s="40"/>
      <c r="BH842" s="40"/>
      <c r="BI842" s="40"/>
      <c r="BJ842" s="40"/>
      <c r="BK842" s="40"/>
      <c r="BL842" s="40"/>
      <c r="BM842" s="40"/>
      <c r="BN842" s="40"/>
      <c r="BO842" s="40"/>
      <c r="BP842" s="40"/>
      <c r="BQ842" s="40"/>
      <c r="BR842" s="40"/>
      <c r="BS842" s="40"/>
      <c r="BT842" s="40"/>
      <c r="BU842" s="40"/>
      <c r="BV842" s="40"/>
      <c r="BW842" s="17"/>
      <c r="BX842" s="9"/>
      <c r="BY842" s="40"/>
      <c r="BZ842" s="40"/>
      <c r="CA842" s="40"/>
      <c r="CB842" s="40"/>
      <c r="CC842" s="8"/>
    </row>
    <row r="843" ht="18.75" customHeight="1">
      <c r="A843" s="40"/>
      <c r="B843" s="17"/>
      <c r="D843" s="40"/>
      <c r="G843" s="42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2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  <c r="AD843" s="40"/>
      <c r="AE843" s="40"/>
      <c r="AF843" s="40"/>
      <c r="AG843" s="40"/>
      <c r="AH843" s="40"/>
      <c r="AI843" s="40"/>
      <c r="AJ843" s="40"/>
      <c r="AK843" s="40"/>
      <c r="AL843" s="40"/>
      <c r="AM843" s="40"/>
      <c r="AN843" s="40"/>
      <c r="AO843" s="40"/>
      <c r="AP843" s="40"/>
      <c r="AQ843" s="40"/>
      <c r="AR843" s="40"/>
      <c r="AW843" s="40"/>
      <c r="AX843" s="65"/>
      <c r="AY843" s="65"/>
      <c r="AZ843" s="16"/>
      <c r="BA843" s="16"/>
      <c r="BB843" s="65"/>
      <c r="BC843" s="16"/>
      <c r="BD843" s="16"/>
      <c r="BE843" s="16"/>
      <c r="BF843" s="40"/>
      <c r="BG843" s="40"/>
      <c r="BH843" s="40"/>
      <c r="BI843" s="40"/>
      <c r="BJ843" s="40"/>
      <c r="BK843" s="40"/>
      <c r="BL843" s="40"/>
      <c r="BM843" s="40"/>
      <c r="BN843" s="40"/>
      <c r="BO843" s="40"/>
      <c r="BP843" s="40"/>
      <c r="BQ843" s="40"/>
      <c r="BR843" s="40"/>
      <c r="BS843" s="40"/>
      <c r="BT843" s="40"/>
      <c r="BU843" s="40"/>
      <c r="BV843" s="40"/>
      <c r="BW843" s="17"/>
      <c r="BX843" s="9"/>
      <c r="BY843" s="40"/>
      <c r="BZ843" s="40"/>
      <c r="CA843" s="40"/>
      <c r="CB843" s="40"/>
      <c r="CC843" s="8"/>
    </row>
    <row r="844" ht="18.75" customHeight="1">
      <c r="A844" s="40"/>
      <c r="B844" s="17"/>
      <c r="D844" s="40"/>
      <c r="G844" s="42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2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  <c r="AD844" s="40"/>
      <c r="AE844" s="40"/>
      <c r="AF844" s="40"/>
      <c r="AG844" s="40"/>
      <c r="AH844" s="40"/>
      <c r="AI844" s="40"/>
      <c r="AJ844" s="40"/>
      <c r="AK844" s="40"/>
      <c r="AL844" s="40"/>
      <c r="AM844" s="40"/>
      <c r="AN844" s="40"/>
      <c r="AO844" s="40"/>
      <c r="AP844" s="40"/>
      <c r="AQ844" s="40"/>
      <c r="AR844" s="40"/>
      <c r="AW844" s="40"/>
      <c r="AX844" s="65"/>
      <c r="AY844" s="65"/>
      <c r="AZ844" s="16"/>
      <c r="BA844" s="16"/>
      <c r="BB844" s="65"/>
      <c r="BC844" s="16"/>
      <c r="BD844" s="16"/>
      <c r="BE844" s="16"/>
      <c r="BF844" s="40"/>
      <c r="BG844" s="40"/>
      <c r="BH844" s="40"/>
      <c r="BI844" s="40"/>
      <c r="BJ844" s="40"/>
      <c r="BK844" s="40"/>
      <c r="BL844" s="40"/>
      <c r="BM844" s="40"/>
      <c r="BN844" s="40"/>
      <c r="BO844" s="40"/>
      <c r="BP844" s="40"/>
      <c r="BQ844" s="40"/>
      <c r="BR844" s="40"/>
      <c r="BS844" s="40"/>
      <c r="BT844" s="40"/>
      <c r="BU844" s="40"/>
      <c r="BV844" s="40"/>
      <c r="BW844" s="17"/>
      <c r="BX844" s="9"/>
      <c r="BY844" s="40"/>
      <c r="BZ844" s="40"/>
      <c r="CA844" s="40"/>
      <c r="CB844" s="40"/>
      <c r="CC844" s="8"/>
    </row>
    <row r="845" ht="18.75" customHeight="1">
      <c r="A845" s="40"/>
      <c r="B845" s="17"/>
      <c r="D845" s="40"/>
      <c r="G845" s="42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2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  <c r="AD845" s="40"/>
      <c r="AE845" s="40"/>
      <c r="AF845" s="40"/>
      <c r="AG845" s="40"/>
      <c r="AH845" s="40"/>
      <c r="AI845" s="40"/>
      <c r="AJ845" s="40"/>
      <c r="AK845" s="40"/>
      <c r="AL845" s="40"/>
      <c r="AM845" s="40"/>
      <c r="AN845" s="40"/>
      <c r="AO845" s="40"/>
      <c r="AP845" s="40"/>
      <c r="AQ845" s="40"/>
      <c r="AR845" s="40"/>
      <c r="AW845" s="40"/>
      <c r="AX845" s="65"/>
      <c r="AY845" s="65"/>
      <c r="AZ845" s="16"/>
      <c r="BA845" s="16"/>
      <c r="BB845" s="65"/>
      <c r="BC845" s="16"/>
      <c r="BD845" s="16"/>
      <c r="BE845" s="16"/>
      <c r="BF845" s="40"/>
      <c r="BG845" s="40"/>
      <c r="BH845" s="40"/>
      <c r="BI845" s="40"/>
      <c r="BJ845" s="40"/>
      <c r="BK845" s="40"/>
      <c r="BL845" s="40"/>
      <c r="BM845" s="40"/>
      <c r="BN845" s="40"/>
      <c r="BO845" s="40"/>
      <c r="BP845" s="40"/>
      <c r="BQ845" s="40"/>
      <c r="BR845" s="40"/>
      <c r="BS845" s="40"/>
      <c r="BT845" s="40"/>
      <c r="BU845" s="40"/>
      <c r="BV845" s="40"/>
      <c r="BW845" s="17"/>
      <c r="BX845" s="9"/>
      <c r="BY845" s="40"/>
      <c r="BZ845" s="40"/>
      <c r="CA845" s="40"/>
      <c r="CB845" s="40"/>
      <c r="CC845" s="8"/>
    </row>
    <row r="846" ht="18.75" customHeight="1">
      <c r="A846" s="40"/>
      <c r="B846" s="17"/>
      <c r="D846" s="40"/>
      <c r="G846" s="42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2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  <c r="AD846" s="40"/>
      <c r="AE846" s="40"/>
      <c r="AF846" s="40"/>
      <c r="AG846" s="40"/>
      <c r="AH846" s="40"/>
      <c r="AI846" s="40"/>
      <c r="AJ846" s="40"/>
      <c r="AK846" s="40"/>
      <c r="AL846" s="40"/>
      <c r="AM846" s="40"/>
      <c r="AN846" s="40"/>
      <c r="AO846" s="40"/>
      <c r="AP846" s="40"/>
      <c r="AQ846" s="40"/>
      <c r="AR846" s="40"/>
      <c r="AW846" s="40"/>
      <c r="AX846" s="65"/>
      <c r="AY846" s="65"/>
      <c r="AZ846" s="16"/>
      <c r="BA846" s="16"/>
      <c r="BB846" s="65"/>
      <c r="BC846" s="16"/>
      <c r="BD846" s="16"/>
      <c r="BE846" s="16"/>
      <c r="BF846" s="40"/>
      <c r="BG846" s="40"/>
      <c r="BH846" s="40"/>
      <c r="BI846" s="40"/>
      <c r="BJ846" s="40"/>
      <c r="BK846" s="40"/>
      <c r="BL846" s="40"/>
      <c r="BM846" s="40"/>
      <c r="BN846" s="40"/>
      <c r="BO846" s="40"/>
      <c r="BP846" s="40"/>
      <c r="BQ846" s="40"/>
      <c r="BR846" s="40"/>
      <c r="BS846" s="40"/>
      <c r="BT846" s="40"/>
      <c r="BU846" s="40"/>
      <c r="BV846" s="40"/>
      <c r="BW846" s="17"/>
      <c r="BX846" s="9"/>
      <c r="BY846" s="40"/>
      <c r="BZ846" s="40"/>
      <c r="CA846" s="40"/>
      <c r="CB846" s="40"/>
      <c r="CC846" s="8"/>
    </row>
    <row r="847" ht="18.75" customHeight="1">
      <c r="A847" s="40"/>
      <c r="B847" s="17"/>
      <c r="D847" s="40"/>
      <c r="G847" s="42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2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  <c r="AD847" s="40"/>
      <c r="AE847" s="40"/>
      <c r="AF847" s="40"/>
      <c r="AG847" s="40"/>
      <c r="AH847" s="40"/>
      <c r="AI847" s="40"/>
      <c r="AJ847" s="40"/>
      <c r="AK847" s="40"/>
      <c r="AL847" s="40"/>
      <c r="AM847" s="40"/>
      <c r="AN847" s="40"/>
      <c r="AO847" s="40"/>
      <c r="AP847" s="40"/>
      <c r="AQ847" s="40"/>
      <c r="AR847" s="40"/>
      <c r="AW847" s="40"/>
      <c r="AX847" s="65"/>
      <c r="AY847" s="65"/>
      <c r="AZ847" s="16"/>
      <c r="BA847" s="16"/>
      <c r="BB847" s="65"/>
      <c r="BC847" s="16"/>
      <c r="BD847" s="16"/>
      <c r="BE847" s="16"/>
      <c r="BF847" s="40"/>
      <c r="BG847" s="40"/>
      <c r="BH847" s="40"/>
      <c r="BI847" s="40"/>
      <c r="BJ847" s="40"/>
      <c r="BK847" s="40"/>
      <c r="BL847" s="40"/>
      <c r="BM847" s="40"/>
      <c r="BN847" s="40"/>
      <c r="BO847" s="40"/>
      <c r="BP847" s="40"/>
      <c r="BQ847" s="40"/>
      <c r="BR847" s="40"/>
      <c r="BS847" s="40"/>
      <c r="BT847" s="40"/>
      <c r="BU847" s="40"/>
      <c r="BV847" s="40"/>
      <c r="BW847" s="17"/>
      <c r="BX847" s="9"/>
      <c r="BY847" s="40"/>
      <c r="BZ847" s="40"/>
      <c r="CA847" s="40"/>
      <c r="CB847" s="40"/>
      <c r="CC847" s="8"/>
    </row>
    <row r="848" ht="18.75" customHeight="1">
      <c r="A848" s="40"/>
      <c r="B848" s="17"/>
      <c r="D848" s="40"/>
      <c r="G848" s="42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2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  <c r="AD848" s="40"/>
      <c r="AE848" s="40"/>
      <c r="AF848" s="40"/>
      <c r="AG848" s="40"/>
      <c r="AH848" s="40"/>
      <c r="AI848" s="40"/>
      <c r="AJ848" s="40"/>
      <c r="AK848" s="40"/>
      <c r="AL848" s="40"/>
      <c r="AM848" s="40"/>
      <c r="AN848" s="40"/>
      <c r="AO848" s="40"/>
      <c r="AP848" s="40"/>
      <c r="AQ848" s="40"/>
      <c r="AR848" s="40"/>
      <c r="AW848" s="40"/>
      <c r="AX848" s="65"/>
      <c r="AY848" s="65"/>
      <c r="AZ848" s="16"/>
      <c r="BA848" s="16"/>
      <c r="BB848" s="65"/>
      <c r="BC848" s="16"/>
      <c r="BD848" s="16"/>
      <c r="BE848" s="16"/>
      <c r="BF848" s="40"/>
      <c r="BG848" s="40"/>
      <c r="BH848" s="40"/>
      <c r="BI848" s="40"/>
      <c r="BJ848" s="40"/>
      <c r="BK848" s="40"/>
      <c r="BL848" s="40"/>
      <c r="BM848" s="40"/>
      <c r="BN848" s="40"/>
      <c r="BO848" s="40"/>
      <c r="BP848" s="40"/>
      <c r="BQ848" s="40"/>
      <c r="BR848" s="40"/>
      <c r="BS848" s="40"/>
      <c r="BT848" s="40"/>
      <c r="BU848" s="40"/>
      <c r="BV848" s="40"/>
      <c r="BW848" s="17"/>
      <c r="BX848" s="9"/>
      <c r="BY848" s="40"/>
      <c r="BZ848" s="40"/>
      <c r="CA848" s="40"/>
      <c r="CB848" s="40"/>
      <c r="CC848" s="8"/>
    </row>
    <row r="849" ht="18.75" customHeight="1">
      <c r="A849" s="40"/>
      <c r="B849" s="17"/>
      <c r="D849" s="40"/>
      <c r="G849" s="42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2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  <c r="AD849" s="40"/>
      <c r="AE849" s="40"/>
      <c r="AF849" s="40"/>
      <c r="AG849" s="40"/>
      <c r="AH849" s="40"/>
      <c r="AI849" s="40"/>
      <c r="AJ849" s="40"/>
      <c r="AK849" s="40"/>
      <c r="AL849" s="40"/>
      <c r="AM849" s="40"/>
      <c r="AN849" s="40"/>
      <c r="AO849" s="40"/>
      <c r="AP849" s="40"/>
      <c r="AQ849" s="40"/>
      <c r="AR849" s="40"/>
      <c r="AW849" s="40"/>
      <c r="AX849" s="65"/>
      <c r="AY849" s="65"/>
      <c r="AZ849" s="16"/>
      <c r="BA849" s="16"/>
      <c r="BB849" s="65"/>
      <c r="BC849" s="16"/>
      <c r="BD849" s="16"/>
      <c r="BE849" s="16"/>
      <c r="BF849" s="40"/>
      <c r="BG849" s="40"/>
      <c r="BH849" s="40"/>
      <c r="BI849" s="40"/>
      <c r="BJ849" s="40"/>
      <c r="BK849" s="40"/>
      <c r="BL849" s="40"/>
      <c r="BM849" s="40"/>
      <c r="BN849" s="40"/>
      <c r="BO849" s="40"/>
      <c r="BP849" s="40"/>
      <c r="BQ849" s="40"/>
      <c r="BR849" s="40"/>
      <c r="BS849" s="40"/>
      <c r="BT849" s="40"/>
      <c r="BU849" s="40"/>
      <c r="BV849" s="40"/>
      <c r="BW849" s="17"/>
      <c r="BX849" s="9"/>
      <c r="BY849" s="40"/>
      <c r="BZ849" s="40"/>
      <c r="CA849" s="40"/>
      <c r="CB849" s="40"/>
      <c r="CC849" s="8"/>
    </row>
    <row r="850" ht="18.75" customHeight="1">
      <c r="A850" s="40"/>
      <c r="B850" s="17"/>
      <c r="D850" s="40"/>
      <c r="G850" s="42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2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  <c r="AD850" s="40"/>
      <c r="AE850" s="40"/>
      <c r="AF850" s="40"/>
      <c r="AG850" s="40"/>
      <c r="AH850" s="40"/>
      <c r="AI850" s="40"/>
      <c r="AJ850" s="40"/>
      <c r="AK850" s="40"/>
      <c r="AL850" s="40"/>
      <c r="AM850" s="40"/>
      <c r="AN850" s="40"/>
      <c r="AO850" s="40"/>
      <c r="AP850" s="40"/>
      <c r="AQ850" s="40"/>
      <c r="AR850" s="40"/>
      <c r="AW850" s="40"/>
      <c r="AX850" s="65"/>
      <c r="AY850" s="65"/>
      <c r="AZ850" s="16"/>
      <c r="BA850" s="16"/>
      <c r="BB850" s="65"/>
      <c r="BC850" s="16"/>
      <c r="BD850" s="16"/>
      <c r="BE850" s="16"/>
      <c r="BF850" s="40"/>
      <c r="BG850" s="40"/>
      <c r="BH850" s="40"/>
      <c r="BI850" s="40"/>
      <c r="BJ850" s="40"/>
      <c r="BK850" s="40"/>
      <c r="BL850" s="40"/>
      <c r="BM850" s="40"/>
      <c r="BN850" s="40"/>
      <c r="BO850" s="40"/>
      <c r="BP850" s="40"/>
      <c r="BQ850" s="40"/>
      <c r="BR850" s="40"/>
      <c r="BS850" s="40"/>
      <c r="BT850" s="40"/>
      <c r="BU850" s="40"/>
      <c r="BV850" s="40"/>
      <c r="BW850" s="17"/>
      <c r="BX850" s="9"/>
      <c r="BY850" s="40"/>
      <c r="BZ850" s="40"/>
      <c r="CA850" s="40"/>
      <c r="CB850" s="40"/>
      <c r="CC850" s="8"/>
    </row>
    <row r="851" ht="18.75" customHeight="1">
      <c r="A851" s="40"/>
      <c r="B851" s="17"/>
      <c r="D851" s="40"/>
      <c r="G851" s="42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2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  <c r="AD851" s="40"/>
      <c r="AE851" s="40"/>
      <c r="AF851" s="40"/>
      <c r="AG851" s="40"/>
      <c r="AH851" s="40"/>
      <c r="AI851" s="40"/>
      <c r="AJ851" s="40"/>
      <c r="AK851" s="40"/>
      <c r="AL851" s="40"/>
      <c r="AM851" s="40"/>
      <c r="AN851" s="40"/>
      <c r="AO851" s="40"/>
      <c r="AP851" s="40"/>
      <c r="AQ851" s="40"/>
      <c r="AR851" s="40"/>
      <c r="AW851" s="40"/>
      <c r="AX851" s="65"/>
      <c r="AY851" s="65"/>
      <c r="AZ851" s="16"/>
      <c r="BA851" s="16"/>
      <c r="BB851" s="65"/>
      <c r="BC851" s="16"/>
      <c r="BD851" s="16"/>
      <c r="BE851" s="16"/>
      <c r="BF851" s="40"/>
      <c r="BG851" s="40"/>
      <c r="BH851" s="40"/>
      <c r="BI851" s="40"/>
      <c r="BJ851" s="40"/>
      <c r="BK851" s="40"/>
      <c r="BL851" s="40"/>
      <c r="BM851" s="40"/>
      <c r="BN851" s="40"/>
      <c r="BO851" s="40"/>
      <c r="BP851" s="40"/>
      <c r="BQ851" s="40"/>
      <c r="BR851" s="40"/>
      <c r="BS851" s="40"/>
      <c r="BT851" s="40"/>
      <c r="BU851" s="40"/>
      <c r="BV851" s="40"/>
      <c r="BW851" s="17"/>
      <c r="BX851" s="9"/>
      <c r="BY851" s="40"/>
      <c r="BZ851" s="40"/>
      <c r="CA851" s="40"/>
      <c r="CB851" s="40"/>
      <c r="CC851" s="8"/>
    </row>
    <row r="852" ht="18.75" customHeight="1">
      <c r="A852" s="40"/>
      <c r="B852" s="17"/>
      <c r="D852" s="40"/>
      <c r="G852" s="42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2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  <c r="AD852" s="40"/>
      <c r="AE852" s="40"/>
      <c r="AF852" s="40"/>
      <c r="AG852" s="40"/>
      <c r="AH852" s="40"/>
      <c r="AI852" s="40"/>
      <c r="AJ852" s="40"/>
      <c r="AK852" s="40"/>
      <c r="AL852" s="40"/>
      <c r="AM852" s="40"/>
      <c r="AN852" s="40"/>
      <c r="AO852" s="40"/>
      <c r="AP852" s="40"/>
      <c r="AQ852" s="40"/>
      <c r="AR852" s="40"/>
      <c r="AW852" s="40"/>
      <c r="AX852" s="65"/>
      <c r="AY852" s="65"/>
      <c r="AZ852" s="16"/>
      <c r="BA852" s="16"/>
      <c r="BB852" s="65"/>
      <c r="BC852" s="16"/>
      <c r="BD852" s="16"/>
      <c r="BE852" s="16"/>
      <c r="BF852" s="40"/>
      <c r="BG852" s="40"/>
      <c r="BH852" s="40"/>
      <c r="BI852" s="40"/>
      <c r="BJ852" s="40"/>
      <c r="BK852" s="40"/>
      <c r="BL852" s="40"/>
      <c r="BM852" s="40"/>
      <c r="BN852" s="40"/>
      <c r="BO852" s="40"/>
      <c r="BP852" s="40"/>
      <c r="BQ852" s="40"/>
      <c r="BR852" s="40"/>
      <c r="BS852" s="40"/>
      <c r="BT852" s="40"/>
      <c r="BU852" s="40"/>
      <c r="BV852" s="40"/>
      <c r="BW852" s="17"/>
      <c r="BX852" s="9"/>
      <c r="BY852" s="40"/>
      <c r="BZ852" s="40"/>
      <c r="CA852" s="40"/>
      <c r="CB852" s="40"/>
      <c r="CC852" s="8"/>
    </row>
    <row r="853" ht="18.75" customHeight="1">
      <c r="A853" s="40"/>
      <c r="B853" s="17"/>
      <c r="D853" s="40"/>
      <c r="G853" s="42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2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  <c r="AD853" s="40"/>
      <c r="AE853" s="40"/>
      <c r="AF853" s="40"/>
      <c r="AG853" s="40"/>
      <c r="AH853" s="40"/>
      <c r="AI853" s="40"/>
      <c r="AJ853" s="40"/>
      <c r="AK853" s="40"/>
      <c r="AL853" s="40"/>
      <c r="AM853" s="40"/>
      <c r="AN853" s="40"/>
      <c r="AO853" s="40"/>
      <c r="AP853" s="40"/>
      <c r="AQ853" s="40"/>
      <c r="AR853" s="40"/>
      <c r="AW853" s="40"/>
      <c r="AX853" s="65"/>
      <c r="AY853" s="65"/>
      <c r="AZ853" s="16"/>
      <c r="BA853" s="16"/>
      <c r="BB853" s="65"/>
      <c r="BC853" s="16"/>
      <c r="BD853" s="16"/>
      <c r="BE853" s="16"/>
      <c r="BF853" s="40"/>
      <c r="BG853" s="40"/>
      <c r="BH853" s="40"/>
      <c r="BI853" s="40"/>
      <c r="BJ853" s="40"/>
      <c r="BK853" s="40"/>
      <c r="BL853" s="40"/>
      <c r="BM853" s="40"/>
      <c r="BN853" s="40"/>
      <c r="BO853" s="40"/>
      <c r="BP853" s="40"/>
      <c r="BQ853" s="40"/>
      <c r="BR853" s="40"/>
      <c r="BS853" s="40"/>
      <c r="BT853" s="40"/>
      <c r="BU853" s="40"/>
      <c r="BV853" s="40"/>
      <c r="BW853" s="17"/>
      <c r="BX853" s="9"/>
      <c r="BY853" s="40"/>
      <c r="BZ853" s="40"/>
      <c r="CA853" s="40"/>
      <c r="CB853" s="40"/>
      <c r="CC853" s="8"/>
    </row>
    <row r="854" ht="18.75" customHeight="1">
      <c r="A854" s="40"/>
      <c r="B854" s="17"/>
      <c r="D854" s="40"/>
      <c r="G854" s="42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2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  <c r="AD854" s="40"/>
      <c r="AE854" s="40"/>
      <c r="AF854" s="40"/>
      <c r="AG854" s="40"/>
      <c r="AH854" s="40"/>
      <c r="AI854" s="40"/>
      <c r="AJ854" s="40"/>
      <c r="AK854" s="40"/>
      <c r="AL854" s="40"/>
      <c r="AM854" s="40"/>
      <c r="AN854" s="40"/>
      <c r="AO854" s="40"/>
      <c r="AP854" s="40"/>
      <c r="AQ854" s="40"/>
      <c r="AR854" s="40"/>
      <c r="AW854" s="40"/>
      <c r="AX854" s="65"/>
      <c r="AY854" s="65"/>
      <c r="AZ854" s="16"/>
      <c r="BA854" s="16"/>
      <c r="BB854" s="65"/>
      <c r="BC854" s="16"/>
      <c r="BD854" s="16"/>
      <c r="BE854" s="16"/>
      <c r="BF854" s="40"/>
      <c r="BG854" s="40"/>
      <c r="BH854" s="40"/>
      <c r="BI854" s="40"/>
      <c r="BJ854" s="40"/>
      <c r="BK854" s="40"/>
      <c r="BL854" s="40"/>
      <c r="BM854" s="40"/>
      <c r="BN854" s="40"/>
      <c r="BO854" s="40"/>
      <c r="BP854" s="40"/>
      <c r="BQ854" s="40"/>
      <c r="BR854" s="40"/>
      <c r="BS854" s="40"/>
      <c r="BT854" s="40"/>
      <c r="BU854" s="40"/>
      <c r="BV854" s="40"/>
      <c r="BW854" s="17"/>
      <c r="BX854" s="9"/>
      <c r="BY854" s="40"/>
      <c r="BZ854" s="40"/>
      <c r="CA854" s="40"/>
      <c r="CB854" s="40"/>
      <c r="CC854" s="8"/>
    </row>
    <row r="855" ht="18.75" customHeight="1">
      <c r="A855" s="40"/>
      <c r="B855" s="17"/>
      <c r="D855" s="40"/>
      <c r="G855" s="42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2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  <c r="AD855" s="40"/>
      <c r="AE855" s="40"/>
      <c r="AF855" s="40"/>
      <c r="AG855" s="40"/>
      <c r="AH855" s="40"/>
      <c r="AI855" s="40"/>
      <c r="AJ855" s="40"/>
      <c r="AK855" s="40"/>
      <c r="AL855" s="40"/>
      <c r="AM855" s="40"/>
      <c r="AN855" s="40"/>
      <c r="AO855" s="40"/>
      <c r="AP855" s="40"/>
      <c r="AQ855" s="40"/>
      <c r="AR855" s="40"/>
      <c r="AW855" s="40"/>
      <c r="AX855" s="65"/>
      <c r="AY855" s="65"/>
      <c r="AZ855" s="16"/>
      <c r="BA855" s="16"/>
      <c r="BB855" s="65"/>
      <c r="BC855" s="16"/>
      <c r="BD855" s="16"/>
      <c r="BE855" s="16"/>
      <c r="BF855" s="40"/>
      <c r="BG855" s="40"/>
      <c r="BH855" s="40"/>
      <c r="BI855" s="40"/>
      <c r="BJ855" s="40"/>
      <c r="BK855" s="40"/>
      <c r="BL855" s="40"/>
      <c r="BM855" s="40"/>
      <c r="BN855" s="40"/>
      <c r="BO855" s="40"/>
      <c r="BP855" s="40"/>
      <c r="BQ855" s="40"/>
      <c r="BR855" s="40"/>
      <c r="BS855" s="40"/>
      <c r="BT855" s="40"/>
      <c r="BU855" s="40"/>
      <c r="BV855" s="40"/>
      <c r="BW855" s="17"/>
      <c r="BX855" s="9"/>
      <c r="BY855" s="40"/>
      <c r="BZ855" s="40"/>
      <c r="CA855" s="40"/>
      <c r="CB855" s="40"/>
      <c r="CC855" s="8"/>
    </row>
    <row r="856" ht="18.75" customHeight="1">
      <c r="A856" s="40"/>
      <c r="B856" s="17"/>
      <c r="D856" s="40"/>
      <c r="G856" s="42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2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  <c r="AD856" s="40"/>
      <c r="AE856" s="40"/>
      <c r="AF856" s="40"/>
      <c r="AG856" s="40"/>
      <c r="AH856" s="40"/>
      <c r="AI856" s="40"/>
      <c r="AJ856" s="40"/>
      <c r="AK856" s="40"/>
      <c r="AL856" s="40"/>
      <c r="AM856" s="40"/>
      <c r="AN856" s="40"/>
      <c r="AO856" s="40"/>
      <c r="AP856" s="40"/>
      <c r="AQ856" s="40"/>
      <c r="AR856" s="40"/>
      <c r="AW856" s="40"/>
      <c r="AX856" s="65"/>
      <c r="AY856" s="65"/>
      <c r="AZ856" s="16"/>
      <c r="BA856" s="16"/>
      <c r="BB856" s="65"/>
      <c r="BC856" s="16"/>
      <c r="BD856" s="16"/>
      <c r="BE856" s="16"/>
      <c r="BF856" s="40"/>
      <c r="BG856" s="40"/>
      <c r="BH856" s="40"/>
      <c r="BI856" s="40"/>
      <c r="BJ856" s="40"/>
      <c r="BK856" s="40"/>
      <c r="BL856" s="40"/>
      <c r="BM856" s="40"/>
      <c r="BN856" s="40"/>
      <c r="BO856" s="40"/>
      <c r="BP856" s="40"/>
      <c r="BQ856" s="40"/>
      <c r="BR856" s="40"/>
      <c r="BS856" s="40"/>
      <c r="BT856" s="40"/>
      <c r="BU856" s="40"/>
      <c r="BV856" s="40"/>
      <c r="BW856" s="17"/>
      <c r="BX856" s="9"/>
      <c r="BY856" s="40"/>
      <c r="BZ856" s="40"/>
      <c r="CA856" s="40"/>
      <c r="CB856" s="40"/>
      <c r="CC856" s="8"/>
    </row>
    <row r="857" ht="18.75" customHeight="1">
      <c r="A857" s="40"/>
      <c r="B857" s="17"/>
      <c r="D857" s="40"/>
      <c r="G857" s="42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2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  <c r="AD857" s="40"/>
      <c r="AE857" s="40"/>
      <c r="AF857" s="40"/>
      <c r="AG857" s="40"/>
      <c r="AH857" s="40"/>
      <c r="AI857" s="40"/>
      <c r="AJ857" s="40"/>
      <c r="AK857" s="40"/>
      <c r="AL857" s="40"/>
      <c r="AM857" s="40"/>
      <c r="AN857" s="40"/>
      <c r="AO857" s="40"/>
      <c r="AP857" s="40"/>
      <c r="AQ857" s="40"/>
      <c r="AR857" s="40"/>
      <c r="AW857" s="40"/>
      <c r="AX857" s="65"/>
      <c r="AY857" s="65"/>
      <c r="AZ857" s="16"/>
      <c r="BA857" s="16"/>
      <c r="BB857" s="65"/>
      <c r="BC857" s="16"/>
      <c r="BD857" s="16"/>
      <c r="BE857" s="16"/>
      <c r="BF857" s="40"/>
      <c r="BG857" s="40"/>
      <c r="BH857" s="40"/>
      <c r="BI857" s="40"/>
      <c r="BJ857" s="40"/>
      <c r="BK857" s="40"/>
      <c r="BL857" s="40"/>
      <c r="BM857" s="40"/>
      <c r="BN857" s="40"/>
      <c r="BO857" s="40"/>
      <c r="BP857" s="40"/>
      <c r="BQ857" s="40"/>
      <c r="BR857" s="40"/>
      <c r="BS857" s="40"/>
      <c r="BT857" s="40"/>
      <c r="BU857" s="40"/>
      <c r="BV857" s="40"/>
      <c r="BW857" s="17"/>
      <c r="BX857" s="9"/>
      <c r="BY857" s="40"/>
      <c r="BZ857" s="40"/>
      <c r="CA857" s="40"/>
      <c r="CB857" s="40"/>
      <c r="CC857" s="8"/>
    </row>
    <row r="858" ht="18.75" customHeight="1">
      <c r="A858" s="40"/>
      <c r="B858" s="17"/>
      <c r="D858" s="40"/>
      <c r="G858" s="42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2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  <c r="AD858" s="40"/>
      <c r="AE858" s="40"/>
      <c r="AF858" s="40"/>
      <c r="AG858" s="40"/>
      <c r="AH858" s="40"/>
      <c r="AI858" s="40"/>
      <c r="AJ858" s="40"/>
      <c r="AK858" s="40"/>
      <c r="AL858" s="40"/>
      <c r="AM858" s="40"/>
      <c r="AN858" s="40"/>
      <c r="AO858" s="40"/>
      <c r="AP858" s="40"/>
      <c r="AQ858" s="40"/>
      <c r="AR858" s="40"/>
      <c r="AW858" s="40"/>
      <c r="AX858" s="65"/>
      <c r="AY858" s="65"/>
      <c r="AZ858" s="16"/>
      <c r="BA858" s="16"/>
      <c r="BB858" s="65"/>
      <c r="BC858" s="16"/>
      <c r="BD858" s="16"/>
      <c r="BE858" s="16"/>
      <c r="BF858" s="40"/>
      <c r="BG858" s="40"/>
      <c r="BH858" s="40"/>
      <c r="BI858" s="40"/>
      <c r="BJ858" s="40"/>
      <c r="BK858" s="40"/>
      <c r="BL858" s="40"/>
      <c r="BM858" s="40"/>
      <c r="BN858" s="40"/>
      <c r="BO858" s="40"/>
      <c r="BP858" s="40"/>
      <c r="BQ858" s="40"/>
      <c r="BR858" s="40"/>
      <c r="BS858" s="40"/>
      <c r="BT858" s="40"/>
      <c r="BU858" s="40"/>
      <c r="BV858" s="40"/>
      <c r="BW858" s="17"/>
      <c r="BX858" s="9"/>
      <c r="BY858" s="40"/>
      <c r="BZ858" s="40"/>
      <c r="CA858" s="40"/>
      <c r="CB858" s="40"/>
      <c r="CC858" s="8"/>
    </row>
    <row r="859" ht="18.75" customHeight="1">
      <c r="A859" s="40"/>
      <c r="B859" s="17"/>
      <c r="D859" s="40"/>
      <c r="G859" s="42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2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  <c r="AD859" s="40"/>
      <c r="AE859" s="40"/>
      <c r="AF859" s="40"/>
      <c r="AG859" s="40"/>
      <c r="AH859" s="40"/>
      <c r="AI859" s="40"/>
      <c r="AJ859" s="40"/>
      <c r="AK859" s="40"/>
      <c r="AL859" s="40"/>
      <c r="AM859" s="40"/>
      <c r="AN859" s="40"/>
      <c r="AO859" s="40"/>
      <c r="AP859" s="40"/>
      <c r="AQ859" s="40"/>
      <c r="AR859" s="40"/>
      <c r="AW859" s="40"/>
      <c r="AX859" s="65"/>
      <c r="AY859" s="65"/>
      <c r="AZ859" s="16"/>
      <c r="BA859" s="16"/>
      <c r="BB859" s="65"/>
      <c r="BC859" s="16"/>
      <c r="BD859" s="16"/>
      <c r="BE859" s="16"/>
      <c r="BF859" s="40"/>
      <c r="BG859" s="40"/>
      <c r="BH859" s="40"/>
      <c r="BI859" s="40"/>
      <c r="BJ859" s="40"/>
      <c r="BK859" s="40"/>
      <c r="BL859" s="40"/>
      <c r="BM859" s="40"/>
      <c r="BN859" s="40"/>
      <c r="BO859" s="40"/>
      <c r="BP859" s="40"/>
      <c r="BQ859" s="40"/>
      <c r="BR859" s="40"/>
      <c r="BS859" s="40"/>
      <c r="BT859" s="40"/>
      <c r="BU859" s="40"/>
      <c r="BV859" s="40"/>
      <c r="BW859" s="17"/>
      <c r="BX859" s="9"/>
      <c r="BY859" s="40"/>
      <c r="BZ859" s="40"/>
      <c r="CA859" s="40"/>
      <c r="CB859" s="40"/>
      <c r="CC859" s="8"/>
    </row>
    <row r="860" ht="18.75" customHeight="1">
      <c r="A860" s="40"/>
      <c r="B860" s="17"/>
      <c r="D860" s="40"/>
      <c r="G860" s="42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2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  <c r="AD860" s="40"/>
      <c r="AE860" s="40"/>
      <c r="AF860" s="40"/>
      <c r="AG860" s="40"/>
      <c r="AH860" s="40"/>
      <c r="AI860" s="40"/>
      <c r="AJ860" s="40"/>
      <c r="AK860" s="40"/>
      <c r="AL860" s="40"/>
      <c r="AM860" s="40"/>
      <c r="AN860" s="40"/>
      <c r="AO860" s="40"/>
      <c r="AP860" s="40"/>
      <c r="AQ860" s="40"/>
      <c r="AR860" s="40"/>
      <c r="AW860" s="40"/>
      <c r="AX860" s="65"/>
      <c r="AY860" s="65"/>
      <c r="AZ860" s="16"/>
      <c r="BA860" s="16"/>
      <c r="BB860" s="65"/>
      <c r="BC860" s="16"/>
      <c r="BD860" s="16"/>
      <c r="BE860" s="16"/>
      <c r="BF860" s="40"/>
      <c r="BG860" s="40"/>
      <c r="BH860" s="40"/>
      <c r="BI860" s="40"/>
      <c r="BJ860" s="40"/>
      <c r="BK860" s="40"/>
      <c r="BL860" s="40"/>
      <c r="BM860" s="40"/>
      <c r="BN860" s="40"/>
      <c r="BO860" s="40"/>
      <c r="BP860" s="40"/>
      <c r="BQ860" s="40"/>
      <c r="BR860" s="40"/>
      <c r="BS860" s="40"/>
      <c r="BT860" s="40"/>
      <c r="BU860" s="40"/>
      <c r="BV860" s="40"/>
      <c r="BW860" s="17"/>
      <c r="BX860" s="9"/>
      <c r="BY860" s="40"/>
      <c r="BZ860" s="40"/>
      <c r="CA860" s="40"/>
      <c r="CB860" s="40"/>
      <c r="CC860" s="8"/>
    </row>
    <row r="861" ht="18.75" customHeight="1">
      <c r="A861" s="40"/>
      <c r="B861" s="17"/>
      <c r="D861" s="40"/>
      <c r="G861" s="42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2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  <c r="AD861" s="40"/>
      <c r="AE861" s="40"/>
      <c r="AF861" s="40"/>
      <c r="AG861" s="40"/>
      <c r="AH861" s="40"/>
      <c r="AI861" s="40"/>
      <c r="AJ861" s="40"/>
      <c r="AK861" s="40"/>
      <c r="AL861" s="40"/>
      <c r="AM861" s="40"/>
      <c r="AN861" s="40"/>
      <c r="AO861" s="40"/>
      <c r="AP861" s="40"/>
      <c r="AQ861" s="40"/>
      <c r="AR861" s="40"/>
      <c r="AW861" s="40"/>
      <c r="AX861" s="65"/>
      <c r="AY861" s="65"/>
      <c r="AZ861" s="16"/>
      <c r="BA861" s="16"/>
      <c r="BB861" s="65"/>
      <c r="BC861" s="16"/>
      <c r="BD861" s="16"/>
      <c r="BE861" s="16"/>
      <c r="BF861" s="40"/>
      <c r="BG861" s="40"/>
      <c r="BH861" s="40"/>
      <c r="BI861" s="40"/>
      <c r="BJ861" s="40"/>
      <c r="BK861" s="40"/>
      <c r="BL861" s="40"/>
      <c r="BM861" s="40"/>
      <c r="BN861" s="40"/>
      <c r="BO861" s="40"/>
      <c r="BP861" s="40"/>
      <c r="BQ861" s="40"/>
      <c r="BR861" s="40"/>
      <c r="BS861" s="40"/>
      <c r="BT861" s="40"/>
      <c r="BU861" s="40"/>
      <c r="BV861" s="40"/>
      <c r="BW861" s="17"/>
      <c r="BX861" s="9"/>
      <c r="BY861" s="40"/>
      <c r="BZ861" s="40"/>
      <c r="CA861" s="40"/>
      <c r="CB861" s="40"/>
      <c r="CC861" s="8"/>
    </row>
    <row r="862" ht="18.75" customHeight="1">
      <c r="A862" s="40"/>
      <c r="B862" s="17"/>
      <c r="D862" s="40"/>
      <c r="G862" s="42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2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  <c r="AD862" s="40"/>
      <c r="AE862" s="40"/>
      <c r="AF862" s="40"/>
      <c r="AG862" s="40"/>
      <c r="AH862" s="40"/>
      <c r="AI862" s="40"/>
      <c r="AJ862" s="40"/>
      <c r="AK862" s="40"/>
      <c r="AL862" s="40"/>
      <c r="AM862" s="40"/>
      <c r="AN862" s="40"/>
      <c r="AO862" s="40"/>
      <c r="AP862" s="40"/>
      <c r="AQ862" s="40"/>
      <c r="AR862" s="40"/>
      <c r="AW862" s="40"/>
      <c r="AX862" s="65"/>
      <c r="AY862" s="65"/>
      <c r="AZ862" s="16"/>
      <c r="BA862" s="16"/>
      <c r="BB862" s="65"/>
      <c r="BC862" s="16"/>
      <c r="BD862" s="16"/>
      <c r="BE862" s="16"/>
      <c r="BF862" s="40"/>
      <c r="BG862" s="40"/>
      <c r="BH862" s="40"/>
      <c r="BI862" s="40"/>
      <c r="BJ862" s="40"/>
      <c r="BK862" s="40"/>
      <c r="BL862" s="40"/>
      <c r="BM862" s="40"/>
      <c r="BN862" s="40"/>
      <c r="BO862" s="40"/>
      <c r="BP862" s="40"/>
      <c r="BQ862" s="40"/>
      <c r="BR862" s="40"/>
      <c r="BS862" s="40"/>
      <c r="BT862" s="40"/>
      <c r="BU862" s="40"/>
      <c r="BV862" s="40"/>
      <c r="BW862" s="17"/>
      <c r="BX862" s="9"/>
      <c r="BY862" s="40"/>
      <c r="BZ862" s="40"/>
      <c r="CA862" s="40"/>
      <c r="CB862" s="40"/>
      <c r="CC862" s="8"/>
    </row>
    <row r="863" ht="18.75" customHeight="1">
      <c r="A863" s="40"/>
      <c r="B863" s="17"/>
      <c r="D863" s="40"/>
      <c r="G863" s="42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2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  <c r="AD863" s="40"/>
      <c r="AE863" s="40"/>
      <c r="AF863" s="40"/>
      <c r="AG863" s="40"/>
      <c r="AH863" s="40"/>
      <c r="AI863" s="40"/>
      <c r="AJ863" s="40"/>
      <c r="AK863" s="40"/>
      <c r="AL863" s="40"/>
      <c r="AM863" s="40"/>
      <c r="AN863" s="40"/>
      <c r="AO863" s="40"/>
      <c r="AP863" s="40"/>
      <c r="AQ863" s="40"/>
      <c r="AR863" s="40"/>
      <c r="AW863" s="40"/>
      <c r="AX863" s="65"/>
      <c r="AY863" s="65"/>
      <c r="AZ863" s="16"/>
      <c r="BA863" s="16"/>
      <c r="BB863" s="65"/>
      <c r="BC863" s="16"/>
      <c r="BD863" s="16"/>
      <c r="BE863" s="16"/>
      <c r="BF863" s="40"/>
      <c r="BG863" s="40"/>
      <c r="BH863" s="40"/>
      <c r="BI863" s="40"/>
      <c r="BJ863" s="40"/>
      <c r="BK863" s="40"/>
      <c r="BL863" s="40"/>
      <c r="BM863" s="40"/>
      <c r="BN863" s="40"/>
      <c r="BO863" s="40"/>
      <c r="BP863" s="40"/>
      <c r="BQ863" s="40"/>
      <c r="BR863" s="40"/>
      <c r="BS863" s="40"/>
      <c r="BT863" s="40"/>
      <c r="BU863" s="40"/>
      <c r="BV863" s="40"/>
      <c r="BW863" s="17"/>
      <c r="BX863" s="9"/>
      <c r="BY863" s="40"/>
      <c r="BZ863" s="40"/>
      <c r="CA863" s="40"/>
      <c r="CB863" s="40"/>
      <c r="CC863" s="8"/>
    </row>
    <row r="864" ht="18.75" customHeight="1">
      <c r="A864" s="40"/>
      <c r="B864" s="17"/>
      <c r="D864" s="40"/>
      <c r="G864" s="42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2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  <c r="AD864" s="40"/>
      <c r="AE864" s="40"/>
      <c r="AF864" s="40"/>
      <c r="AG864" s="40"/>
      <c r="AH864" s="40"/>
      <c r="AI864" s="40"/>
      <c r="AJ864" s="40"/>
      <c r="AK864" s="40"/>
      <c r="AL864" s="40"/>
      <c r="AM864" s="40"/>
      <c r="AN864" s="40"/>
      <c r="AO864" s="40"/>
      <c r="AP864" s="40"/>
      <c r="AQ864" s="40"/>
      <c r="AR864" s="40"/>
      <c r="AW864" s="40"/>
      <c r="AX864" s="65"/>
      <c r="AY864" s="65"/>
      <c r="AZ864" s="16"/>
      <c r="BA864" s="16"/>
      <c r="BB864" s="65"/>
      <c r="BC864" s="16"/>
      <c r="BD864" s="16"/>
      <c r="BE864" s="16"/>
      <c r="BF864" s="40"/>
      <c r="BG864" s="40"/>
      <c r="BH864" s="40"/>
      <c r="BI864" s="40"/>
      <c r="BJ864" s="40"/>
      <c r="BK864" s="40"/>
      <c r="BL864" s="40"/>
      <c r="BM864" s="40"/>
      <c r="BN864" s="40"/>
      <c r="BO864" s="40"/>
      <c r="BP864" s="40"/>
      <c r="BQ864" s="40"/>
      <c r="BR864" s="40"/>
      <c r="BS864" s="40"/>
      <c r="BT864" s="40"/>
      <c r="BU864" s="40"/>
      <c r="BV864" s="40"/>
      <c r="BW864" s="17"/>
      <c r="BX864" s="9"/>
      <c r="BY864" s="40"/>
      <c r="BZ864" s="40"/>
      <c r="CA864" s="40"/>
      <c r="CB864" s="40"/>
      <c r="CC864" s="8"/>
    </row>
    <row r="865" ht="18.75" customHeight="1">
      <c r="A865" s="40"/>
      <c r="B865" s="17"/>
      <c r="D865" s="40"/>
      <c r="G865" s="42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2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  <c r="AD865" s="40"/>
      <c r="AE865" s="40"/>
      <c r="AF865" s="40"/>
      <c r="AG865" s="40"/>
      <c r="AH865" s="40"/>
      <c r="AI865" s="40"/>
      <c r="AJ865" s="40"/>
      <c r="AK865" s="40"/>
      <c r="AL865" s="40"/>
      <c r="AM865" s="40"/>
      <c r="AN865" s="40"/>
      <c r="AO865" s="40"/>
      <c r="AP865" s="40"/>
      <c r="AQ865" s="40"/>
      <c r="AR865" s="40"/>
      <c r="AW865" s="40"/>
      <c r="AX865" s="65"/>
      <c r="AY865" s="65"/>
      <c r="AZ865" s="16"/>
      <c r="BA865" s="16"/>
      <c r="BB865" s="65"/>
      <c r="BC865" s="16"/>
      <c r="BD865" s="16"/>
      <c r="BE865" s="16"/>
      <c r="BF865" s="40"/>
      <c r="BG865" s="40"/>
      <c r="BH865" s="40"/>
      <c r="BI865" s="40"/>
      <c r="BJ865" s="40"/>
      <c r="BK865" s="40"/>
      <c r="BL865" s="40"/>
      <c r="BM865" s="40"/>
      <c r="BN865" s="40"/>
      <c r="BO865" s="40"/>
      <c r="BP865" s="40"/>
      <c r="BQ865" s="40"/>
      <c r="BR865" s="40"/>
      <c r="BS865" s="40"/>
      <c r="BT865" s="40"/>
      <c r="BU865" s="40"/>
      <c r="BV865" s="40"/>
      <c r="BW865" s="17"/>
      <c r="BX865" s="9"/>
      <c r="BY865" s="40"/>
      <c r="BZ865" s="40"/>
      <c r="CA865" s="40"/>
      <c r="CB865" s="40"/>
      <c r="CC865" s="8"/>
    </row>
    <row r="866" ht="18.75" customHeight="1">
      <c r="A866" s="40"/>
      <c r="B866" s="17"/>
      <c r="D866" s="40"/>
      <c r="G866" s="42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2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  <c r="AD866" s="40"/>
      <c r="AE866" s="40"/>
      <c r="AF866" s="40"/>
      <c r="AG866" s="40"/>
      <c r="AH866" s="40"/>
      <c r="AI866" s="40"/>
      <c r="AJ866" s="40"/>
      <c r="AK866" s="40"/>
      <c r="AL866" s="40"/>
      <c r="AM866" s="40"/>
      <c r="AN866" s="40"/>
      <c r="AO866" s="40"/>
      <c r="AP866" s="40"/>
      <c r="AQ866" s="40"/>
      <c r="AR866" s="40"/>
      <c r="AW866" s="40"/>
      <c r="AX866" s="65"/>
      <c r="AY866" s="65"/>
      <c r="AZ866" s="16"/>
      <c r="BA866" s="16"/>
      <c r="BB866" s="65"/>
      <c r="BC866" s="16"/>
      <c r="BD866" s="16"/>
      <c r="BE866" s="16"/>
      <c r="BF866" s="40"/>
      <c r="BG866" s="40"/>
      <c r="BH866" s="40"/>
      <c r="BI866" s="40"/>
      <c r="BJ866" s="40"/>
      <c r="BK866" s="40"/>
      <c r="BL866" s="40"/>
      <c r="BM866" s="40"/>
      <c r="BN866" s="40"/>
      <c r="BO866" s="40"/>
      <c r="BP866" s="40"/>
      <c r="BQ866" s="40"/>
      <c r="BR866" s="40"/>
      <c r="BS866" s="40"/>
      <c r="BT866" s="40"/>
      <c r="BU866" s="40"/>
      <c r="BV866" s="40"/>
      <c r="BW866" s="17"/>
      <c r="BX866" s="9"/>
      <c r="BY866" s="40"/>
      <c r="BZ866" s="40"/>
      <c r="CA866" s="40"/>
      <c r="CB866" s="40"/>
      <c r="CC866" s="8"/>
    </row>
    <row r="867" ht="18.75" customHeight="1">
      <c r="A867" s="40"/>
      <c r="B867" s="17"/>
      <c r="D867" s="40"/>
      <c r="G867" s="42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2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  <c r="AD867" s="40"/>
      <c r="AE867" s="40"/>
      <c r="AF867" s="40"/>
      <c r="AG867" s="40"/>
      <c r="AH867" s="40"/>
      <c r="AI867" s="40"/>
      <c r="AJ867" s="40"/>
      <c r="AK867" s="40"/>
      <c r="AL867" s="40"/>
      <c r="AM867" s="40"/>
      <c r="AN867" s="40"/>
      <c r="AO867" s="40"/>
      <c r="AP867" s="40"/>
      <c r="AQ867" s="40"/>
      <c r="AR867" s="40"/>
      <c r="AW867" s="40"/>
      <c r="AX867" s="65"/>
      <c r="AY867" s="65"/>
      <c r="AZ867" s="16"/>
      <c r="BA867" s="16"/>
      <c r="BB867" s="65"/>
      <c r="BC867" s="16"/>
      <c r="BD867" s="16"/>
      <c r="BE867" s="16"/>
      <c r="BF867" s="40"/>
      <c r="BG867" s="40"/>
      <c r="BH867" s="40"/>
      <c r="BI867" s="40"/>
      <c r="BJ867" s="40"/>
      <c r="BK867" s="40"/>
      <c r="BL867" s="40"/>
      <c r="BM867" s="40"/>
      <c r="BN867" s="40"/>
      <c r="BO867" s="40"/>
      <c r="BP867" s="40"/>
      <c r="BQ867" s="40"/>
      <c r="BR867" s="40"/>
      <c r="BS867" s="40"/>
      <c r="BT867" s="40"/>
      <c r="BU867" s="40"/>
      <c r="BV867" s="40"/>
      <c r="BW867" s="17"/>
      <c r="BX867" s="9"/>
      <c r="BY867" s="40"/>
      <c r="BZ867" s="40"/>
      <c r="CA867" s="40"/>
      <c r="CB867" s="40"/>
      <c r="CC867" s="8"/>
    </row>
    <row r="868" ht="18.75" customHeight="1">
      <c r="A868" s="40"/>
      <c r="B868" s="17"/>
      <c r="D868" s="40"/>
      <c r="G868" s="42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2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  <c r="AD868" s="40"/>
      <c r="AE868" s="40"/>
      <c r="AF868" s="40"/>
      <c r="AG868" s="40"/>
      <c r="AH868" s="40"/>
      <c r="AI868" s="40"/>
      <c r="AJ868" s="40"/>
      <c r="AK868" s="40"/>
      <c r="AL868" s="40"/>
      <c r="AM868" s="40"/>
      <c r="AN868" s="40"/>
      <c r="AO868" s="40"/>
      <c r="AP868" s="40"/>
      <c r="AQ868" s="40"/>
      <c r="AR868" s="40"/>
      <c r="AW868" s="40"/>
      <c r="AX868" s="65"/>
      <c r="AY868" s="65"/>
      <c r="AZ868" s="16"/>
      <c r="BA868" s="16"/>
      <c r="BB868" s="65"/>
      <c r="BC868" s="16"/>
      <c r="BD868" s="16"/>
      <c r="BE868" s="16"/>
      <c r="BF868" s="40"/>
      <c r="BG868" s="40"/>
      <c r="BH868" s="40"/>
      <c r="BI868" s="40"/>
      <c r="BJ868" s="40"/>
      <c r="BK868" s="40"/>
      <c r="BL868" s="40"/>
      <c r="BM868" s="40"/>
      <c r="BN868" s="40"/>
      <c r="BO868" s="40"/>
      <c r="BP868" s="40"/>
      <c r="BQ868" s="40"/>
      <c r="BR868" s="40"/>
      <c r="BS868" s="40"/>
      <c r="BT868" s="40"/>
      <c r="BU868" s="40"/>
      <c r="BV868" s="40"/>
      <c r="BW868" s="17"/>
      <c r="BX868" s="9"/>
      <c r="BY868" s="40"/>
      <c r="BZ868" s="40"/>
      <c r="CA868" s="40"/>
      <c r="CB868" s="40"/>
      <c r="CC868" s="8"/>
    </row>
    <row r="869" ht="18.75" customHeight="1">
      <c r="A869" s="40"/>
      <c r="B869" s="17"/>
      <c r="D869" s="40"/>
      <c r="G869" s="42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2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  <c r="AD869" s="40"/>
      <c r="AE869" s="40"/>
      <c r="AF869" s="40"/>
      <c r="AG869" s="40"/>
      <c r="AH869" s="40"/>
      <c r="AI869" s="40"/>
      <c r="AJ869" s="40"/>
      <c r="AK869" s="40"/>
      <c r="AL869" s="40"/>
      <c r="AM869" s="40"/>
      <c r="AN869" s="40"/>
      <c r="AO869" s="40"/>
      <c r="AP869" s="40"/>
      <c r="AQ869" s="40"/>
      <c r="AR869" s="40"/>
      <c r="AW869" s="40"/>
      <c r="AX869" s="65"/>
      <c r="AY869" s="65"/>
      <c r="AZ869" s="16"/>
      <c r="BA869" s="16"/>
      <c r="BB869" s="65"/>
      <c r="BC869" s="16"/>
      <c r="BD869" s="16"/>
      <c r="BE869" s="16"/>
      <c r="BF869" s="40"/>
      <c r="BG869" s="40"/>
      <c r="BH869" s="40"/>
      <c r="BI869" s="40"/>
      <c r="BJ869" s="40"/>
      <c r="BK869" s="40"/>
      <c r="BL869" s="40"/>
      <c r="BM869" s="40"/>
      <c r="BN869" s="40"/>
      <c r="BO869" s="40"/>
      <c r="BP869" s="40"/>
      <c r="BQ869" s="40"/>
      <c r="BR869" s="40"/>
      <c r="BS869" s="40"/>
      <c r="BT869" s="40"/>
      <c r="BU869" s="40"/>
      <c r="BV869" s="40"/>
      <c r="BW869" s="17"/>
      <c r="BX869" s="9"/>
      <c r="BY869" s="40"/>
      <c r="BZ869" s="40"/>
      <c r="CA869" s="40"/>
      <c r="CB869" s="40"/>
      <c r="CC869" s="8"/>
    </row>
    <row r="870" ht="18.75" customHeight="1">
      <c r="A870" s="40"/>
      <c r="B870" s="17"/>
      <c r="D870" s="40"/>
      <c r="G870" s="42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2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  <c r="AD870" s="40"/>
      <c r="AE870" s="40"/>
      <c r="AF870" s="40"/>
      <c r="AG870" s="40"/>
      <c r="AH870" s="40"/>
      <c r="AI870" s="40"/>
      <c r="AJ870" s="40"/>
      <c r="AK870" s="40"/>
      <c r="AL870" s="40"/>
      <c r="AM870" s="40"/>
      <c r="AN870" s="40"/>
      <c r="AO870" s="40"/>
      <c r="AP870" s="40"/>
      <c r="AQ870" s="40"/>
      <c r="AR870" s="40"/>
      <c r="AW870" s="40"/>
      <c r="AX870" s="65"/>
      <c r="AY870" s="65"/>
      <c r="AZ870" s="16"/>
      <c r="BA870" s="16"/>
      <c r="BB870" s="65"/>
      <c r="BC870" s="16"/>
      <c r="BD870" s="16"/>
      <c r="BE870" s="16"/>
      <c r="BF870" s="40"/>
      <c r="BG870" s="40"/>
      <c r="BH870" s="40"/>
      <c r="BI870" s="40"/>
      <c r="BJ870" s="40"/>
      <c r="BK870" s="40"/>
      <c r="BL870" s="40"/>
      <c r="BM870" s="40"/>
      <c r="BN870" s="40"/>
      <c r="BO870" s="40"/>
      <c r="BP870" s="40"/>
      <c r="BQ870" s="40"/>
      <c r="BR870" s="40"/>
      <c r="BS870" s="40"/>
      <c r="BT870" s="40"/>
      <c r="BU870" s="40"/>
      <c r="BV870" s="40"/>
      <c r="BW870" s="17"/>
      <c r="BX870" s="9"/>
      <c r="BY870" s="40"/>
      <c r="BZ870" s="40"/>
      <c r="CA870" s="40"/>
      <c r="CB870" s="40"/>
      <c r="CC870" s="8"/>
    </row>
    <row r="871" ht="18.75" customHeight="1">
      <c r="A871" s="40"/>
      <c r="B871" s="17"/>
      <c r="D871" s="40"/>
      <c r="G871" s="42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2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  <c r="AD871" s="40"/>
      <c r="AE871" s="40"/>
      <c r="AF871" s="40"/>
      <c r="AG871" s="40"/>
      <c r="AH871" s="40"/>
      <c r="AI871" s="40"/>
      <c r="AJ871" s="40"/>
      <c r="AK871" s="40"/>
      <c r="AL871" s="40"/>
      <c r="AM871" s="40"/>
      <c r="AN871" s="40"/>
      <c r="AO871" s="40"/>
      <c r="AP871" s="40"/>
      <c r="AQ871" s="40"/>
      <c r="AR871" s="40"/>
      <c r="AW871" s="40"/>
      <c r="AX871" s="65"/>
      <c r="AY871" s="65"/>
      <c r="AZ871" s="16"/>
      <c r="BA871" s="16"/>
      <c r="BB871" s="65"/>
      <c r="BC871" s="16"/>
      <c r="BD871" s="16"/>
      <c r="BE871" s="16"/>
      <c r="BF871" s="40"/>
      <c r="BG871" s="40"/>
      <c r="BH871" s="40"/>
      <c r="BI871" s="40"/>
      <c r="BJ871" s="40"/>
      <c r="BK871" s="40"/>
      <c r="BL871" s="40"/>
      <c r="BM871" s="40"/>
      <c r="BN871" s="40"/>
      <c r="BO871" s="40"/>
      <c r="BP871" s="40"/>
      <c r="BQ871" s="40"/>
      <c r="BR871" s="40"/>
      <c r="BS871" s="40"/>
      <c r="BT871" s="40"/>
      <c r="BU871" s="40"/>
      <c r="BV871" s="40"/>
      <c r="BW871" s="17"/>
      <c r="BX871" s="9"/>
      <c r="BY871" s="40"/>
      <c r="BZ871" s="40"/>
      <c r="CA871" s="40"/>
      <c r="CB871" s="40"/>
      <c r="CC871" s="8"/>
    </row>
    <row r="872" ht="18.75" customHeight="1">
      <c r="A872" s="40"/>
      <c r="B872" s="17"/>
      <c r="D872" s="40"/>
      <c r="G872" s="42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2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  <c r="AD872" s="40"/>
      <c r="AE872" s="40"/>
      <c r="AF872" s="40"/>
      <c r="AG872" s="40"/>
      <c r="AH872" s="40"/>
      <c r="AI872" s="40"/>
      <c r="AJ872" s="40"/>
      <c r="AK872" s="40"/>
      <c r="AL872" s="40"/>
      <c r="AM872" s="40"/>
      <c r="AN872" s="40"/>
      <c r="AO872" s="40"/>
      <c r="AP872" s="40"/>
      <c r="AQ872" s="40"/>
      <c r="AR872" s="40"/>
      <c r="AW872" s="40"/>
      <c r="AX872" s="65"/>
      <c r="AY872" s="65"/>
      <c r="AZ872" s="16"/>
      <c r="BA872" s="16"/>
      <c r="BB872" s="65"/>
      <c r="BC872" s="16"/>
      <c r="BD872" s="16"/>
      <c r="BE872" s="16"/>
      <c r="BF872" s="40"/>
      <c r="BG872" s="40"/>
      <c r="BH872" s="40"/>
      <c r="BI872" s="40"/>
      <c r="BJ872" s="40"/>
      <c r="BK872" s="40"/>
      <c r="BL872" s="40"/>
      <c r="BM872" s="40"/>
      <c r="BN872" s="40"/>
      <c r="BO872" s="40"/>
      <c r="BP872" s="40"/>
      <c r="BQ872" s="40"/>
      <c r="BR872" s="40"/>
      <c r="BS872" s="40"/>
      <c r="BT872" s="40"/>
      <c r="BU872" s="40"/>
      <c r="BV872" s="40"/>
      <c r="BW872" s="17"/>
      <c r="BX872" s="9"/>
      <c r="BY872" s="40"/>
      <c r="BZ872" s="40"/>
      <c r="CA872" s="40"/>
      <c r="CB872" s="40"/>
      <c r="CC872" s="8"/>
    </row>
    <row r="873" ht="18.75" customHeight="1">
      <c r="A873" s="40"/>
      <c r="B873" s="17"/>
      <c r="D873" s="40"/>
      <c r="G873" s="42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2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  <c r="AD873" s="40"/>
      <c r="AE873" s="40"/>
      <c r="AF873" s="40"/>
      <c r="AG873" s="40"/>
      <c r="AH873" s="40"/>
      <c r="AI873" s="40"/>
      <c r="AJ873" s="40"/>
      <c r="AK873" s="40"/>
      <c r="AL873" s="40"/>
      <c r="AM873" s="40"/>
      <c r="AN873" s="40"/>
      <c r="AO873" s="40"/>
      <c r="AP873" s="40"/>
      <c r="AQ873" s="40"/>
      <c r="AR873" s="40"/>
      <c r="AW873" s="40"/>
      <c r="AX873" s="65"/>
      <c r="AY873" s="65"/>
      <c r="AZ873" s="16"/>
      <c r="BA873" s="16"/>
      <c r="BB873" s="65"/>
      <c r="BC873" s="16"/>
      <c r="BD873" s="16"/>
      <c r="BE873" s="16"/>
      <c r="BF873" s="40"/>
      <c r="BG873" s="40"/>
      <c r="BH873" s="40"/>
      <c r="BI873" s="40"/>
      <c r="BJ873" s="40"/>
      <c r="BK873" s="40"/>
      <c r="BL873" s="40"/>
      <c r="BM873" s="40"/>
      <c r="BN873" s="40"/>
      <c r="BO873" s="40"/>
      <c r="BP873" s="40"/>
      <c r="BQ873" s="40"/>
      <c r="BR873" s="40"/>
      <c r="BS873" s="40"/>
      <c r="BT873" s="40"/>
      <c r="BU873" s="40"/>
      <c r="BV873" s="40"/>
      <c r="BW873" s="17"/>
      <c r="BX873" s="9"/>
      <c r="BY873" s="40"/>
      <c r="BZ873" s="40"/>
      <c r="CA873" s="40"/>
      <c r="CB873" s="40"/>
      <c r="CC873" s="8"/>
    </row>
    <row r="874" ht="18.75" customHeight="1">
      <c r="A874" s="40"/>
      <c r="B874" s="17"/>
      <c r="D874" s="40"/>
      <c r="G874" s="42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2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  <c r="AD874" s="40"/>
      <c r="AE874" s="40"/>
      <c r="AF874" s="40"/>
      <c r="AG874" s="40"/>
      <c r="AH874" s="40"/>
      <c r="AI874" s="40"/>
      <c r="AJ874" s="40"/>
      <c r="AK874" s="40"/>
      <c r="AL874" s="40"/>
      <c r="AM874" s="40"/>
      <c r="AN874" s="40"/>
      <c r="AO874" s="40"/>
      <c r="AP874" s="40"/>
      <c r="AQ874" s="40"/>
      <c r="AR874" s="40"/>
      <c r="AW874" s="40"/>
      <c r="AX874" s="65"/>
      <c r="AY874" s="65"/>
      <c r="AZ874" s="16"/>
      <c r="BA874" s="16"/>
      <c r="BB874" s="65"/>
      <c r="BC874" s="16"/>
      <c r="BD874" s="16"/>
      <c r="BE874" s="16"/>
      <c r="BF874" s="40"/>
      <c r="BG874" s="40"/>
      <c r="BH874" s="40"/>
      <c r="BI874" s="40"/>
      <c r="BJ874" s="40"/>
      <c r="BK874" s="40"/>
      <c r="BL874" s="40"/>
      <c r="BM874" s="40"/>
      <c r="BN874" s="40"/>
      <c r="BO874" s="40"/>
      <c r="BP874" s="40"/>
      <c r="BQ874" s="40"/>
      <c r="BR874" s="40"/>
      <c r="BS874" s="40"/>
      <c r="BT874" s="40"/>
      <c r="BU874" s="40"/>
      <c r="BV874" s="40"/>
      <c r="BW874" s="17"/>
      <c r="BX874" s="9"/>
      <c r="BY874" s="40"/>
      <c r="BZ874" s="40"/>
      <c r="CA874" s="40"/>
      <c r="CB874" s="40"/>
      <c r="CC874" s="8"/>
    </row>
    <row r="875" ht="18.75" customHeight="1">
      <c r="A875" s="40"/>
      <c r="B875" s="17"/>
      <c r="D875" s="40"/>
      <c r="G875" s="42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2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  <c r="AD875" s="40"/>
      <c r="AE875" s="40"/>
      <c r="AF875" s="40"/>
      <c r="AG875" s="40"/>
      <c r="AH875" s="40"/>
      <c r="AI875" s="40"/>
      <c r="AJ875" s="40"/>
      <c r="AK875" s="40"/>
      <c r="AL875" s="40"/>
      <c r="AM875" s="40"/>
      <c r="AN875" s="40"/>
      <c r="AO875" s="40"/>
      <c r="AP875" s="40"/>
      <c r="AQ875" s="40"/>
      <c r="AR875" s="40"/>
      <c r="AW875" s="40"/>
      <c r="AX875" s="65"/>
      <c r="AY875" s="65"/>
      <c r="AZ875" s="16"/>
      <c r="BA875" s="16"/>
      <c r="BB875" s="65"/>
      <c r="BC875" s="16"/>
      <c r="BD875" s="16"/>
      <c r="BE875" s="16"/>
      <c r="BF875" s="40"/>
      <c r="BG875" s="40"/>
      <c r="BH875" s="40"/>
      <c r="BI875" s="40"/>
      <c r="BJ875" s="40"/>
      <c r="BK875" s="40"/>
      <c r="BL875" s="40"/>
      <c r="BM875" s="40"/>
      <c r="BN875" s="40"/>
      <c r="BO875" s="40"/>
      <c r="BP875" s="40"/>
      <c r="BQ875" s="40"/>
      <c r="BR875" s="40"/>
      <c r="BS875" s="40"/>
      <c r="BT875" s="40"/>
      <c r="BU875" s="40"/>
      <c r="BV875" s="40"/>
      <c r="BW875" s="17"/>
      <c r="BX875" s="9"/>
      <c r="BY875" s="40"/>
      <c r="BZ875" s="40"/>
      <c r="CA875" s="40"/>
      <c r="CB875" s="40"/>
      <c r="CC875" s="8"/>
    </row>
    <row r="876" ht="18.75" customHeight="1">
      <c r="A876" s="40"/>
      <c r="B876" s="17"/>
      <c r="D876" s="40"/>
      <c r="G876" s="42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2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  <c r="AD876" s="40"/>
      <c r="AE876" s="40"/>
      <c r="AF876" s="40"/>
      <c r="AG876" s="40"/>
      <c r="AH876" s="40"/>
      <c r="AI876" s="40"/>
      <c r="AJ876" s="40"/>
      <c r="AK876" s="40"/>
      <c r="AL876" s="40"/>
      <c r="AM876" s="40"/>
      <c r="AN876" s="40"/>
      <c r="AO876" s="40"/>
      <c r="AP876" s="40"/>
      <c r="AQ876" s="40"/>
      <c r="AR876" s="40"/>
      <c r="AW876" s="40"/>
      <c r="AX876" s="65"/>
      <c r="AY876" s="65"/>
      <c r="AZ876" s="16"/>
      <c r="BA876" s="16"/>
      <c r="BB876" s="65"/>
      <c r="BC876" s="16"/>
      <c r="BD876" s="16"/>
      <c r="BE876" s="16"/>
      <c r="BF876" s="40"/>
      <c r="BG876" s="40"/>
      <c r="BH876" s="40"/>
      <c r="BI876" s="40"/>
      <c r="BJ876" s="40"/>
      <c r="BK876" s="40"/>
      <c r="BL876" s="40"/>
      <c r="BM876" s="40"/>
      <c r="BN876" s="40"/>
      <c r="BO876" s="40"/>
      <c r="BP876" s="40"/>
      <c r="BQ876" s="40"/>
      <c r="BR876" s="40"/>
      <c r="BS876" s="40"/>
      <c r="BT876" s="40"/>
      <c r="BU876" s="40"/>
      <c r="BV876" s="40"/>
      <c r="BW876" s="17"/>
      <c r="BX876" s="9"/>
      <c r="BY876" s="40"/>
      <c r="BZ876" s="40"/>
      <c r="CA876" s="40"/>
      <c r="CB876" s="40"/>
      <c r="CC876" s="8"/>
    </row>
    <row r="877" ht="18.75" customHeight="1">
      <c r="A877" s="40"/>
      <c r="B877" s="17"/>
      <c r="D877" s="40"/>
      <c r="G877" s="42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2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  <c r="AD877" s="40"/>
      <c r="AE877" s="40"/>
      <c r="AF877" s="40"/>
      <c r="AG877" s="40"/>
      <c r="AH877" s="40"/>
      <c r="AI877" s="40"/>
      <c r="AJ877" s="40"/>
      <c r="AK877" s="40"/>
      <c r="AL877" s="40"/>
      <c r="AM877" s="40"/>
      <c r="AN877" s="40"/>
      <c r="AO877" s="40"/>
      <c r="AP877" s="40"/>
      <c r="AQ877" s="40"/>
      <c r="AR877" s="40"/>
      <c r="AW877" s="40"/>
      <c r="AX877" s="65"/>
      <c r="AY877" s="65"/>
      <c r="AZ877" s="16"/>
      <c r="BA877" s="16"/>
      <c r="BB877" s="65"/>
      <c r="BC877" s="16"/>
      <c r="BD877" s="16"/>
      <c r="BE877" s="16"/>
      <c r="BF877" s="40"/>
      <c r="BG877" s="40"/>
      <c r="BH877" s="40"/>
      <c r="BI877" s="40"/>
      <c r="BJ877" s="40"/>
      <c r="BK877" s="40"/>
      <c r="BL877" s="40"/>
      <c r="BM877" s="40"/>
      <c r="BN877" s="40"/>
      <c r="BO877" s="40"/>
      <c r="BP877" s="40"/>
      <c r="BQ877" s="40"/>
      <c r="BR877" s="40"/>
      <c r="BS877" s="40"/>
      <c r="BT877" s="40"/>
      <c r="BU877" s="40"/>
      <c r="BV877" s="40"/>
      <c r="BW877" s="17"/>
      <c r="BX877" s="9"/>
      <c r="BY877" s="40"/>
      <c r="BZ877" s="40"/>
      <c r="CA877" s="40"/>
      <c r="CB877" s="40"/>
      <c r="CC877" s="8"/>
    </row>
    <row r="878" ht="18.75" customHeight="1">
      <c r="A878" s="40"/>
      <c r="B878" s="17"/>
      <c r="D878" s="40"/>
      <c r="G878" s="42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2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  <c r="AD878" s="40"/>
      <c r="AE878" s="40"/>
      <c r="AF878" s="40"/>
      <c r="AG878" s="40"/>
      <c r="AH878" s="40"/>
      <c r="AI878" s="40"/>
      <c r="AJ878" s="40"/>
      <c r="AK878" s="40"/>
      <c r="AL878" s="40"/>
      <c r="AM878" s="40"/>
      <c r="AN878" s="40"/>
      <c r="AO878" s="40"/>
      <c r="AP878" s="40"/>
      <c r="AQ878" s="40"/>
      <c r="AR878" s="40"/>
      <c r="AW878" s="40"/>
      <c r="AX878" s="65"/>
      <c r="AY878" s="65"/>
      <c r="AZ878" s="16"/>
      <c r="BA878" s="16"/>
      <c r="BB878" s="65"/>
      <c r="BC878" s="16"/>
      <c r="BD878" s="16"/>
      <c r="BE878" s="16"/>
      <c r="BF878" s="40"/>
      <c r="BG878" s="40"/>
      <c r="BH878" s="40"/>
      <c r="BI878" s="40"/>
      <c r="BJ878" s="40"/>
      <c r="BK878" s="40"/>
      <c r="BL878" s="40"/>
      <c r="BM878" s="40"/>
      <c r="BN878" s="40"/>
      <c r="BO878" s="40"/>
      <c r="BP878" s="40"/>
      <c r="BQ878" s="40"/>
      <c r="BR878" s="40"/>
      <c r="BS878" s="40"/>
      <c r="BT878" s="40"/>
      <c r="BU878" s="40"/>
      <c r="BV878" s="40"/>
      <c r="BW878" s="17"/>
      <c r="BX878" s="9"/>
      <c r="BY878" s="40"/>
      <c r="BZ878" s="40"/>
      <c r="CA878" s="40"/>
      <c r="CB878" s="40"/>
      <c r="CC878" s="8"/>
    </row>
    <row r="879" ht="18.75" customHeight="1">
      <c r="A879" s="40"/>
      <c r="B879" s="17"/>
      <c r="D879" s="40"/>
      <c r="G879" s="42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2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  <c r="AD879" s="40"/>
      <c r="AE879" s="40"/>
      <c r="AF879" s="40"/>
      <c r="AG879" s="40"/>
      <c r="AH879" s="40"/>
      <c r="AI879" s="40"/>
      <c r="AJ879" s="40"/>
      <c r="AK879" s="40"/>
      <c r="AL879" s="40"/>
      <c r="AM879" s="40"/>
      <c r="AN879" s="40"/>
      <c r="AO879" s="40"/>
      <c r="AP879" s="40"/>
      <c r="AQ879" s="40"/>
      <c r="AR879" s="40"/>
      <c r="AW879" s="40"/>
      <c r="AX879" s="65"/>
      <c r="AY879" s="65"/>
      <c r="AZ879" s="16"/>
      <c r="BA879" s="16"/>
      <c r="BB879" s="65"/>
      <c r="BC879" s="16"/>
      <c r="BD879" s="16"/>
      <c r="BE879" s="16"/>
      <c r="BF879" s="40"/>
      <c r="BG879" s="40"/>
      <c r="BH879" s="40"/>
      <c r="BI879" s="40"/>
      <c r="BJ879" s="40"/>
      <c r="BK879" s="40"/>
      <c r="BL879" s="40"/>
      <c r="BM879" s="40"/>
      <c r="BN879" s="40"/>
      <c r="BO879" s="40"/>
      <c r="BP879" s="40"/>
      <c r="BQ879" s="40"/>
      <c r="BR879" s="40"/>
      <c r="BS879" s="40"/>
      <c r="BT879" s="40"/>
      <c r="BU879" s="40"/>
      <c r="BV879" s="40"/>
      <c r="BW879" s="17"/>
      <c r="BX879" s="9"/>
      <c r="BY879" s="40"/>
      <c r="BZ879" s="40"/>
      <c r="CA879" s="40"/>
      <c r="CB879" s="40"/>
      <c r="CC879" s="8"/>
    </row>
    <row r="880" ht="18.75" customHeight="1">
      <c r="A880" s="40"/>
      <c r="B880" s="17"/>
      <c r="D880" s="40"/>
      <c r="G880" s="42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2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  <c r="AD880" s="40"/>
      <c r="AE880" s="40"/>
      <c r="AF880" s="40"/>
      <c r="AG880" s="40"/>
      <c r="AH880" s="40"/>
      <c r="AI880" s="40"/>
      <c r="AJ880" s="40"/>
      <c r="AK880" s="40"/>
      <c r="AL880" s="40"/>
      <c r="AM880" s="40"/>
      <c r="AN880" s="40"/>
      <c r="AO880" s="40"/>
      <c r="AP880" s="40"/>
      <c r="AQ880" s="40"/>
      <c r="AR880" s="40"/>
      <c r="AW880" s="40"/>
      <c r="AX880" s="65"/>
      <c r="AY880" s="65"/>
      <c r="AZ880" s="16"/>
      <c r="BA880" s="16"/>
      <c r="BB880" s="65"/>
      <c r="BC880" s="16"/>
      <c r="BD880" s="16"/>
      <c r="BE880" s="16"/>
      <c r="BF880" s="40"/>
      <c r="BG880" s="40"/>
      <c r="BH880" s="40"/>
      <c r="BI880" s="40"/>
      <c r="BJ880" s="40"/>
      <c r="BK880" s="40"/>
      <c r="BL880" s="40"/>
      <c r="BM880" s="40"/>
      <c r="BN880" s="40"/>
      <c r="BO880" s="40"/>
      <c r="BP880" s="40"/>
      <c r="BQ880" s="40"/>
      <c r="BR880" s="40"/>
      <c r="BS880" s="40"/>
      <c r="BT880" s="40"/>
      <c r="BU880" s="40"/>
      <c r="BV880" s="40"/>
      <c r="BW880" s="17"/>
      <c r="BX880" s="9"/>
      <c r="BY880" s="40"/>
      <c r="BZ880" s="40"/>
      <c r="CA880" s="40"/>
      <c r="CB880" s="40"/>
      <c r="CC880" s="8"/>
    </row>
    <row r="881" ht="18.75" customHeight="1">
      <c r="A881" s="40"/>
      <c r="B881" s="17"/>
      <c r="D881" s="40"/>
      <c r="G881" s="42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2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  <c r="AD881" s="40"/>
      <c r="AE881" s="40"/>
      <c r="AF881" s="40"/>
      <c r="AG881" s="40"/>
      <c r="AH881" s="40"/>
      <c r="AI881" s="40"/>
      <c r="AJ881" s="40"/>
      <c r="AK881" s="40"/>
      <c r="AL881" s="40"/>
      <c r="AM881" s="40"/>
      <c r="AN881" s="40"/>
      <c r="AO881" s="40"/>
      <c r="AP881" s="40"/>
      <c r="AQ881" s="40"/>
      <c r="AR881" s="40"/>
      <c r="AW881" s="40"/>
      <c r="AX881" s="65"/>
      <c r="AY881" s="65"/>
      <c r="AZ881" s="16"/>
      <c r="BA881" s="16"/>
      <c r="BB881" s="65"/>
      <c r="BC881" s="16"/>
      <c r="BD881" s="16"/>
      <c r="BE881" s="16"/>
      <c r="BF881" s="40"/>
      <c r="BG881" s="40"/>
      <c r="BH881" s="40"/>
      <c r="BI881" s="40"/>
      <c r="BJ881" s="40"/>
      <c r="BK881" s="40"/>
      <c r="BL881" s="40"/>
      <c r="BM881" s="40"/>
      <c r="BN881" s="40"/>
      <c r="BO881" s="40"/>
      <c r="BP881" s="40"/>
      <c r="BQ881" s="40"/>
      <c r="BR881" s="40"/>
      <c r="BS881" s="40"/>
      <c r="BT881" s="40"/>
      <c r="BU881" s="40"/>
      <c r="BV881" s="40"/>
      <c r="BW881" s="17"/>
      <c r="BX881" s="9"/>
      <c r="BY881" s="40"/>
      <c r="BZ881" s="40"/>
      <c r="CA881" s="40"/>
      <c r="CB881" s="40"/>
      <c r="CC881" s="8"/>
    </row>
    <row r="882" ht="18.75" customHeight="1">
      <c r="A882" s="40"/>
      <c r="B882" s="17"/>
      <c r="D882" s="40"/>
      <c r="G882" s="42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2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  <c r="AD882" s="40"/>
      <c r="AE882" s="40"/>
      <c r="AF882" s="40"/>
      <c r="AG882" s="40"/>
      <c r="AH882" s="40"/>
      <c r="AI882" s="40"/>
      <c r="AJ882" s="40"/>
      <c r="AK882" s="40"/>
      <c r="AL882" s="40"/>
      <c r="AM882" s="40"/>
      <c r="AN882" s="40"/>
      <c r="AO882" s="40"/>
      <c r="AP882" s="40"/>
      <c r="AQ882" s="40"/>
      <c r="AR882" s="40"/>
      <c r="AW882" s="40"/>
      <c r="AX882" s="65"/>
      <c r="AY882" s="65"/>
      <c r="AZ882" s="16"/>
      <c r="BA882" s="16"/>
      <c r="BB882" s="65"/>
      <c r="BC882" s="16"/>
      <c r="BD882" s="16"/>
      <c r="BE882" s="16"/>
      <c r="BF882" s="40"/>
      <c r="BG882" s="40"/>
      <c r="BH882" s="40"/>
      <c r="BI882" s="40"/>
      <c r="BJ882" s="40"/>
      <c r="BK882" s="40"/>
      <c r="BL882" s="40"/>
      <c r="BM882" s="40"/>
      <c r="BN882" s="40"/>
      <c r="BO882" s="40"/>
      <c r="BP882" s="40"/>
      <c r="BQ882" s="40"/>
      <c r="BR882" s="40"/>
      <c r="BS882" s="40"/>
      <c r="BT882" s="40"/>
      <c r="BU882" s="40"/>
      <c r="BV882" s="40"/>
      <c r="BW882" s="17"/>
      <c r="BX882" s="9"/>
      <c r="BY882" s="40"/>
      <c r="BZ882" s="40"/>
      <c r="CA882" s="40"/>
      <c r="CB882" s="40"/>
      <c r="CC882" s="8"/>
    </row>
    <row r="883" ht="18.75" customHeight="1">
      <c r="A883" s="40"/>
      <c r="B883" s="17"/>
      <c r="D883" s="40"/>
      <c r="G883" s="42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2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  <c r="AD883" s="40"/>
      <c r="AE883" s="40"/>
      <c r="AF883" s="40"/>
      <c r="AG883" s="40"/>
      <c r="AH883" s="40"/>
      <c r="AI883" s="40"/>
      <c r="AJ883" s="40"/>
      <c r="AK883" s="40"/>
      <c r="AL883" s="40"/>
      <c r="AM883" s="40"/>
      <c r="AN883" s="40"/>
      <c r="AO883" s="40"/>
      <c r="AP883" s="40"/>
      <c r="AQ883" s="40"/>
      <c r="AR883" s="40"/>
      <c r="AW883" s="40"/>
      <c r="AX883" s="65"/>
      <c r="AY883" s="65"/>
      <c r="AZ883" s="16"/>
      <c r="BA883" s="16"/>
      <c r="BB883" s="65"/>
      <c r="BC883" s="16"/>
      <c r="BD883" s="16"/>
      <c r="BE883" s="16"/>
      <c r="BF883" s="40"/>
      <c r="BG883" s="40"/>
      <c r="BH883" s="40"/>
      <c r="BI883" s="40"/>
      <c r="BJ883" s="40"/>
      <c r="BK883" s="40"/>
      <c r="BL883" s="40"/>
      <c r="BM883" s="40"/>
      <c r="BN883" s="40"/>
      <c r="BO883" s="40"/>
      <c r="BP883" s="40"/>
      <c r="BQ883" s="40"/>
      <c r="BR883" s="40"/>
      <c r="BS883" s="40"/>
      <c r="BT883" s="40"/>
      <c r="BU883" s="40"/>
      <c r="BV883" s="40"/>
      <c r="BW883" s="17"/>
      <c r="BX883" s="9"/>
      <c r="BY883" s="40"/>
      <c r="BZ883" s="40"/>
      <c r="CA883" s="40"/>
      <c r="CB883" s="40"/>
      <c r="CC883" s="8"/>
    </row>
    <row r="884" ht="18.75" customHeight="1">
      <c r="A884" s="40"/>
      <c r="B884" s="17"/>
      <c r="D884" s="40"/>
      <c r="G884" s="42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2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  <c r="AD884" s="40"/>
      <c r="AE884" s="40"/>
      <c r="AF884" s="40"/>
      <c r="AG884" s="40"/>
      <c r="AH884" s="40"/>
      <c r="AI884" s="40"/>
      <c r="AJ884" s="40"/>
      <c r="AK884" s="40"/>
      <c r="AL884" s="40"/>
      <c r="AM884" s="40"/>
      <c r="AN884" s="40"/>
      <c r="AO884" s="40"/>
      <c r="AP884" s="40"/>
      <c r="AQ884" s="40"/>
      <c r="AR884" s="40"/>
      <c r="AW884" s="40"/>
      <c r="AX884" s="65"/>
      <c r="AY884" s="65"/>
      <c r="AZ884" s="16"/>
      <c r="BA884" s="16"/>
      <c r="BB884" s="65"/>
      <c r="BC884" s="16"/>
      <c r="BD884" s="16"/>
      <c r="BE884" s="16"/>
      <c r="BF884" s="40"/>
      <c r="BG884" s="40"/>
      <c r="BH884" s="40"/>
      <c r="BI884" s="40"/>
      <c r="BJ884" s="40"/>
      <c r="BK884" s="40"/>
      <c r="BL884" s="40"/>
      <c r="BM884" s="40"/>
      <c r="BN884" s="40"/>
      <c r="BO884" s="40"/>
      <c r="BP884" s="40"/>
      <c r="BQ884" s="40"/>
      <c r="BR884" s="40"/>
      <c r="BS884" s="40"/>
      <c r="BT884" s="40"/>
      <c r="BU884" s="40"/>
      <c r="BV884" s="40"/>
      <c r="BW884" s="17"/>
      <c r="BX884" s="9"/>
      <c r="BY884" s="40"/>
      <c r="BZ884" s="40"/>
      <c r="CA884" s="40"/>
      <c r="CB884" s="40"/>
      <c r="CC884" s="8"/>
    </row>
    <row r="885" ht="18.75" customHeight="1">
      <c r="A885" s="40"/>
      <c r="B885" s="17"/>
      <c r="D885" s="40"/>
      <c r="G885" s="42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2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  <c r="AD885" s="40"/>
      <c r="AE885" s="40"/>
      <c r="AF885" s="40"/>
      <c r="AG885" s="40"/>
      <c r="AH885" s="40"/>
      <c r="AI885" s="40"/>
      <c r="AJ885" s="40"/>
      <c r="AK885" s="40"/>
      <c r="AL885" s="40"/>
      <c r="AM885" s="40"/>
      <c r="AN885" s="40"/>
      <c r="AO885" s="40"/>
      <c r="AP885" s="40"/>
      <c r="AQ885" s="40"/>
      <c r="AR885" s="40"/>
      <c r="AW885" s="40"/>
      <c r="AX885" s="65"/>
      <c r="AY885" s="65"/>
      <c r="AZ885" s="16"/>
      <c r="BA885" s="16"/>
      <c r="BB885" s="65"/>
      <c r="BC885" s="16"/>
      <c r="BD885" s="16"/>
      <c r="BE885" s="16"/>
      <c r="BF885" s="40"/>
      <c r="BG885" s="40"/>
      <c r="BH885" s="40"/>
      <c r="BI885" s="40"/>
      <c r="BJ885" s="40"/>
      <c r="BK885" s="40"/>
      <c r="BL885" s="40"/>
      <c r="BM885" s="40"/>
      <c r="BN885" s="40"/>
      <c r="BO885" s="40"/>
      <c r="BP885" s="40"/>
      <c r="BQ885" s="40"/>
      <c r="BR885" s="40"/>
      <c r="BS885" s="40"/>
      <c r="BT885" s="40"/>
      <c r="BU885" s="40"/>
      <c r="BV885" s="40"/>
      <c r="BW885" s="17"/>
      <c r="BX885" s="9"/>
      <c r="BY885" s="40"/>
      <c r="BZ885" s="40"/>
      <c r="CA885" s="40"/>
      <c r="CB885" s="40"/>
      <c r="CC885" s="8"/>
    </row>
    <row r="886" ht="18.75" customHeight="1">
      <c r="A886" s="40"/>
      <c r="B886" s="17"/>
      <c r="D886" s="40"/>
      <c r="G886" s="42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2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  <c r="AD886" s="40"/>
      <c r="AE886" s="40"/>
      <c r="AF886" s="40"/>
      <c r="AG886" s="40"/>
      <c r="AH886" s="40"/>
      <c r="AI886" s="40"/>
      <c r="AJ886" s="40"/>
      <c r="AK886" s="40"/>
      <c r="AL886" s="40"/>
      <c r="AM886" s="40"/>
      <c r="AN886" s="40"/>
      <c r="AO886" s="40"/>
      <c r="AP886" s="40"/>
      <c r="AQ886" s="40"/>
      <c r="AR886" s="40"/>
      <c r="AW886" s="40"/>
      <c r="AX886" s="65"/>
      <c r="AY886" s="65"/>
      <c r="AZ886" s="16"/>
      <c r="BA886" s="16"/>
      <c r="BB886" s="65"/>
      <c r="BC886" s="16"/>
      <c r="BD886" s="16"/>
      <c r="BE886" s="16"/>
      <c r="BF886" s="40"/>
      <c r="BG886" s="40"/>
      <c r="BH886" s="40"/>
      <c r="BI886" s="40"/>
      <c r="BJ886" s="40"/>
      <c r="BK886" s="40"/>
      <c r="BL886" s="40"/>
      <c r="BM886" s="40"/>
      <c r="BN886" s="40"/>
      <c r="BO886" s="40"/>
      <c r="BP886" s="40"/>
      <c r="BQ886" s="40"/>
      <c r="BR886" s="40"/>
      <c r="BS886" s="40"/>
      <c r="BT886" s="40"/>
      <c r="BU886" s="40"/>
      <c r="BV886" s="40"/>
      <c r="BW886" s="17"/>
      <c r="BX886" s="9"/>
      <c r="BY886" s="40"/>
      <c r="BZ886" s="40"/>
      <c r="CA886" s="40"/>
      <c r="CB886" s="40"/>
      <c r="CC886" s="8"/>
    </row>
    <row r="887" ht="18.75" customHeight="1">
      <c r="A887" s="40"/>
      <c r="B887" s="17"/>
      <c r="D887" s="40"/>
      <c r="G887" s="42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2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  <c r="AD887" s="40"/>
      <c r="AE887" s="40"/>
      <c r="AF887" s="40"/>
      <c r="AG887" s="40"/>
      <c r="AH887" s="40"/>
      <c r="AI887" s="40"/>
      <c r="AJ887" s="40"/>
      <c r="AK887" s="40"/>
      <c r="AL887" s="40"/>
      <c r="AM887" s="40"/>
      <c r="AN887" s="40"/>
      <c r="AO887" s="40"/>
      <c r="AP887" s="40"/>
      <c r="AQ887" s="40"/>
      <c r="AR887" s="40"/>
      <c r="AW887" s="40"/>
      <c r="AX887" s="65"/>
      <c r="AY887" s="65"/>
      <c r="AZ887" s="16"/>
      <c r="BA887" s="16"/>
      <c r="BB887" s="65"/>
      <c r="BC887" s="16"/>
      <c r="BD887" s="16"/>
      <c r="BE887" s="16"/>
      <c r="BF887" s="40"/>
      <c r="BG887" s="40"/>
      <c r="BH887" s="40"/>
      <c r="BI887" s="40"/>
      <c r="BJ887" s="40"/>
      <c r="BK887" s="40"/>
      <c r="BL887" s="40"/>
      <c r="BM887" s="40"/>
      <c r="BN887" s="40"/>
      <c r="BO887" s="40"/>
      <c r="BP887" s="40"/>
      <c r="BQ887" s="40"/>
      <c r="BR887" s="40"/>
      <c r="BS887" s="40"/>
      <c r="BT887" s="40"/>
      <c r="BU887" s="40"/>
      <c r="BV887" s="40"/>
      <c r="BW887" s="17"/>
      <c r="BX887" s="9"/>
      <c r="BY887" s="40"/>
      <c r="BZ887" s="40"/>
      <c r="CA887" s="40"/>
      <c r="CB887" s="40"/>
      <c r="CC887" s="8"/>
    </row>
    <row r="888" ht="18.75" customHeight="1">
      <c r="A888" s="40"/>
      <c r="B888" s="17"/>
      <c r="D888" s="40"/>
      <c r="G888" s="42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2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  <c r="AD888" s="40"/>
      <c r="AE888" s="40"/>
      <c r="AF888" s="40"/>
      <c r="AG888" s="40"/>
      <c r="AH888" s="40"/>
      <c r="AI888" s="40"/>
      <c r="AJ888" s="40"/>
      <c r="AK888" s="40"/>
      <c r="AL888" s="40"/>
      <c r="AM888" s="40"/>
      <c r="AN888" s="40"/>
      <c r="AO888" s="40"/>
      <c r="AP888" s="40"/>
      <c r="AQ888" s="40"/>
      <c r="AR888" s="40"/>
      <c r="AW888" s="40"/>
      <c r="AX888" s="65"/>
      <c r="AY888" s="65"/>
      <c r="AZ888" s="16"/>
      <c r="BA888" s="16"/>
      <c r="BB888" s="65"/>
      <c r="BC888" s="16"/>
      <c r="BD888" s="16"/>
      <c r="BE888" s="16"/>
      <c r="BF888" s="40"/>
      <c r="BG888" s="40"/>
      <c r="BH888" s="40"/>
      <c r="BI888" s="40"/>
      <c r="BJ888" s="40"/>
      <c r="BK888" s="40"/>
      <c r="BL888" s="40"/>
      <c r="BM888" s="40"/>
      <c r="BN888" s="40"/>
      <c r="BO888" s="40"/>
      <c r="BP888" s="40"/>
      <c r="BQ888" s="40"/>
      <c r="BR888" s="40"/>
      <c r="BS888" s="40"/>
      <c r="BT888" s="40"/>
      <c r="BU888" s="40"/>
      <c r="BV888" s="40"/>
      <c r="BW888" s="17"/>
      <c r="BX888" s="9"/>
      <c r="BY888" s="40"/>
      <c r="BZ888" s="40"/>
      <c r="CA888" s="40"/>
      <c r="CB888" s="40"/>
      <c r="CC888" s="8"/>
    </row>
    <row r="889" ht="18.75" customHeight="1">
      <c r="A889" s="40"/>
      <c r="B889" s="17"/>
      <c r="D889" s="40"/>
      <c r="G889" s="42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2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  <c r="AD889" s="40"/>
      <c r="AE889" s="40"/>
      <c r="AF889" s="40"/>
      <c r="AG889" s="40"/>
      <c r="AH889" s="40"/>
      <c r="AI889" s="40"/>
      <c r="AJ889" s="40"/>
      <c r="AK889" s="40"/>
      <c r="AL889" s="40"/>
      <c r="AM889" s="40"/>
      <c r="AN889" s="40"/>
      <c r="AO889" s="40"/>
      <c r="AP889" s="40"/>
      <c r="AQ889" s="40"/>
      <c r="AR889" s="40"/>
      <c r="AW889" s="40"/>
      <c r="AX889" s="65"/>
      <c r="AY889" s="65"/>
      <c r="AZ889" s="16"/>
      <c r="BA889" s="16"/>
      <c r="BB889" s="65"/>
      <c r="BC889" s="16"/>
      <c r="BD889" s="16"/>
      <c r="BE889" s="16"/>
      <c r="BF889" s="40"/>
      <c r="BG889" s="40"/>
      <c r="BH889" s="40"/>
      <c r="BI889" s="40"/>
      <c r="BJ889" s="40"/>
      <c r="BK889" s="40"/>
      <c r="BL889" s="40"/>
      <c r="BM889" s="40"/>
      <c r="BN889" s="40"/>
      <c r="BO889" s="40"/>
      <c r="BP889" s="40"/>
      <c r="BQ889" s="40"/>
      <c r="BR889" s="40"/>
      <c r="BS889" s="40"/>
      <c r="BT889" s="40"/>
      <c r="BU889" s="40"/>
      <c r="BV889" s="40"/>
      <c r="BW889" s="17"/>
      <c r="BX889" s="9"/>
      <c r="BY889" s="40"/>
      <c r="BZ889" s="40"/>
      <c r="CA889" s="40"/>
      <c r="CB889" s="40"/>
      <c r="CC889" s="8"/>
    </row>
    <row r="890" ht="18.75" customHeight="1">
      <c r="A890" s="40"/>
      <c r="B890" s="17"/>
      <c r="D890" s="40"/>
      <c r="G890" s="42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2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  <c r="AD890" s="40"/>
      <c r="AE890" s="40"/>
      <c r="AF890" s="40"/>
      <c r="AG890" s="40"/>
      <c r="AH890" s="40"/>
      <c r="AI890" s="40"/>
      <c r="AJ890" s="40"/>
      <c r="AK890" s="40"/>
      <c r="AL890" s="40"/>
      <c r="AM890" s="40"/>
      <c r="AN890" s="40"/>
      <c r="AO890" s="40"/>
      <c r="AP890" s="40"/>
      <c r="AQ890" s="40"/>
      <c r="AR890" s="40"/>
      <c r="AW890" s="40"/>
      <c r="AX890" s="65"/>
      <c r="AY890" s="65"/>
      <c r="AZ890" s="16"/>
      <c r="BA890" s="16"/>
      <c r="BB890" s="65"/>
      <c r="BC890" s="16"/>
      <c r="BD890" s="16"/>
      <c r="BE890" s="16"/>
      <c r="BF890" s="40"/>
      <c r="BG890" s="40"/>
      <c r="BH890" s="40"/>
      <c r="BI890" s="40"/>
      <c r="BJ890" s="40"/>
      <c r="BK890" s="40"/>
      <c r="BL890" s="40"/>
      <c r="BM890" s="40"/>
      <c r="BN890" s="40"/>
      <c r="BO890" s="40"/>
      <c r="BP890" s="40"/>
      <c r="BQ890" s="40"/>
      <c r="BR890" s="40"/>
      <c r="BS890" s="40"/>
      <c r="BT890" s="40"/>
      <c r="BU890" s="40"/>
      <c r="BV890" s="40"/>
      <c r="BW890" s="17"/>
      <c r="BX890" s="9"/>
      <c r="BY890" s="40"/>
      <c r="BZ890" s="40"/>
      <c r="CA890" s="40"/>
      <c r="CB890" s="40"/>
      <c r="CC890" s="8"/>
    </row>
    <row r="891" ht="18.75" customHeight="1">
      <c r="A891" s="40"/>
      <c r="B891" s="17"/>
      <c r="D891" s="40"/>
      <c r="G891" s="42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2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  <c r="AD891" s="40"/>
      <c r="AE891" s="40"/>
      <c r="AF891" s="40"/>
      <c r="AG891" s="40"/>
      <c r="AH891" s="40"/>
      <c r="AI891" s="40"/>
      <c r="AJ891" s="40"/>
      <c r="AK891" s="40"/>
      <c r="AL891" s="40"/>
      <c r="AM891" s="40"/>
      <c r="AN891" s="40"/>
      <c r="AO891" s="40"/>
      <c r="AP891" s="40"/>
      <c r="AQ891" s="40"/>
      <c r="AR891" s="40"/>
      <c r="AW891" s="40"/>
      <c r="AX891" s="65"/>
      <c r="AY891" s="65"/>
      <c r="AZ891" s="16"/>
      <c r="BA891" s="16"/>
      <c r="BB891" s="65"/>
      <c r="BC891" s="16"/>
      <c r="BD891" s="16"/>
      <c r="BE891" s="16"/>
      <c r="BF891" s="40"/>
      <c r="BG891" s="40"/>
      <c r="BH891" s="40"/>
      <c r="BI891" s="40"/>
      <c r="BJ891" s="40"/>
      <c r="BK891" s="40"/>
      <c r="BL891" s="40"/>
      <c r="BM891" s="40"/>
      <c r="BN891" s="40"/>
      <c r="BO891" s="40"/>
      <c r="BP891" s="40"/>
      <c r="BQ891" s="40"/>
      <c r="BR891" s="40"/>
      <c r="BS891" s="40"/>
      <c r="BT891" s="40"/>
      <c r="BU891" s="40"/>
      <c r="BV891" s="40"/>
      <c r="BW891" s="17"/>
      <c r="BX891" s="9"/>
      <c r="BY891" s="40"/>
      <c r="BZ891" s="40"/>
      <c r="CA891" s="40"/>
      <c r="CB891" s="40"/>
      <c r="CC891" s="8"/>
    </row>
    <row r="892" ht="18.75" customHeight="1">
      <c r="A892" s="40"/>
      <c r="B892" s="17"/>
      <c r="D892" s="40"/>
      <c r="G892" s="42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2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  <c r="AD892" s="40"/>
      <c r="AE892" s="40"/>
      <c r="AF892" s="40"/>
      <c r="AG892" s="40"/>
      <c r="AH892" s="40"/>
      <c r="AI892" s="40"/>
      <c r="AJ892" s="40"/>
      <c r="AK892" s="40"/>
      <c r="AL892" s="40"/>
      <c r="AM892" s="40"/>
      <c r="AN892" s="40"/>
      <c r="AO892" s="40"/>
      <c r="AP892" s="40"/>
      <c r="AQ892" s="40"/>
      <c r="AR892" s="40"/>
      <c r="AW892" s="40"/>
      <c r="AX892" s="65"/>
      <c r="AY892" s="65"/>
      <c r="AZ892" s="16"/>
      <c r="BA892" s="16"/>
      <c r="BB892" s="65"/>
      <c r="BC892" s="16"/>
      <c r="BD892" s="16"/>
      <c r="BE892" s="16"/>
      <c r="BF892" s="40"/>
      <c r="BG892" s="40"/>
      <c r="BH892" s="40"/>
      <c r="BI892" s="40"/>
      <c r="BJ892" s="40"/>
      <c r="BK892" s="40"/>
      <c r="BL892" s="40"/>
      <c r="BM892" s="40"/>
      <c r="BN892" s="40"/>
      <c r="BO892" s="40"/>
      <c r="BP892" s="40"/>
      <c r="BQ892" s="40"/>
      <c r="BR892" s="40"/>
      <c r="BS892" s="40"/>
      <c r="BT892" s="40"/>
      <c r="BU892" s="40"/>
      <c r="BV892" s="40"/>
      <c r="BW892" s="17"/>
      <c r="BX892" s="9"/>
      <c r="BY892" s="40"/>
      <c r="BZ892" s="40"/>
      <c r="CA892" s="40"/>
      <c r="CB892" s="40"/>
      <c r="CC892" s="8"/>
    </row>
    <row r="893" ht="18.75" customHeight="1">
      <c r="A893" s="40"/>
      <c r="B893" s="17"/>
      <c r="D893" s="40"/>
      <c r="G893" s="42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2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  <c r="AD893" s="40"/>
      <c r="AE893" s="40"/>
      <c r="AF893" s="40"/>
      <c r="AG893" s="40"/>
      <c r="AH893" s="40"/>
      <c r="AI893" s="40"/>
      <c r="AJ893" s="40"/>
      <c r="AK893" s="40"/>
      <c r="AL893" s="40"/>
      <c r="AM893" s="40"/>
      <c r="AN893" s="40"/>
      <c r="AO893" s="40"/>
      <c r="AP893" s="40"/>
      <c r="AQ893" s="40"/>
      <c r="AR893" s="40"/>
      <c r="AW893" s="40"/>
      <c r="AX893" s="65"/>
      <c r="AY893" s="65"/>
      <c r="AZ893" s="16"/>
      <c r="BA893" s="16"/>
      <c r="BB893" s="65"/>
      <c r="BC893" s="16"/>
      <c r="BD893" s="16"/>
      <c r="BE893" s="16"/>
      <c r="BF893" s="40"/>
      <c r="BG893" s="40"/>
      <c r="BH893" s="40"/>
      <c r="BI893" s="40"/>
      <c r="BJ893" s="40"/>
      <c r="BK893" s="40"/>
      <c r="BL893" s="40"/>
      <c r="BM893" s="40"/>
      <c r="BN893" s="40"/>
      <c r="BO893" s="40"/>
      <c r="BP893" s="40"/>
      <c r="BQ893" s="40"/>
      <c r="BR893" s="40"/>
      <c r="BS893" s="40"/>
      <c r="BT893" s="40"/>
      <c r="BU893" s="40"/>
      <c r="BV893" s="40"/>
      <c r="BW893" s="17"/>
      <c r="BX893" s="9"/>
      <c r="BY893" s="40"/>
      <c r="BZ893" s="40"/>
      <c r="CA893" s="40"/>
      <c r="CB893" s="40"/>
      <c r="CC893" s="8"/>
    </row>
    <row r="894" ht="18.75" customHeight="1">
      <c r="A894" s="40"/>
      <c r="B894" s="17"/>
      <c r="D894" s="40"/>
      <c r="G894" s="42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2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  <c r="AD894" s="40"/>
      <c r="AE894" s="40"/>
      <c r="AF894" s="40"/>
      <c r="AG894" s="40"/>
      <c r="AH894" s="40"/>
      <c r="AI894" s="40"/>
      <c r="AJ894" s="40"/>
      <c r="AK894" s="40"/>
      <c r="AL894" s="40"/>
      <c r="AM894" s="40"/>
      <c r="AN894" s="40"/>
      <c r="AO894" s="40"/>
      <c r="AP894" s="40"/>
      <c r="AQ894" s="40"/>
      <c r="AR894" s="40"/>
      <c r="AW894" s="40"/>
      <c r="AX894" s="65"/>
      <c r="AY894" s="65"/>
      <c r="AZ894" s="16"/>
      <c r="BA894" s="16"/>
      <c r="BB894" s="65"/>
      <c r="BC894" s="16"/>
      <c r="BD894" s="16"/>
      <c r="BE894" s="16"/>
      <c r="BF894" s="40"/>
      <c r="BG894" s="40"/>
      <c r="BH894" s="40"/>
      <c r="BI894" s="40"/>
      <c r="BJ894" s="40"/>
      <c r="BK894" s="40"/>
      <c r="BL894" s="40"/>
      <c r="BM894" s="40"/>
      <c r="BN894" s="40"/>
      <c r="BO894" s="40"/>
      <c r="BP894" s="40"/>
      <c r="BQ894" s="40"/>
      <c r="BR894" s="40"/>
      <c r="BS894" s="40"/>
      <c r="BT894" s="40"/>
      <c r="BU894" s="40"/>
      <c r="BV894" s="40"/>
      <c r="BW894" s="17"/>
      <c r="BX894" s="9"/>
      <c r="BY894" s="40"/>
      <c r="BZ894" s="40"/>
      <c r="CA894" s="40"/>
      <c r="CB894" s="40"/>
      <c r="CC894" s="8"/>
    </row>
    <row r="895" ht="18.75" customHeight="1">
      <c r="A895" s="40"/>
      <c r="B895" s="17"/>
      <c r="D895" s="40"/>
      <c r="G895" s="42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2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  <c r="AD895" s="40"/>
      <c r="AE895" s="40"/>
      <c r="AF895" s="40"/>
      <c r="AG895" s="40"/>
      <c r="AH895" s="40"/>
      <c r="AI895" s="40"/>
      <c r="AJ895" s="40"/>
      <c r="AK895" s="40"/>
      <c r="AL895" s="40"/>
      <c r="AM895" s="40"/>
      <c r="AN895" s="40"/>
      <c r="AO895" s="40"/>
      <c r="AP895" s="40"/>
      <c r="AQ895" s="40"/>
      <c r="AR895" s="40"/>
      <c r="AW895" s="40"/>
      <c r="AX895" s="65"/>
      <c r="AY895" s="65"/>
      <c r="AZ895" s="16"/>
      <c r="BA895" s="16"/>
      <c r="BB895" s="65"/>
      <c r="BC895" s="16"/>
      <c r="BD895" s="16"/>
      <c r="BE895" s="16"/>
      <c r="BF895" s="40"/>
      <c r="BG895" s="40"/>
      <c r="BH895" s="40"/>
      <c r="BI895" s="40"/>
      <c r="BJ895" s="40"/>
      <c r="BK895" s="40"/>
      <c r="BL895" s="40"/>
      <c r="BM895" s="40"/>
      <c r="BN895" s="40"/>
      <c r="BO895" s="40"/>
      <c r="BP895" s="40"/>
      <c r="BQ895" s="40"/>
      <c r="BR895" s="40"/>
      <c r="BS895" s="40"/>
      <c r="BT895" s="40"/>
      <c r="BU895" s="40"/>
      <c r="BV895" s="40"/>
      <c r="BW895" s="17"/>
      <c r="BX895" s="9"/>
      <c r="BY895" s="40"/>
      <c r="BZ895" s="40"/>
      <c r="CA895" s="40"/>
      <c r="CB895" s="40"/>
      <c r="CC895" s="8"/>
    </row>
    <row r="896" ht="18.75" customHeight="1">
      <c r="A896" s="40"/>
      <c r="B896" s="17"/>
      <c r="D896" s="40"/>
      <c r="G896" s="42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2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  <c r="AD896" s="40"/>
      <c r="AE896" s="40"/>
      <c r="AF896" s="40"/>
      <c r="AG896" s="40"/>
      <c r="AH896" s="40"/>
      <c r="AI896" s="40"/>
      <c r="AJ896" s="40"/>
      <c r="AK896" s="40"/>
      <c r="AL896" s="40"/>
      <c r="AM896" s="40"/>
      <c r="AN896" s="40"/>
      <c r="AO896" s="40"/>
      <c r="AP896" s="40"/>
      <c r="AQ896" s="40"/>
      <c r="AR896" s="40"/>
      <c r="AW896" s="40"/>
      <c r="AX896" s="65"/>
      <c r="AY896" s="65"/>
      <c r="AZ896" s="16"/>
      <c r="BA896" s="16"/>
      <c r="BB896" s="65"/>
      <c r="BC896" s="16"/>
      <c r="BD896" s="16"/>
      <c r="BE896" s="16"/>
      <c r="BF896" s="40"/>
      <c r="BG896" s="40"/>
      <c r="BH896" s="40"/>
      <c r="BI896" s="40"/>
      <c r="BJ896" s="40"/>
      <c r="BK896" s="40"/>
      <c r="BL896" s="40"/>
      <c r="BM896" s="40"/>
      <c r="BN896" s="40"/>
      <c r="BO896" s="40"/>
      <c r="BP896" s="40"/>
      <c r="BQ896" s="40"/>
      <c r="BR896" s="40"/>
      <c r="BS896" s="40"/>
      <c r="BT896" s="40"/>
      <c r="BU896" s="40"/>
      <c r="BV896" s="40"/>
      <c r="BW896" s="17"/>
      <c r="BX896" s="9"/>
      <c r="BY896" s="40"/>
      <c r="BZ896" s="40"/>
      <c r="CA896" s="40"/>
      <c r="CB896" s="40"/>
      <c r="CC896" s="8"/>
    </row>
    <row r="897" ht="18.75" customHeight="1">
      <c r="A897" s="40"/>
      <c r="B897" s="17"/>
      <c r="D897" s="40"/>
      <c r="G897" s="42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2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  <c r="AD897" s="40"/>
      <c r="AE897" s="40"/>
      <c r="AF897" s="40"/>
      <c r="AG897" s="40"/>
      <c r="AH897" s="40"/>
      <c r="AI897" s="40"/>
      <c r="AJ897" s="40"/>
      <c r="AK897" s="40"/>
      <c r="AL897" s="40"/>
      <c r="AM897" s="40"/>
      <c r="AN897" s="40"/>
      <c r="AO897" s="40"/>
      <c r="AP897" s="40"/>
      <c r="AQ897" s="40"/>
      <c r="AR897" s="40"/>
      <c r="AW897" s="40"/>
      <c r="AX897" s="65"/>
      <c r="AY897" s="65"/>
      <c r="AZ897" s="16"/>
      <c r="BA897" s="16"/>
      <c r="BB897" s="65"/>
      <c r="BC897" s="16"/>
      <c r="BD897" s="16"/>
      <c r="BE897" s="16"/>
      <c r="BF897" s="40"/>
      <c r="BG897" s="40"/>
      <c r="BH897" s="40"/>
      <c r="BI897" s="40"/>
      <c r="BJ897" s="40"/>
      <c r="BK897" s="40"/>
      <c r="BL897" s="40"/>
      <c r="BM897" s="40"/>
      <c r="BN897" s="40"/>
      <c r="BO897" s="40"/>
      <c r="BP897" s="40"/>
      <c r="BQ897" s="40"/>
      <c r="BR897" s="40"/>
      <c r="BS897" s="40"/>
      <c r="BT897" s="40"/>
      <c r="BU897" s="40"/>
      <c r="BV897" s="40"/>
      <c r="BW897" s="17"/>
      <c r="BX897" s="9"/>
      <c r="BY897" s="40"/>
      <c r="BZ897" s="40"/>
      <c r="CA897" s="40"/>
      <c r="CB897" s="40"/>
      <c r="CC897" s="8"/>
    </row>
    <row r="898" ht="18.75" customHeight="1">
      <c r="A898" s="40"/>
      <c r="B898" s="17"/>
      <c r="D898" s="40"/>
      <c r="G898" s="42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2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  <c r="AD898" s="40"/>
      <c r="AE898" s="40"/>
      <c r="AF898" s="40"/>
      <c r="AG898" s="40"/>
      <c r="AH898" s="40"/>
      <c r="AI898" s="40"/>
      <c r="AJ898" s="40"/>
      <c r="AK898" s="40"/>
      <c r="AL898" s="40"/>
      <c r="AM898" s="40"/>
      <c r="AN898" s="40"/>
      <c r="AO898" s="40"/>
      <c r="AP898" s="40"/>
      <c r="AQ898" s="40"/>
      <c r="AR898" s="40"/>
      <c r="AW898" s="40"/>
      <c r="AX898" s="65"/>
      <c r="AY898" s="65"/>
      <c r="AZ898" s="16"/>
      <c r="BA898" s="16"/>
      <c r="BB898" s="65"/>
      <c r="BC898" s="16"/>
      <c r="BD898" s="16"/>
      <c r="BE898" s="16"/>
      <c r="BF898" s="40"/>
      <c r="BG898" s="40"/>
      <c r="BH898" s="40"/>
      <c r="BI898" s="40"/>
      <c r="BJ898" s="40"/>
      <c r="BK898" s="40"/>
      <c r="BL898" s="40"/>
      <c r="BM898" s="40"/>
      <c r="BN898" s="40"/>
      <c r="BO898" s="40"/>
      <c r="BP898" s="40"/>
      <c r="BQ898" s="40"/>
      <c r="BR898" s="40"/>
      <c r="BS898" s="40"/>
      <c r="BT898" s="40"/>
      <c r="BU898" s="40"/>
      <c r="BV898" s="40"/>
      <c r="BW898" s="17"/>
      <c r="BX898" s="9"/>
      <c r="BY898" s="40"/>
      <c r="BZ898" s="40"/>
      <c r="CA898" s="40"/>
      <c r="CB898" s="40"/>
      <c r="CC898" s="8"/>
    </row>
    <row r="899" ht="18.75" customHeight="1">
      <c r="A899" s="40"/>
      <c r="B899" s="17"/>
      <c r="D899" s="40"/>
      <c r="G899" s="42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2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  <c r="AD899" s="40"/>
      <c r="AE899" s="40"/>
      <c r="AF899" s="40"/>
      <c r="AG899" s="40"/>
      <c r="AH899" s="40"/>
      <c r="AI899" s="40"/>
      <c r="AJ899" s="40"/>
      <c r="AK899" s="40"/>
      <c r="AL899" s="40"/>
      <c r="AM899" s="40"/>
      <c r="AN899" s="40"/>
      <c r="AO899" s="40"/>
      <c r="AP899" s="40"/>
      <c r="AQ899" s="40"/>
      <c r="AR899" s="40"/>
      <c r="AW899" s="40"/>
      <c r="AX899" s="65"/>
      <c r="AY899" s="65"/>
      <c r="AZ899" s="16"/>
      <c r="BA899" s="16"/>
      <c r="BB899" s="65"/>
      <c r="BC899" s="16"/>
      <c r="BD899" s="16"/>
      <c r="BE899" s="16"/>
      <c r="BF899" s="40"/>
      <c r="BG899" s="40"/>
      <c r="BH899" s="40"/>
      <c r="BI899" s="40"/>
      <c r="BJ899" s="40"/>
      <c r="BK899" s="40"/>
      <c r="BL899" s="40"/>
      <c r="BM899" s="40"/>
      <c r="BN899" s="40"/>
      <c r="BO899" s="40"/>
      <c r="BP899" s="40"/>
      <c r="BQ899" s="40"/>
      <c r="BR899" s="40"/>
      <c r="BS899" s="40"/>
      <c r="BT899" s="40"/>
      <c r="BU899" s="40"/>
      <c r="BV899" s="40"/>
      <c r="BW899" s="17"/>
      <c r="BX899" s="9"/>
      <c r="BY899" s="40"/>
      <c r="BZ899" s="40"/>
      <c r="CA899" s="40"/>
      <c r="CB899" s="40"/>
      <c r="CC899" s="8"/>
    </row>
    <row r="900" ht="18.75" customHeight="1">
      <c r="A900" s="40"/>
      <c r="B900" s="17"/>
      <c r="D900" s="40"/>
      <c r="G900" s="42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2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  <c r="AD900" s="40"/>
      <c r="AE900" s="40"/>
      <c r="AF900" s="40"/>
      <c r="AG900" s="40"/>
      <c r="AH900" s="40"/>
      <c r="AI900" s="40"/>
      <c r="AJ900" s="40"/>
      <c r="AK900" s="40"/>
      <c r="AL900" s="40"/>
      <c r="AM900" s="40"/>
      <c r="AN900" s="40"/>
      <c r="AO900" s="40"/>
      <c r="AP900" s="40"/>
      <c r="AQ900" s="40"/>
      <c r="AR900" s="40"/>
      <c r="AW900" s="40"/>
      <c r="AX900" s="65"/>
      <c r="AY900" s="65"/>
      <c r="AZ900" s="16"/>
      <c r="BA900" s="16"/>
      <c r="BB900" s="65"/>
      <c r="BC900" s="16"/>
      <c r="BD900" s="16"/>
      <c r="BE900" s="16"/>
      <c r="BF900" s="40"/>
      <c r="BG900" s="40"/>
      <c r="BH900" s="40"/>
      <c r="BI900" s="40"/>
      <c r="BJ900" s="40"/>
      <c r="BK900" s="40"/>
      <c r="BL900" s="40"/>
      <c r="BM900" s="40"/>
      <c r="BN900" s="40"/>
      <c r="BO900" s="40"/>
      <c r="BP900" s="40"/>
      <c r="BQ900" s="40"/>
      <c r="BR900" s="40"/>
      <c r="BS900" s="40"/>
      <c r="BT900" s="40"/>
      <c r="BU900" s="40"/>
      <c r="BV900" s="40"/>
      <c r="BW900" s="17"/>
      <c r="BX900" s="9"/>
      <c r="BY900" s="40"/>
      <c r="BZ900" s="40"/>
      <c r="CA900" s="40"/>
      <c r="CB900" s="40"/>
      <c r="CC900" s="8"/>
    </row>
    <row r="901" ht="18.75" customHeight="1">
      <c r="A901" s="40"/>
      <c r="B901" s="17"/>
      <c r="D901" s="40"/>
      <c r="G901" s="42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2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  <c r="AD901" s="40"/>
      <c r="AE901" s="40"/>
      <c r="AF901" s="40"/>
      <c r="AG901" s="40"/>
      <c r="AH901" s="40"/>
      <c r="AI901" s="40"/>
      <c r="AJ901" s="40"/>
      <c r="AK901" s="40"/>
      <c r="AL901" s="40"/>
      <c r="AM901" s="40"/>
      <c r="AN901" s="40"/>
      <c r="AO901" s="40"/>
      <c r="AP901" s="40"/>
      <c r="AQ901" s="40"/>
      <c r="AR901" s="40"/>
      <c r="AW901" s="40"/>
      <c r="AX901" s="65"/>
      <c r="AY901" s="65"/>
      <c r="AZ901" s="16"/>
      <c r="BA901" s="16"/>
      <c r="BB901" s="65"/>
      <c r="BC901" s="16"/>
      <c r="BD901" s="16"/>
      <c r="BE901" s="16"/>
      <c r="BF901" s="40"/>
      <c r="BG901" s="40"/>
      <c r="BH901" s="40"/>
      <c r="BI901" s="40"/>
      <c r="BJ901" s="40"/>
      <c r="BK901" s="40"/>
      <c r="BL901" s="40"/>
      <c r="BM901" s="40"/>
      <c r="BN901" s="40"/>
      <c r="BO901" s="40"/>
      <c r="BP901" s="40"/>
      <c r="BQ901" s="40"/>
      <c r="BR901" s="40"/>
      <c r="BS901" s="40"/>
      <c r="BT901" s="40"/>
      <c r="BU901" s="40"/>
      <c r="BV901" s="40"/>
      <c r="BW901" s="17"/>
      <c r="BX901" s="9"/>
      <c r="BY901" s="40"/>
      <c r="BZ901" s="40"/>
      <c r="CA901" s="40"/>
      <c r="CB901" s="40"/>
      <c r="CC901" s="8"/>
    </row>
    <row r="902" ht="18.75" customHeight="1">
      <c r="A902" s="40"/>
      <c r="B902" s="17"/>
      <c r="D902" s="40"/>
      <c r="G902" s="42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2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  <c r="AD902" s="40"/>
      <c r="AE902" s="40"/>
      <c r="AF902" s="40"/>
      <c r="AG902" s="40"/>
      <c r="AH902" s="40"/>
      <c r="AI902" s="40"/>
      <c r="AJ902" s="40"/>
      <c r="AK902" s="40"/>
      <c r="AL902" s="40"/>
      <c r="AM902" s="40"/>
      <c r="AN902" s="40"/>
      <c r="AO902" s="40"/>
      <c r="AP902" s="40"/>
      <c r="AQ902" s="40"/>
      <c r="AR902" s="40"/>
      <c r="AW902" s="40"/>
      <c r="AX902" s="65"/>
      <c r="AY902" s="65"/>
      <c r="AZ902" s="16"/>
      <c r="BA902" s="16"/>
      <c r="BB902" s="65"/>
      <c r="BC902" s="16"/>
      <c r="BD902" s="16"/>
      <c r="BE902" s="16"/>
      <c r="BF902" s="40"/>
      <c r="BG902" s="40"/>
      <c r="BH902" s="40"/>
      <c r="BI902" s="40"/>
      <c r="BJ902" s="40"/>
      <c r="BK902" s="40"/>
      <c r="BL902" s="40"/>
      <c r="BM902" s="40"/>
      <c r="BN902" s="40"/>
      <c r="BO902" s="40"/>
      <c r="BP902" s="40"/>
      <c r="BQ902" s="40"/>
      <c r="BR902" s="40"/>
      <c r="BS902" s="40"/>
      <c r="BT902" s="40"/>
      <c r="BU902" s="40"/>
      <c r="BV902" s="40"/>
      <c r="BW902" s="17"/>
      <c r="BX902" s="9"/>
      <c r="BY902" s="40"/>
      <c r="BZ902" s="40"/>
      <c r="CA902" s="40"/>
      <c r="CB902" s="40"/>
      <c r="CC902" s="8"/>
    </row>
    <row r="903" ht="18.75" customHeight="1">
      <c r="A903" s="40"/>
      <c r="B903" s="17"/>
      <c r="D903" s="40"/>
      <c r="G903" s="42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2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  <c r="AD903" s="40"/>
      <c r="AE903" s="40"/>
      <c r="AF903" s="40"/>
      <c r="AG903" s="40"/>
      <c r="AH903" s="40"/>
      <c r="AI903" s="40"/>
      <c r="AJ903" s="40"/>
      <c r="AK903" s="40"/>
      <c r="AL903" s="40"/>
      <c r="AM903" s="40"/>
      <c r="AN903" s="40"/>
      <c r="AO903" s="40"/>
      <c r="AP903" s="40"/>
      <c r="AQ903" s="40"/>
      <c r="AR903" s="40"/>
      <c r="AW903" s="40"/>
      <c r="AX903" s="65"/>
      <c r="AY903" s="65"/>
      <c r="AZ903" s="16"/>
      <c r="BA903" s="16"/>
      <c r="BB903" s="65"/>
      <c r="BC903" s="16"/>
      <c r="BD903" s="16"/>
      <c r="BE903" s="16"/>
      <c r="BF903" s="40"/>
      <c r="BG903" s="40"/>
      <c r="BH903" s="40"/>
      <c r="BI903" s="40"/>
      <c r="BJ903" s="40"/>
      <c r="BK903" s="40"/>
      <c r="BL903" s="40"/>
      <c r="BM903" s="40"/>
      <c r="BN903" s="40"/>
      <c r="BO903" s="40"/>
      <c r="BP903" s="40"/>
      <c r="BQ903" s="40"/>
      <c r="BR903" s="40"/>
      <c r="BS903" s="40"/>
      <c r="BT903" s="40"/>
      <c r="BU903" s="40"/>
      <c r="BV903" s="40"/>
      <c r="BW903" s="17"/>
      <c r="BX903" s="9"/>
      <c r="BY903" s="40"/>
      <c r="BZ903" s="40"/>
      <c r="CA903" s="40"/>
      <c r="CB903" s="40"/>
      <c r="CC903" s="8"/>
    </row>
    <row r="904" ht="18.75" customHeight="1">
      <c r="A904" s="40"/>
      <c r="B904" s="17"/>
      <c r="D904" s="40"/>
      <c r="G904" s="42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2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  <c r="AD904" s="40"/>
      <c r="AE904" s="40"/>
      <c r="AF904" s="40"/>
      <c r="AG904" s="40"/>
      <c r="AH904" s="40"/>
      <c r="AI904" s="40"/>
      <c r="AJ904" s="40"/>
      <c r="AK904" s="40"/>
      <c r="AL904" s="40"/>
      <c r="AM904" s="40"/>
      <c r="AN904" s="40"/>
      <c r="AO904" s="40"/>
      <c r="AP904" s="40"/>
      <c r="AQ904" s="40"/>
      <c r="AR904" s="40"/>
      <c r="AW904" s="40"/>
      <c r="AX904" s="65"/>
      <c r="AY904" s="65"/>
      <c r="AZ904" s="16"/>
      <c r="BA904" s="16"/>
      <c r="BB904" s="65"/>
      <c r="BC904" s="16"/>
      <c r="BD904" s="16"/>
      <c r="BE904" s="16"/>
      <c r="BF904" s="40"/>
      <c r="BG904" s="40"/>
      <c r="BH904" s="40"/>
      <c r="BI904" s="40"/>
      <c r="BJ904" s="40"/>
      <c r="BK904" s="40"/>
      <c r="BL904" s="40"/>
      <c r="BM904" s="40"/>
      <c r="BN904" s="40"/>
      <c r="BO904" s="40"/>
      <c r="BP904" s="40"/>
      <c r="BQ904" s="40"/>
      <c r="BR904" s="40"/>
      <c r="BS904" s="40"/>
      <c r="BT904" s="40"/>
      <c r="BU904" s="40"/>
      <c r="BV904" s="40"/>
      <c r="BW904" s="17"/>
      <c r="BX904" s="9"/>
      <c r="BY904" s="40"/>
      <c r="BZ904" s="40"/>
      <c r="CA904" s="40"/>
      <c r="CB904" s="40"/>
      <c r="CC904" s="8"/>
    </row>
    <row r="905" ht="18.75" customHeight="1">
      <c r="A905" s="40"/>
      <c r="B905" s="17"/>
      <c r="D905" s="40"/>
      <c r="G905" s="42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2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  <c r="AD905" s="40"/>
      <c r="AE905" s="40"/>
      <c r="AF905" s="40"/>
      <c r="AG905" s="40"/>
      <c r="AH905" s="40"/>
      <c r="AI905" s="40"/>
      <c r="AJ905" s="40"/>
      <c r="AK905" s="40"/>
      <c r="AL905" s="40"/>
      <c r="AM905" s="40"/>
      <c r="AN905" s="40"/>
      <c r="AO905" s="40"/>
      <c r="AP905" s="40"/>
      <c r="AQ905" s="40"/>
      <c r="AR905" s="40"/>
      <c r="AW905" s="40"/>
      <c r="AX905" s="65"/>
      <c r="AY905" s="65"/>
      <c r="AZ905" s="16"/>
      <c r="BA905" s="16"/>
      <c r="BB905" s="65"/>
      <c r="BC905" s="16"/>
      <c r="BD905" s="16"/>
      <c r="BE905" s="16"/>
      <c r="BF905" s="40"/>
      <c r="BG905" s="40"/>
      <c r="BH905" s="40"/>
      <c r="BI905" s="40"/>
      <c r="BJ905" s="40"/>
      <c r="BK905" s="40"/>
      <c r="BL905" s="40"/>
      <c r="BM905" s="40"/>
      <c r="BN905" s="40"/>
      <c r="BO905" s="40"/>
      <c r="BP905" s="40"/>
      <c r="BQ905" s="40"/>
      <c r="BR905" s="40"/>
      <c r="BS905" s="40"/>
      <c r="BT905" s="40"/>
      <c r="BU905" s="40"/>
      <c r="BV905" s="40"/>
      <c r="BW905" s="17"/>
      <c r="BX905" s="9"/>
      <c r="BY905" s="40"/>
      <c r="BZ905" s="40"/>
      <c r="CA905" s="40"/>
      <c r="CB905" s="40"/>
      <c r="CC905" s="8"/>
    </row>
    <row r="906" ht="18.75" customHeight="1">
      <c r="A906" s="40"/>
      <c r="B906" s="17"/>
      <c r="D906" s="40"/>
      <c r="G906" s="42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2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  <c r="AD906" s="40"/>
      <c r="AE906" s="40"/>
      <c r="AF906" s="40"/>
      <c r="AG906" s="40"/>
      <c r="AH906" s="40"/>
      <c r="AI906" s="40"/>
      <c r="AJ906" s="40"/>
      <c r="AK906" s="40"/>
      <c r="AL906" s="40"/>
      <c r="AM906" s="40"/>
      <c r="AN906" s="40"/>
      <c r="AO906" s="40"/>
      <c r="AP906" s="40"/>
      <c r="AQ906" s="40"/>
      <c r="AR906" s="40"/>
      <c r="AW906" s="40"/>
      <c r="AX906" s="65"/>
      <c r="AY906" s="65"/>
      <c r="AZ906" s="16"/>
      <c r="BA906" s="16"/>
      <c r="BB906" s="65"/>
      <c r="BC906" s="16"/>
      <c r="BD906" s="16"/>
      <c r="BE906" s="16"/>
      <c r="BF906" s="40"/>
      <c r="BG906" s="40"/>
      <c r="BH906" s="40"/>
      <c r="BI906" s="40"/>
      <c r="BJ906" s="40"/>
      <c r="BK906" s="40"/>
      <c r="BL906" s="40"/>
      <c r="BM906" s="40"/>
      <c r="BN906" s="40"/>
      <c r="BO906" s="40"/>
      <c r="BP906" s="40"/>
      <c r="BQ906" s="40"/>
      <c r="BR906" s="40"/>
      <c r="BS906" s="40"/>
      <c r="BT906" s="40"/>
      <c r="BU906" s="40"/>
      <c r="BV906" s="40"/>
      <c r="BW906" s="17"/>
      <c r="BX906" s="9"/>
      <c r="BY906" s="40"/>
      <c r="BZ906" s="40"/>
      <c r="CA906" s="40"/>
      <c r="CB906" s="40"/>
      <c r="CC906" s="8"/>
    </row>
    <row r="907" ht="18.75" customHeight="1">
      <c r="A907" s="40"/>
      <c r="B907" s="17"/>
      <c r="D907" s="40"/>
      <c r="G907" s="42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2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  <c r="AD907" s="40"/>
      <c r="AE907" s="40"/>
      <c r="AF907" s="40"/>
      <c r="AG907" s="40"/>
      <c r="AH907" s="40"/>
      <c r="AI907" s="40"/>
      <c r="AJ907" s="40"/>
      <c r="AK907" s="40"/>
      <c r="AL907" s="40"/>
      <c r="AM907" s="40"/>
      <c r="AN907" s="40"/>
      <c r="AO907" s="40"/>
      <c r="AP907" s="40"/>
      <c r="AQ907" s="40"/>
      <c r="AR907" s="40"/>
      <c r="AW907" s="40"/>
      <c r="AX907" s="65"/>
      <c r="AY907" s="65"/>
      <c r="AZ907" s="16"/>
      <c r="BA907" s="16"/>
      <c r="BB907" s="65"/>
      <c r="BC907" s="16"/>
      <c r="BD907" s="16"/>
      <c r="BE907" s="16"/>
      <c r="BF907" s="40"/>
      <c r="BG907" s="40"/>
      <c r="BH907" s="40"/>
      <c r="BI907" s="40"/>
      <c r="BJ907" s="40"/>
      <c r="BK907" s="40"/>
      <c r="BL907" s="40"/>
      <c r="BM907" s="40"/>
      <c r="BN907" s="40"/>
      <c r="BO907" s="40"/>
      <c r="BP907" s="40"/>
      <c r="BQ907" s="40"/>
      <c r="BR907" s="40"/>
      <c r="BS907" s="40"/>
      <c r="BT907" s="40"/>
      <c r="BU907" s="40"/>
      <c r="BV907" s="40"/>
      <c r="BW907" s="17"/>
      <c r="BX907" s="9"/>
      <c r="BY907" s="40"/>
      <c r="BZ907" s="40"/>
      <c r="CA907" s="40"/>
      <c r="CB907" s="40"/>
      <c r="CC907" s="8"/>
    </row>
    <row r="908" ht="18.75" customHeight="1">
      <c r="A908" s="40"/>
      <c r="B908" s="17"/>
      <c r="D908" s="40"/>
      <c r="G908" s="42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2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  <c r="AD908" s="40"/>
      <c r="AE908" s="40"/>
      <c r="AF908" s="40"/>
      <c r="AG908" s="40"/>
      <c r="AH908" s="40"/>
      <c r="AI908" s="40"/>
      <c r="AJ908" s="40"/>
      <c r="AK908" s="40"/>
      <c r="AL908" s="40"/>
      <c r="AM908" s="40"/>
      <c r="AN908" s="40"/>
      <c r="AO908" s="40"/>
      <c r="AP908" s="40"/>
      <c r="AQ908" s="40"/>
      <c r="AR908" s="40"/>
      <c r="AW908" s="40"/>
      <c r="AX908" s="65"/>
      <c r="AY908" s="65"/>
      <c r="AZ908" s="16"/>
      <c r="BA908" s="16"/>
      <c r="BB908" s="65"/>
      <c r="BC908" s="16"/>
      <c r="BD908" s="16"/>
      <c r="BE908" s="16"/>
      <c r="BF908" s="40"/>
      <c r="BG908" s="40"/>
      <c r="BH908" s="40"/>
      <c r="BI908" s="40"/>
      <c r="BJ908" s="40"/>
      <c r="BK908" s="40"/>
      <c r="BL908" s="40"/>
      <c r="BM908" s="40"/>
      <c r="BN908" s="40"/>
      <c r="BO908" s="40"/>
      <c r="BP908" s="40"/>
      <c r="BQ908" s="40"/>
      <c r="BR908" s="40"/>
      <c r="BS908" s="40"/>
      <c r="BT908" s="40"/>
      <c r="BU908" s="40"/>
      <c r="BV908" s="40"/>
      <c r="BW908" s="17"/>
      <c r="BX908" s="9"/>
      <c r="BY908" s="40"/>
      <c r="BZ908" s="40"/>
      <c r="CA908" s="40"/>
      <c r="CB908" s="40"/>
      <c r="CC908" s="8"/>
    </row>
    <row r="909" ht="18.75" customHeight="1">
      <c r="A909" s="40"/>
      <c r="B909" s="17"/>
      <c r="D909" s="40"/>
      <c r="G909" s="42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2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  <c r="AD909" s="40"/>
      <c r="AE909" s="40"/>
      <c r="AF909" s="40"/>
      <c r="AG909" s="40"/>
      <c r="AH909" s="40"/>
      <c r="AI909" s="40"/>
      <c r="AJ909" s="40"/>
      <c r="AK909" s="40"/>
      <c r="AL909" s="40"/>
      <c r="AM909" s="40"/>
      <c r="AN909" s="40"/>
      <c r="AO909" s="40"/>
      <c r="AP909" s="40"/>
      <c r="AQ909" s="40"/>
      <c r="AR909" s="40"/>
      <c r="AW909" s="40"/>
      <c r="AX909" s="65"/>
      <c r="AY909" s="65"/>
      <c r="AZ909" s="16"/>
      <c r="BA909" s="16"/>
      <c r="BB909" s="65"/>
      <c r="BC909" s="16"/>
      <c r="BD909" s="16"/>
      <c r="BE909" s="16"/>
      <c r="BF909" s="40"/>
      <c r="BG909" s="40"/>
      <c r="BH909" s="40"/>
      <c r="BI909" s="40"/>
      <c r="BJ909" s="40"/>
      <c r="BK909" s="40"/>
      <c r="BL909" s="40"/>
      <c r="BM909" s="40"/>
      <c r="BN909" s="40"/>
      <c r="BO909" s="40"/>
      <c r="BP909" s="40"/>
      <c r="BQ909" s="40"/>
      <c r="BR909" s="40"/>
      <c r="BS909" s="40"/>
      <c r="BT909" s="40"/>
      <c r="BU909" s="40"/>
      <c r="BV909" s="40"/>
      <c r="BW909" s="17"/>
      <c r="BX909" s="9"/>
      <c r="BY909" s="40"/>
      <c r="BZ909" s="40"/>
      <c r="CA909" s="40"/>
      <c r="CB909" s="40"/>
      <c r="CC909" s="8"/>
    </row>
    <row r="910" ht="18.75" customHeight="1">
      <c r="A910" s="40"/>
      <c r="B910" s="17"/>
      <c r="D910" s="40"/>
      <c r="G910" s="42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2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  <c r="AD910" s="40"/>
      <c r="AE910" s="40"/>
      <c r="AF910" s="40"/>
      <c r="AG910" s="40"/>
      <c r="AH910" s="40"/>
      <c r="AI910" s="40"/>
      <c r="AJ910" s="40"/>
      <c r="AK910" s="40"/>
      <c r="AL910" s="40"/>
      <c r="AM910" s="40"/>
      <c r="AN910" s="40"/>
      <c r="AO910" s="40"/>
      <c r="AP910" s="40"/>
      <c r="AQ910" s="40"/>
      <c r="AR910" s="40"/>
      <c r="AW910" s="40"/>
      <c r="AX910" s="65"/>
      <c r="AY910" s="65"/>
      <c r="AZ910" s="16"/>
      <c r="BA910" s="16"/>
      <c r="BB910" s="65"/>
      <c r="BC910" s="16"/>
      <c r="BD910" s="16"/>
      <c r="BE910" s="16"/>
      <c r="BF910" s="40"/>
      <c r="BG910" s="40"/>
      <c r="BH910" s="40"/>
      <c r="BI910" s="40"/>
      <c r="BJ910" s="40"/>
      <c r="BK910" s="40"/>
      <c r="BL910" s="40"/>
      <c r="BM910" s="40"/>
      <c r="BN910" s="40"/>
      <c r="BO910" s="40"/>
      <c r="BP910" s="40"/>
      <c r="BQ910" s="40"/>
      <c r="BR910" s="40"/>
      <c r="BS910" s="40"/>
      <c r="BT910" s="40"/>
      <c r="BU910" s="40"/>
      <c r="BV910" s="40"/>
      <c r="BW910" s="17"/>
      <c r="BX910" s="9"/>
      <c r="BY910" s="40"/>
      <c r="BZ910" s="40"/>
      <c r="CA910" s="40"/>
      <c r="CB910" s="40"/>
      <c r="CC910" s="8"/>
    </row>
    <row r="911" ht="18.75" customHeight="1">
      <c r="A911" s="40"/>
      <c r="B911" s="17"/>
      <c r="D911" s="40"/>
      <c r="G911" s="42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2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  <c r="AD911" s="40"/>
      <c r="AE911" s="40"/>
      <c r="AF911" s="40"/>
      <c r="AG911" s="40"/>
      <c r="AH911" s="40"/>
      <c r="AI911" s="40"/>
      <c r="AJ911" s="40"/>
      <c r="AK911" s="40"/>
      <c r="AL911" s="40"/>
      <c r="AM911" s="40"/>
      <c r="AN911" s="40"/>
      <c r="AO911" s="40"/>
      <c r="AP911" s="40"/>
      <c r="AQ911" s="40"/>
      <c r="AR911" s="40"/>
      <c r="AW911" s="40"/>
      <c r="AX911" s="65"/>
      <c r="AY911" s="65"/>
      <c r="AZ911" s="16"/>
      <c r="BA911" s="16"/>
      <c r="BB911" s="65"/>
      <c r="BC911" s="16"/>
      <c r="BD911" s="16"/>
      <c r="BE911" s="16"/>
      <c r="BF911" s="40"/>
      <c r="BG911" s="40"/>
      <c r="BH911" s="40"/>
      <c r="BI911" s="40"/>
      <c r="BJ911" s="40"/>
      <c r="BK911" s="40"/>
      <c r="BL911" s="40"/>
      <c r="BM911" s="40"/>
      <c r="BN911" s="40"/>
      <c r="BO911" s="40"/>
      <c r="BP911" s="40"/>
      <c r="BQ911" s="40"/>
      <c r="BR911" s="40"/>
      <c r="BS911" s="40"/>
      <c r="BT911" s="40"/>
      <c r="BU911" s="40"/>
      <c r="BV911" s="40"/>
      <c r="BW911" s="17"/>
      <c r="BX911" s="9"/>
      <c r="BY911" s="40"/>
      <c r="BZ911" s="40"/>
      <c r="CA911" s="40"/>
      <c r="CB911" s="40"/>
      <c r="CC911" s="8"/>
    </row>
    <row r="912" ht="18.75" customHeight="1">
      <c r="A912" s="40"/>
      <c r="B912" s="17"/>
      <c r="D912" s="40"/>
      <c r="G912" s="42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2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  <c r="AD912" s="40"/>
      <c r="AE912" s="40"/>
      <c r="AF912" s="40"/>
      <c r="AG912" s="40"/>
      <c r="AH912" s="40"/>
      <c r="AI912" s="40"/>
      <c r="AJ912" s="40"/>
      <c r="AK912" s="40"/>
      <c r="AL912" s="40"/>
      <c r="AM912" s="40"/>
      <c r="AN912" s="40"/>
      <c r="AO912" s="40"/>
      <c r="AP912" s="40"/>
      <c r="AQ912" s="40"/>
      <c r="AR912" s="40"/>
      <c r="AW912" s="40"/>
      <c r="AX912" s="65"/>
      <c r="AY912" s="65"/>
      <c r="AZ912" s="16"/>
      <c r="BA912" s="16"/>
      <c r="BB912" s="65"/>
      <c r="BC912" s="16"/>
      <c r="BD912" s="16"/>
      <c r="BE912" s="16"/>
      <c r="BF912" s="40"/>
      <c r="BG912" s="40"/>
      <c r="BH912" s="40"/>
      <c r="BI912" s="40"/>
      <c r="BJ912" s="40"/>
      <c r="BK912" s="40"/>
      <c r="BL912" s="40"/>
      <c r="BM912" s="40"/>
      <c r="BN912" s="40"/>
      <c r="BO912" s="40"/>
      <c r="BP912" s="40"/>
      <c r="BQ912" s="40"/>
      <c r="BR912" s="40"/>
      <c r="BS912" s="40"/>
      <c r="BT912" s="40"/>
      <c r="BU912" s="40"/>
      <c r="BV912" s="40"/>
      <c r="BW912" s="17"/>
      <c r="BX912" s="9"/>
      <c r="BY912" s="40"/>
      <c r="BZ912" s="40"/>
      <c r="CA912" s="40"/>
      <c r="CB912" s="40"/>
      <c r="CC912" s="8"/>
    </row>
    <row r="913" ht="18.75" customHeight="1">
      <c r="A913" s="40"/>
      <c r="B913" s="17"/>
      <c r="D913" s="40"/>
      <c r="G913" s="42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2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  <c r="AD913" s="40"/>
      <c r="AE913" s="40"/>
      <c r="AF913" s="40"/>
      <c r="AG913" s="40"/>
      <c r="AH913" s="40"/>
      <c r="AI913" s="40"/>
      <c r="AJ913" s="40"/>
      <c r="AK913" s="40"/>
      <c r="AL913" s="40"/>
      <c r="AM913" s="40"/>
      <c r="AN913" s="40"/>
      <c r="AO913" s="40"/>
      <c r="AP913" s="40"/>
      <c r="AQ913" s="40"/>
      <c r="AR913" s="40"/>
      <c r="AW913" s="40"/>
      <c r="AX913" s="65"/>
      <c r="AY913" s="65"/>
      <c r="AZ913" s="16"/>
      <c r="BA913" s="16"/>
      <c r="BB913" s="65"/>
      <c r="BC913" s="16"/>
      <c r="BD913" s="16"/>
      <c r="BE913" s="16"/>
      <c r="BF913" s="40"/>
      <c r="BG913" s="40"/>
      <c r="BH913" s="40"/>
      <c r="BI913" s="40"/>
      <c r="BJ913" s="40"/>
      <c r="BK913" s="40"/>
      <c r="BL913" s="40"/>
      <c r="BM913" s="40"/>
      <c r="BN913" s="40"/>
      <c r="BO913" s="40"/>
      <c r="BP913" s="40"/>
      <c r="BQ913" s="40"/>
      <c r="BR913" s="40"/>
      <c r="BS913" s="40"/>
      <c r="BT913" s="40"/>
      <c r="BU913" s="40"/>
      <c r="BV913" s="40"/>
      <c r="BW913" s="17"/>
      <c r="BX913" s="9"/>
      <c r="BY913" s="40"/>
      <c r="BZ913" s="40"/>
      <c r="CA913" s="40"/>
      <c r="CB913" s="40"/>
      <c r="CC913" s="8"/>
    </row>
    <row r="914" ht="18.75" customHeight="1">
      <c r="A914" s="40"/>
      <c r="B914" s="17"/>
      <c r="D914" s="40"/>
      <c r="G914" s="42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2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  <c r="AD914" s="40"/>
      <c r="AE914" s="40"/>
      <c r="AF914" s="40"/>
      <c r="AG914" s="40"/>
      <c r="AH914" s="40"/>
      <c r="AI914" s="40"/>
      <c r="AJ914" s="40"/>
      <c r="AK914" s="40"/>
      <c r="AL914" s="40"/>
      <c r="AM914" s="40"/>
      <c r="AN914" s="40"/>
      <c r="AO914" s="40"/>
      <c r="AP914" s="40"/>
      <c r="AQ914" s="40"/>
      <c r="AR914" s="40"/>
      <c r="AW914" s="40"/>
      <c r="AX914" s="65"/>
      <c r="AY914" s="65"/>
      <c r="AZ914" s="16"/>
      <c r="BA914" s="16"/>
      <c r="BB914" s="65"/>
      <c r="BC914" s="16"/>
      <c r="BD914" s="16"/>
      <c r="BE914" s="16"/>
      <c r="BF914" s="40"/>
      <c r="BG914" s="40"/>
      <c r="BH914" s="40"/>
      <c r="BI914" s="40"/>
      <c r="BJ914" s="40"/>
      <c r="BK914" s="40"/>
      <c r="BL914" s="40"/>
      <c r="BM914" s="40"/>
      <c r="BN914" s="40"/>
      <c r="BO914" s="40"/>
      <c r="BP914" s="40"/>
      <c r="BQ914" s="40"/>
      <c r="BR914" s="40"/>
      <c r="BS914" s="40"/>
      <c r="BT914" s="40"/>
      <c r="BU914" s="40"/>
      <c r="BV914" s="40"/>
      <c r="BW914" s="17"/>
      <c r="BX914" s="9"/>
      <c r="BY914" s="40"/>
      <c r="BZ914" s="40"/>
      <c r="CA914" s="40"/>
      <c r="CB914" s="40"/>
      <c r="CC914" s="8"/>
    </row>
    <row r="915" ht="18.75" customHeight="1">
      <c r="A915" s="40"/>
      <c r="B915" s="17"/>
      <c r="D915" s="40"/>
      <c r="G915" s="42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2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  <c r="AD915" s="40"/>
      <c r="AE915" s="40"/>
      <c r="AF915" s="40"/>
      <c r="AG915" s="40"/>
      <c r="AH915" s="40"/>
      <c r="AI915" s="40"/>
      <c r="AJ915" s="40"/>
      <c r="AK915" s="40"/>
      <c r="AL915" s="40"/>
      <c r="AM915" s="40"/>
      <c r="AN915" s="40"/>
      <c r="AO915" s="40"/>
      <c r="AP915" s="40"/>
      <c r="AQ915" s="40"/>
      <c r="AR915" s="40"/>
      <c r="AW915" s="40"/>
      <c r="AX915" s="65"/>
      <c r="AY915" s="65"/>
      <c r="AZ915" s="16"/>
      <c r="BA915" s="16"/>
      <c r="BB915" s="65"/>
      <c r="BC915" s="16"/>
      <c r="BD915" s="16"/>
      <c r="BE915" s="16"/>
      <c r="BF915" s="40"/>
      <c r="BG915" s="40"/>
      <c r="BH915" s="40"/>
      <c r="BI915" s="40"/>
      <c r="BJ915" s="40"/>
      <c r="BK915" s="40"/>
      <c r="BL915" s="40"/>
      <c r="BM915" s="40"/>
      <c r="BN915" s="40"/>
      <c r="BO915" s="40"/>
      <c r="BP915" s="40"/>
      <c r="BQ915" s="40"/>
      <c r="BR915" s="40"/>
      <c r="BS915" s="40"/>
      <c r="BT915" s="40"/>
      <c r="BU915" s="40"/>
      <c r="BV915" s="40"/>
      <c r="BW915" s="17"/>
      <c r="BX915" s="9"/>
      <c r="BY915" s="40"/>
      <c r="BZ915" s="40"/>
      <c r="CA915" s="40"/>
      <c r="CB915" s="40"/>
      <c r="CC915" s="8"/>
    </row>
    <row r="916" ht="18.75" customHeight="1">
      <c r="A916" s="40"/>
      <c r="B916" s="17"/>
      <c r="D916" s="40"/>
      <c r="G916" s="42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2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  <c r="AD916" s="40"/>
      <c r="AE916" s="40"/>
      <c r="AF916" s="40"/>
      <c r="AG916" s="40"/>
      <c r="AH916" s="40"/>
      <c r="AI916" s="40"/>
      <c r="AJ916" s="40"/>
      <c r="AK916" s="40"/>
      <c r="AL916" s="40"/>
      <c r="AM916" s="40"/>
      <c r="AN916" s="40"/>
      <c r="AO916" s="40"/>
      <c r="AP916" s="40"/>
      <c r="AQ916" s="40"/>
      <c r="AR916" s="40"/>
      <c r="AW916" s="40"/>
      <c r="AX916" s="65"/>
      <c r="AY916" s="65"/>
      <c r="AZ916" s="16"/>
      <c r="BA916" s="16"/>
      <c r="BB916" s="65"/>
      <c r="BC916" s="16"/>
      <c r="BD916" s="16"/>
      <c r="BE916" s="16"/>
      <c r="BF916" s="40"/>
      <c r="BG916" s="40"/>
      <c r="BH916" s="40"/>
      <c r="BI916" s="40"/>
      <c r="BJ916" s="40"/>
      <c r="BK916" s="40"/>
      <c r="BL916" s="40"/>
      <c r="BM916" s="40"/>
      <c r="BN916" s="40"/>
      <c r="BO916" s="40"/>
      <c r="BP916" s="40"/>
      <c r="BQ916" s="40"/>
      <c r="BR916" s="40"/>
      <c r="BS916" s="40"/>
      <c r="BT916" s="40"/>
      <c r="BU916" s="40"/>
      <c r="BV916" s="40"/>
      <c r="BW916" s="17"/>
      <c r="BX916" s="9"/>
      <c r="BY916" s="40"/>
      <c r="BZ916" s="40"/>
      <c r="CA916" s="40"/>
      <c r="CB916" s="40"/>
      <c r="CC916" s="8"/>
    </row>
    <row r="917" ht="18.75" customHeight="1">
      <c r="A917" s="40"/>
      <c r="B917" s="17"/>
      <c r="D917" s="40"/>
      <c r="G917" s="42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2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  <c r="AD917" s="40"/>
      <c r="AE917" s="40"/>
      <c r="AF917" s="40"/>
      <c r="AG917" s="40"/>
      <c r="AH917" s="40"/>
      <c r="AI917" s="40"/>
      <c r="AJ917" s="40"/>
      <c r="AK917" s="40"/>
      <c r="AL917" s="40"/>
      <c r="AM917" s="40"/>
      <c r="AN917" s="40"/>
      <c r="AO917" s="40"/>
      <c r="AP917" s="40"/>
      <c r="AQ917" s="40"/>
      <c r="AR917" s="40"/>
      <c r="AW917" s="40"/>
      <c r="AX917" s="65"/>
      <c r="AY917" s="65"/>
      <c r="AZ917" s="16"/>
      <c r="BA917" s="16"/>
      <c r="BB917" s="65"/>
      <c r="BC917" s="16"/>
      <c r="BD917" s="16"/>
      <c r="BE917" s="16"/>
      <c r="BF917" s="40"/>
      <c r="BG917" s="40"/>
      <c r="BH917" s="40"/>
      <c r="BI917" s="40"/>
      <c r="BJ917" s="40"/>
      <c r="BK917" s="40"/>
      <c r="BL917" s="40"/>
      <c r="BM917" s="40"/>
      <c r="BN917" s="40"/>
      <c r="BO917" s="40"/>
      <c r="BP917" s="40"/>
      <c r="BQ917" s="40"/>
      <c r="BR917" s="40"/>
      <c r="BS917" s="40"/>
      <c r="BT917" s="40"/>
      <c r="BU917" s="40"/>
      <c r="BV917" s="40"/>
      <c r="BW917" s="17"/>
      <c r="BX917" s="9"/>
      <c r="BY917" s="40"/>
      <c r="BZ917" s="40"/>
      <c r="CA917" s="40"/>
      <c r="CB917" s="40"/>
      <c r="CC917" s="8"/>
    </row>
    <row r="918" ht="18.75" customHeight="1">
      <c r="A918" s="40"/>
      <c r="B918" s="17"/>
      <c r="D918" s="40"/>
      <c r="G918" s="42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2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  <c r="AD918" s="40"/>
      <c r="AE918" s="40"/>
      <c r="AF918" s="40"/>
      <c r="AG918" s="40"/>
      <c r="AH918" s="40"/>
      <c r="AI918" s="40"/>
      <c r="AJ918" s="40"/>
      <c r="AK918" s="40"/>
      <c r="AL918" s="40"/>
      <c r="AM918" s="40"/>
      <c r="AN918" s="40"/>
      <c r="AO918" s="40"/>
      <c r="AP918" s="40"/>
      <c r="AQ918" s="40"/>
      <c r="AR918" s="40"/>
      <c r="AW918" s="40"/>
      <c r="AX918" s="65"/>
      <c r="AY918" s="65"/>
      <c r="AZ918" s="16"/>
      <c r="BA918" s="16"/>
      <c r="BB918" s="65"/>
      <c r="BC918" s="16"/>
      <c r="BD918" s="16"/>
      <c r="BE918" s="16"/>
      <c r="BF918" s="40"/>
      <c r="BG918" s="40"/>
      <c r="BH918" s="40"/>
      <c r="BI918" s="40"/>
      <c r="BJ918" s="40"/>
      <c r="BK918" s="40"/>
      <c r="BL918" s="40"/>
      <c r="BM918" s="40"/>
      <c r="BN918" s="40"/>
      <c r="BO918" s="40"/>
      <c r="BP918" s="40"/>
      <c r="BQ918" s="40"/>
      <c r="BR918" s="40"/>
      <c r="BS918" s="40"/>
      <c r="BT918" s="40"/>
      <c r="BU918" s="40"/>
      <c r="BV918" s="40"/>
      <c r="BW918" s="17"/>
      <c r="BX918" s="9"/>
      <c r="BY918" s="40"/>
      <c r="BZ918" s="40"/>
      <c r="CA918" s="40"/>
      <c r="CB918" s="40"/>
      <c r="CC918" s="8"/>
    </row>
    <row r="919" ht="18.75" customHeight="1">
      <c r="A919" s="40"/>
      <c r="B919" s="17"/>
      <c r="D919" s="40"/>
      <c r="G919" s="42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2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  <c r="AD919" s="40"/>
      <c r="AE919" s="40"/>
      <c r="AF919" s="40"/>
      <c r="AG919" s="40"/>
      <c r="AH919" s="40"/>
      <c r="AI919" s="40"/>
      <c r="AJ919" s="40"/>
      <c r="AK919" s="40"/>
      <c r="AL919" s="40"/>
      <c r="AM919" s="40"/>
      <c r="AN919" s="40"/>
      <c r="AO919" s="40"/>
      <c r="AP919" s="40"/>
      <c r="AQ919" s="40"/>
      <c r="AR919" s="40"/>
      <c r="AW919" s="40"/>
      <c r="AX919" s="65"/>
      <c r="AY919" s="65"/>
      <c r="AZ919" s="16"/>
      <c r="BA919" s="16"/>
      <c r="BB919" s="65"/>
      <c r="BC919" s="16"/>
      <c r="BD919" s="16"/>
      <c r="BE919" s="16"/>
      <c r="BF919" s="40"/>
      <c r="BG919" s="40"/>
      <c r="BH919" s="40"/>
      <c r="BI919" s="40"/>
      <c r="BJ919" s="40"/>
      <c r="BK919" s="40"/>
      <c r="BL919" s="40"/>
      <c r="BM919" s="40"/>
      <c r="BN919" s="40"/>
      <c r="BO919" s="40"/>
      <c r="BP919" s="40"/>
      <c r="BQ919" s="40"/>
      <c r="BR919" s="40"/>
      <c r="BS919" s="40"/>
      <c r="BT919" s="40"/>
      <c r="BU919" s="40"/>
      <c r="BV919" s="40"/>
      <c r="BW919" s="17"/>
      <c r="BX919" s="9"/>
      <c r="BY919" s="40"/>
      <c r="BZ919" s="40"/>
      <c r="CA919" s="40"/>
      <c r="CB919" s="40"/>
      <c r="CC919" s="8"/>
    </row>
    <row r="920" ht="18.75" customHeight="1">
      <c r="A920" s="40"/>
      <c r="B920" s="17"/>
      <c r="D920" s="40"/>
      <c r="G920" s="42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2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  <c r="AD920" s="40"/>
      <c r="AE920" s="40"/>
      <c r="AF920" s="40"/>
      <c r="AG920" s="40"/>
      <c r="AH920" s="40"/>
      <c r="AI920" s="40"/>
      <c r="AJ920" s="40"/>
      <c r="AK920" s="40"/>
      <c r="AL920" s="40"/>
      <c r="AM920" s="40"/>
      <c r="AN920" s="40"/>
      <c r="AO920" s="40"/>
      <c r="AP920" s="40"/>
      <c r="AQ920" s="40"/>
      <c r="AR920" s="40"/>
      <c r="AW920" s="40"/>
      <c r="AX920" s="65"/>
      <c r="AY920" s="65"/>
      <c r="AZ920" s="16"/>
      <c r="BA920" s="16"/>
      <c r="BB920" s="65"/>
      <c r="BC920" s="16"/>
      <c r="BD920" s="16"/>
      <c r="BE920" s="16"/>
      <c r="BF920" s="40"/>
      <c r="BG920" s="40"/>
      <c r="BH920" s="40"/>
      <c r="BI920" s="40"/>
      <c r="BJ920" s="40"/>
      <c r="BK920" s="40"/>
      <c r="BL920" s="40"/>
      <c r="BM920" s="40"/>
      <c r="BN920" s="40"/>
      <c r="BO920" s="40"/>
      <c r="BP920" s="40"/>
      <c r="BQ920" s="40"/>
      <c r="BR920" s="40"/>
      <c r="BS920" s="40"/>
      <c r="BT920" s="40"/>
      <c r="BU920" s="40"/>
      <c r="BV920" s="40"/>
      <c r="BW920" s="17"/>
      <c r="BX920" s="9"/>
      <c r="BY920" s="40"/>
      <c r="BZ920" s="40"/>
      <c r="CA920" s="40"/>
      <c r="CB920" s="40"/>
      <c r="CC920" s="8"/>
    </row>
    <row r="921" ht="18.75" customHeight="1">
      <c r="A921" s="40"/>
      <c r="B921" s="17"/>
      <c r="D921" s="40"/>
      <c r="G921" s="42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2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  <c r="AD921" s="40"/>
      <c r="AE921" s="40"/>
      <c r="AF921" s="40"/>
      <c r="AG921" s="40"/>
      <c r="AH921" s="40"/>
      <c r="AI921" s="40"/>
      <c r="AJ921" s="40"/>
      <c r="AK921" s="40"/>
      <c r="AL921" s="40"/>
      <c r="AM921" s="40"/>
      <c r="AN921" s="40"/>
      <c r="AO921" s="40"/>
      <c r="AP921" s="40"/>
      <c r="AQ921" s="40"/>
      <c r="AR921" s="40"/>
      <c r="AW921" s="40"/>
      <c r="AX921" s="65"/>
      <c r="AY921" s="65"/>
      <c r="AZ921" s="16"/>
      <c r="BA921" s="16"/>
      <c r="BB921" s="65"/>
      <c r="BC921" s="16"/>
      <c r="BD921" s="16"/>
      <c r="BE921" s="16"/>
      <c r="BF921" s="40"/>
      <c r="BG921" s="40"/>
      <c r="BH921" s="40"/>
      <c r="BI921" s="40"/>
      <c r="BJ921" s="40"/>
      <c r="BK921" s="40"/>
      <c r="BL921" s="40"/>
      <c r="BM921" s="40"/>
      <c r="BN921" s="40"/>
      <c r="BO921" s="40"/>
      <c r="BP921" s="40"/>
      <c r="BQ921" s="40"/>
      <c r="BR921" s="40"/>
      <c r="BS921" s="40"/>
      <c r="BT921" s="40"/>
      <c r="BU921" s="40"/>
      <c r="BV921" s="40"/>
      <c r="BW921" s="17"/>
      <c r="BX921" s="9"/>
      <c r="BY921" s="40"/>
      <c r="BZ921" s="40"/>
      <c r="CA921" s="40"/>
      <c r="CB921" s="40"/>
      <c r="CC921" s="8"/>
    </row>
    <row r="922" ht="18.75" customHeight="1">
      <c r="A922" s="40"/>
      <c r="B922" s="17"/>
      <c r="D922" s="40"/>
      <c r="G922" s="42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2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  <c r="AD922" s="40"/>
      <c r="AE922" s="40"/>
      <c r="AF922" s="40"/>
      <c r="AG922" s="40"/>
      <c r="AH922" s="40"/>
      <c r="AI922" s="40"/>
      <c r="AJ922" s="40"/>
      <c r="AK922" s="40"/>
      <c r="AL922" s="40"/>
      <c r="AM922" s="40"/>
      <c r="AN922" s="40"/>
      <c r="AO922" s="40"/>
      <c r="AP922" s="40"/>
      <c r="AQ922" s="40"/>
      <c r="AR922" s="40"/>
      <c r="AW922" s="40"/>
      <c r="AX922" s="65"/>
      <c r="AY922" s="65"/>
      <c r="AZ922" s="16"/>
      <c r="BA922" s="16"/>
      <c r="BB922" s="65"/>
      <c r="BC922" s="16"/>
      <c r="BD922" s="16"/>
      <c r="BE922" s="16"/>
      <c r="BF922" s="40"/>
      <c r="BG922" s="40"/>
      <c r="BH922" s="40"/>
      <c r="BI922" s="40"/>
      <c r="BJ922" s="40"/>
      <c r="BK922" s="40"/>
      <c r="BL922" s="40"/>
      <c r="BM922" s="40"/>
      <c r="BN922" s="40"/>
      <c r="BO922" s="40"/>
      <c r="BP922" s="40"/>
      <c r="BQ922" s="40"/>
      <c r="BR922" s="40"/>
      <c r="BS922" s="40"/>
      <c r="BT922" s="40"/>
      <c r="BU922" s="40"/>
      <c r="BV922" s="40"/>
      <c r="BW922" s="17"/>
      <c r="BX922" s="9"/>
      <c r="BY922" s="40"/>
      <c r="BZ922" s="40"/>
      <c r="CA922" s="40"/>
      <c r="CB922" s="40"/>
      <c r="CC922" s="8"/>
    </row>
    <row r="923" ht="18.75" customHeight="1">
      <c r="A923" s="40"/>
      <c r="B923" s="17"/>
      <c r="D923" s="40"/>
      <c r="G923" s="42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2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  <c r="AD923" s="40"/>
      <c r="AE923" s="40"/>
      <c r="AF923" s="40"/>
      <c r="AG923" s="40"/>
      <c r="AH923" s="40"/>
      <c r="AI923" s="40"/>
      <c r="AJ923" s="40"/>
      <c r="AK923" s="40"/>
      <c r="AL923" s="40"/>
      <c r="AM923" s="40"/>
      <c r="AN923" s="40"/>
      <c r="AO923" s="40"/>
      <c r="AP923" s="40"/>
      <c r="AQ923" s="40"/>
      <c r="AR923" s="40"/>
      <c r="AW923" s="40"/>
      <c r="AX923" s="65"/>
      <c r="AY923" s="65"/>
      <c r="AZ923" s="16"/>
      <c r="BA923" s="16"/>
      <c r="BB923" s="65"/>
      <c r="BC923" s="16"/>
      <c r="BD923" s="16"/>
      <c r="BE923" s="16"/>
      <c r="BF923" s="40"/>
      <c r="BG923" s="40"/>
      <c r="BH923" s="40"/>
      <c r="BI923" s="40"/>
      <c r="BJ923" s="40"/>
      <c r="BK923" s="40"/>
      <c r="BL923" s="40"/>
      <c r="BM923" s="40"/>
      <c r="BN923" s="40"/>
      <c r="BO923" s="40"/>
      <c r="BP923" s="40"/>
      <c r="BQ923" s="40"/>
      <c r="BR923" s="40"/>
      <c r="BS923" s="40"/>
      <c r="BT923" s="40"/>
      <c r="BU923" s="40"/>
      <c r="BV923" s="40"/>
      <c r="BW923" s="17"/>
      <c r="BX923" s="9"/>
      <c r="BY923" s="40"/>
      <c r="BZ923" s="40"/>
      <c r="CA923" s="40"/>
      <c r="CB923" s="40"/>
      <c r="CC923" s="8"/>
    </row>
    <row r="924" ht="18.75" customHeight="1">
      <c r="A924" s="40"/>
      <c r="B924" s="17"/>
      <c r="D924" s="40"/>
      <c r="G924" s="42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2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  <c r="AD924" s="40"/>
      <c r="AE924" s="40"/>
      <c r="AF924" s="40"/>
      <c r="AG924" s="40"/>
      <c r="AH924" s="40"/>
      <c r="AI924" s="40"/>
      <c r="AJ924" s="40"/>
      <c r="AK924" s="40"/>
      <c r="AL924" s="40"/>
      <c r="AM924" s="40"/>
      <c r="AN924" s="40"/>
      <c r="AO924" s="40"/>
      <c r="AP924" s="40"/>
      <c r="AQ924" s="40"/>
      <c r="AR924" s="40"/>
      <c r="AW924" s="40"/>
      <c r="AX924" s="65"/>
      <c r="AY924" s="65"/>
      <c r="AZ924" s="16"/>
      <c r="BA924" s="16"/>
      <c r="BB924" s="65"/>
      <c r="BC924" s="16"/>
      <c r="BD924" s="16"/>
      <c r="BE924" s="16"/>
      <c r="BF924" s="40"/>
      <c r="BG924" s="40"/>
      <c r="BH924" s="40"/>
      <c r="BI924" s="40"/>
      <c r="BJ924" s="40"/>
      <c r="BK924" s="40"/>
      <c r="BL924" s="40"/>
      <c r="BM924" s="40"/>
      <c r="BN924" s="40"/>
      <c r="BO924" s="40"/>
      <c r="BP924" s="40"/>
      <c r="BQ924" s="40"/>
      <c r="BR924" s="40"/>
      <c r="BS924" s="40"/>
      <c r="BT924" s="40"/>
      <c r="BU924" s="40"/>
      <c r="BV924" s="40"/>
      <c r="BW924" s="17"/>
      <c r="BX924" s="9"/>
      <c r="BY924" s="40"/>
      <c r="BZ924" s="40"/>
      <c r="CA924" s="40"/>
      <c r="CB924" s="40"/>
      <c r="CC924" s="8"/>
    </row>
    <row r="925" ht="18.75" customHeight="1">
      <c r="A925" s="40"/>
      <c r="B925" s="17"/>
      <c r="D925" s="40"/>
      <c r="G925" s="42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2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  <c r="AD925" s="40"/>
      <c r="AE925" s="40"/>
      <c r="AF925" s="40"/>
      <c r="AG925" s="40"/>
      <c r="AH925" s="40"/>
      <c r="AI925" s="40"/>
      <c r="AJ925" s="40"/>
      <c r="AK925" s="40"/>
      <c r="AL925" s="40"/>
      <c r="AM925" s="40"/>
      <c r="AN925" s="40"/>
      <c r="AO925" s="40"/>
      <c r="AP925" s="40"/>
      <c r="AQ925" s="40"/>
      <c r="AR925" s="40"/>
      <c r="AW925" s="40"/>
      <c r="AX925" s="65"/>
      <c r="AY925" s="65"/>
      <c r="AZ925" s="16"/>
      <c r="BA925" s="16"/>
      <c r="BB925" s="65"/>
      <c r="BC925" s="16"/>
      <c r="BD925" s="16"/>
      <c r="BE925" s="16"/>
      <c r="BF925" s="40"/>
      <c r="BG925" s="40"/>
      <c r="BH925" s="40"/>
      <c r="BI925" s="40"/>
      <c r="BJ925" s="40"/>
      <c r="BK925" s="40"/>
      <c r="BL925" s="40"/>
      <c r="BM925" s="40"/>
      <c r="BN925" s="40"/>
      <c r="BO925" s="40"/>
      <c r="BP925" s="40"/>
      <c r="BQ925" s="40"/>
      <c r="BR925" s="40"/>
      <c r="BS925" s="40"/>
      <c r="BT925" s="40"/>
      <c r="BU925" s="40"/>
      <c r="BV925" s="40"/>
      <c r="BW925" s="17"/>
      <c r="BX925" s="9"/>
      <c r="BY925" s="40"/>
      <c r="BZ925" s="40"/>
      <c r="CA925" s="40"/>
      <c r="CB925" s="40"/>
      <c r="CC925" s="8"/>
    </row>
    <row r="926" ht="18.75" customHeight="1">
      <c r="A926" s="40"/>
      <c r="B926" s="17"/>
      <c r="D926" s="40"/>
      <c r="G926" s="42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2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  <c r="AD926" s="40"/>
      <c r="AE926" s="40"/>
      <c r="AF926" s="40"/>
      <c r="AG926" s="40"/>
      <c r="AH926" s="40"/>
      <c r="AI926" s="40"/>
      <c r="AJ926" s="40"/>
      <c r="AK926" s="40"/>
      <c r="AL926" s="40"/>
      <c r="AM926" s="40"/>
      <c r="AN926" s="40"/>
      <c r="AO926" s="40"/>
      <c r="AP926" s="40"/>
      <c r="AQ926" s="40"/>
      <c r="AR926" s="40"/>
      <c r="AW926" s="40"/>
      <c r="AX926" s="65"/>
      <c r="AY926" s="65"/>
      <c r="AZ926" s="16"/>
      <c r="BA926" s="16"/>
      <c r="BB926" s="65"/>
      <c r="BC926" s="16"/>
      <c r="BD926" s="16"/>
      <c r="BE926" s="16"/>
      <c r="BF926" s="40"/>
      <c r="BG926" s="40"/>
      <c r="BH926" s="40"/>
      <c r="BI926" s="40"/>
      <c r="BJ926" s="40"/>
      <c r="BK926" s="40"/>
      <c r="BL926" s="40"/>
      <c r="BM926" s="40"/>
      <c r="BN926" s="40"/>
      <c r="BO926" s="40"/>
      <c r="BP926" s="40"/>
      <c r="BQ926" s="40"/>
      <c r="BR926" s="40"/>
      <c r="BS926" s="40"/>
      <c r="BT926" s="40"/>
      <c r="BU926" s="40"/>
      <c r="BV926" s="40"/>
      <c r="BW926" s="17"/>
      <c r="BX926" s="9"/>
      <c r="BY926" s="40"/>
      <c r="BZ926" s="40"/>
      <c r="CA926" s="40"/>
      <c r="CB926" s="40"/>
      <c r="CC926" s="8"/>
    </row>
    <row r="927" ht="18.75" customHeight="1">
      <c r="A927" s="40"/>
      <c r="B927" s="17"/>
      <c r="D927" s="40"/>
      <c r="G927" s="42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2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  <c r="AD927" s="40"/>
      <c r="AE927" s="40"/>
      <c r="AF927" s="40"/>
      <c r="AG927" s="40"/>
      <c r="AH927" s="40"/>
      <c r="AI927" s="40"/>
      <c r="AJ927" s="40"/>
      <c r="AK927" s="40"/>
      <c r="AL927" s="40"/>
      <c r="AM927" s="40"/>
      <c r="AN927" s="40"/>
      <c r="AO927" s="40"/>
      <c r="AP927" s="40"/>
      <c r="AQ927" s="40"/>
      <c r="AR927" s="40"/>
      <c r="AW927" s="40"/>
      <c r="AX927" s="65"/>
      <c r="AY927" s="65"/>
      <c r="AZ927" s="16"/>
      <c r="BA927" s="16"/>
      <c r="BB927" s="65"/>
      <c r="BC927" s="16"/>
      <c r="BD927" s="16"/>
      <c r="BE927" s="16"/>
      <c r="BF927" s="40"/>
      <c r="BG927" s="40"/>
      <c r="BH927" s="40"/>
      <c r="BI927" s="40"/>
      <c r="BJ927" s="40"/>
      <c r="BK927" s="40"/>
      <c r="BL927" s="40"/>
      <c r="BM927" s="40"/>
      <c r="BN927" s="40"/>
      <c r="BO927" s="40"/>
      <c r="BP927" s="40"/>
      <c r="BQ927" s="40"/>
      <c r="BR927" s="40"/>
      <c r="BS927" s="40"/>
      <c r="BT927" s="40"/>
      <c r="BU927" s="40"/>
      <c r="BV927" s="40"/>
      <c r="BW927" s="17"/>
      <c r="BX927" s="9"/>
      <c r="BY927" s="40"/>
      <c r="BZ927" s="40"/>
      <c r="CA927" s="40"/>
      <c r="CB927" s="40"/>
      <c r="CC927" s="8"/>
    </row>
    <row r="928" ht="18.75" customHeight="1">
      <c r="A928" s="40"/>
      <c r="B928" s="17"/>
      <c r="D928" s="40"/>
      <c r="G928" s="42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2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  <c r="AD928" s="40"/>
      <c r="AE928" s="40"/>
      <c r="AF928" s="40"/>
      <c r="AG928" s="40"/>
      <c r="AH928" s="40"/>
      <c r="AI928" s="40"/>
      <c r="AJ928" s="40"/>
      <c r="AK928" s="40"/>
      <c r="AL928" s="40"/>
      <c r="AM928" s="40"/>
      <c r="AN928" s="40"/>
      <c r="AO928" s="40"/>
      <c r="AP928" s="40"/>
      <c r="AQ928" s="40"/>
      <c r="AR928" s="40"/>
      <c r="AW928" s="40"/>
      <c r="AX928" s="65"/>
      <c r="AY928" s="65"/>
      <c r="AZ928" s="16"/>
      <c r="BA928" s="16"/>
      <c r="BB928" s="65"/>
      <c r="BC928" s="16"/>
      <c r="BD928" s="16"/>
      <c r="BE928" s="16"/>
      <c r="BF928" s="40"/>
      <c r="BG928" s="40"/>
      <c r="BH928" s="40"/>
      <c r="BI928" s="40"/>
      <c r="BJ928" s="40"/>
      <c r="BK928" s="40"/>
      <c r="BL928" s="40"/>
      <c r="BM928" s="40"/>
      <c r="BN928" s="40"/>
      <c r="BO928" s="40"/>
      <c r="BP928" s="40"/>
      <c r="BQ928" s="40"/>
      <c r="BR928" s="40"/>
      <c r="BS928" s="40"/>
      <c r="BT928" s="40"/>
      <c r="BU928" s="40"/>
      <c r="BV928" s="40"/>
      <c r="BW928" s="17"/>
      <c r="BX928" s="9"/>
      <c r="BY928" s="40"/>
      <c r="BZ928" s="40"/>
      <c r="CA928" s="40"/>
      <c r="CB928" s="40"/>
      <c r="CC928" s="8"/>
    </row>
    <row r="929" ht="18.75" customHeight="1">
      <c r="A929" s="40"/>
      <c r="B929" s="17"/>
      <c r="D929" s="40"/>
      <c r="G929" s="42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2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  <c r="AD929" s="40"/>
      <c r="AE929" s="40"/>
      <c r="AF929" s="40"/>
      <c r="AG929" s="40"/>
      <c r="AH929" s="40"/>
      <c r="AI929" s="40"/>
      <c r="AJ929" s="40"/>
      <c r="AK929" s="40"/>
      <c r="AL929" s="40"/>
      <c r="AM929" s="40"/>
      <c r="AN929" s="40"/>
      <c r="AO929" s="40"/>
      <c r="AP929" s="40"/>
      <c r="AQ929" s="40"/>
      <c r="AR929" s="40"/>
      <c r="AW929" s="40"/>
      <c r="AX929" s="65"/>
      <c r="AY929" s="65"/>
      <c r="AZ929" s="16"/>
      <c r="BA929" s="16"/>
      <c r="BB929" s="65"/>
      <c r="BC929" s="16"/>
      <c r="BD929" s="16"/>
      <c r="BE929" s="16"/>
      <c r="BF929" s="40"/>
      <c r="BG929" s="40"/>
      <c r="BH929" s="40"/>
      <c r="BI929" s="40"/>
      <c r="BJ929" s="40"/>
      <c r="BK929" s="40"/>
      <c r="BL929" s="40"/>
      <c r="BM929" s="40"/>
      <c r="BN929" s="40"/>
      <c r="BO929" s="40"/>
      <c r="BP929" s="40"/>
      <c r="BQ929" s="40"/>
      <c r="BR929" s="40"/>
      <c r="BS929" s="40"/>
      <c r="BT929" s="40"/>
      <c r="BU929" s="40"/>
      <c r="BV929" s="40"/>
      <c r="BW929" s="17"/>
      <c r="BX929" s="9"/>
      <c r="BY929" s="40"/>
      <c r="BZ929" s="40"/>
      <c r="CA929" s="40"/>
      <c r="CB929" s="40"/>
      <c r="CC929" s="8"/>
    </row>
    <row r="930" ht="18.75" customHeight="1">
      <c r="A930" s="40"/>
      <c r="B930" s="17"/>
      <c r="D930" s="40"/>
      <c r="G930" s="42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2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  <c r="AD930" s="40"/>
      <c r="AE930" s="40"/>
      <c r="AF930" s="40"/>
      <c r="AG930" s="40"/>
      <c r="AH930" s="40"/>
      <c r="AI930" s="40"/>
      <c r="AJ930" s="40"/>
      <c r="AK930" s="40"/>
      <c r="AL930" s="40"/>
      <c r="AM930" s="40"/>
      <c r="AN930" s="40"/>
      <c r="AO930" s="40"/>
      <c r="AP930" s="40"/>
      <c r="AQ930" s="40"/>
      <c r="AR930" s="40"/>
      <c r="AW930" s="40"/>
      <c r="AX930" s="65"/>
      <c r="AY930" s="65"/>
      <c r="AZ930" s="16"/>
      <c r="BA930" s="16"/>
      <c r="BB930" s="65"/>
      <c r="BC930" s="16"/>
      <c r="BD930" s="16"/>
      <c r="BE930" s="16"/>
      <c r="BF930" s="40"/>
      <c r="BG930" s="40"/>
      <c r="BH930" s="40"/>
      <c r="BI930" s="40"/>
      <c r="BJ930" s="40"/>
      <c r="BK930" s="40"/>
      <c r="BL930" s="40"/>
      <c r="BM930" s="40"/>
      <c r="BN930" s="40"/>
      <c r="BO930" s="40"/>
      <c r="BP930" s="40"/>
      <c r="BQ930" s="40"/>
      <c r="BR930" s="40"/>
      <c r="BS930" s="40"/>
      <c r="BT930" s="40"/>
      <c r="BU930" s="40"/>
      <c r="BV930" s="40"/>
      <c r="BW930" s="17"/>
      <c r="BX930" s="9"/>
      <c r="BY930" s="40"/>
      <c r="BZ930" s="40"/>
      <c r="CA930" s="40"/>
      <c r="CB930" s="40"/>
      <c r="CC930" s="8"/>
    </row>
    <row r="931" ht="18.75" customHeight="1">
      <c r="A931" s="40"/>
      <c r="B931" s="17"/>
      <c r="D931" s="40"/>
      <c r="G931" s="42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2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  <c r="AD931" s="40"/>
      <c r="AE931" s="40"/>
      <c r="AF931" s="40"/>
      <c r="AG931" s="40"/>
      <c r="AH931" s="40"/>
      <c r="AI931" s="40"/>
      <c r="AJ931" s="40"/>
      <c r="AK931" s="40"/>
      <c r="AL931" s="40"/>
      <c r="AM931" s="40"/>
      <c r="AN931" s="40"/>
      <c r="AO931" s="40"/>
      <c r="AP931" s="40"/>
      <c r="AQ931" s="40"/>
      <c r="AR931" s="40"/>
      <c r="AW931" s="40"/>
      <c r="AX931" s="65"/>
      <c r="AY931" s="65"/>
      <c r="AZ931" s="16"/>
      <c r="BA931" s="16"/>
      <c r="BB931" s="65"/>
      <c r="BC931" s="16"/>
      <c r="BD931" s="16"/>
      <c r="BE931" s="16"/>
      <c r="BF931" s="40"/>
      <c r="BG931" s="40"/>
      <c r="BH931" s="40"/>
      <c r="BI931" s="40"/>
      <c r="BJ931" s="40"/>
      <c r="BK931" s="40"/>
      <c r="BL931" s="40"/>
      <c r="BM931" s="40"/>
      <c r="BN931" s="40"/>
      <c r="BO931" s="40"/>
      <c r="BP931" s="40"/>
      <c r="BQ931" s="40"/>
      <c r="BR931" s="40"/>
      <c r="BS931" s="40"/>
      <c r="BT931" s="40"/>
      <c r="BU931" s="40"/>
      <c r="BV931" s="40"/>
      <c r="BW931" s="17"/>
      <c r="BX931" s="9"/>
      <c r="BY931" s="40"/>
      <c r="BZ931" s="40"/>
      <c r="CA931" s="40"/>
      <c r="CB931" s="40"/>
      <c r="CC931" s="8"/>
    </row>
    <row r="932" ht="18.75" customHeight="1">
      <c r="A932" s="40"/>
      <c r="B932" s="17"/>
      <c r="D932" s="40"/>
      <c r="G932" s="42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2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  <c r="AD932" s="40"/>
      <c r="AE932" s="40"/>
      <c r="AF932" s="40"/>
      <c r="AG932" s="40"/>
      <c r="AH932" s="40"/>
      <c r="AI932" s="40"/>
      <c r="AJ932" s="40"/>
      <c r="AK932" s="40"/>
      <c r="AL932" s="40"/>
      <c r="AM932" s="40"/>
      <c r="AN932" s="40"/>
      <c r="AO932" s="40"/>
      <c r="AP932" s="40"/>
      <c r="AQ932" s="40"/>
      <c r="AR932" s="40"/>
      <c r="AW932" s="40"/>
      <c r="AX932" s="65"/>
      <c r="AY932" s="65"/>
      <c r="AZ932" s="16"/>
      <c r="BA932" s="16"/>
      <c r="BB932" s="65"/>
      <c r="BC932" s="16"/>
      <c r="BD932" s="16"/>
      <c r="BE932" s="16"/>
      <c r="BF932" s="40"/>
      <c r="BG932" s="40"/>
      <c r="BH932" s="40"/>
      <c r="BI932" s="40"/>
      <c r="BJ932" s="40"/>
      <c r="BK932" s="40"/>
      <c r="BL932" s="40"/>
      <c r="BM932" s="40"/>
      <c r="BN932" s="40"/>
      <c r="BO932" s="40"/>
      <c r="BP932" s="40"/>
      <c r="BQ932" s="40"/>
      <c r="BR932" s="40"/>
      <c r="BS932" s="40"/>
      <c r="BT932" s="40"/>
      <c r="BU932" s="40"/>
      <c r="BV932" s="40"/>
      <c r="BW932" s="17"/>
      <c r="BX932" s="9"/>
      <c r="BY932" s="40"/>
      <c r="BZ932" s="40"/>
      <c r="CA932" s="40"/>
      <c r="CB932" s="40"/>
      <c r="CC932" s="8"/>
    </row>
    <row r="933" ht="18.75" customHeight="1">
      <c r="A933" s="40"/>
      <c r="B933" s="17"/>
      <c r="D933" s="40"/>
      <c r="G933" s="42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2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  <c r="AD933" s="40"/>
      <c r="AE933" s="40"/>
      <c r="AF933" s="40"/>
      <c r="AG933" s="40"/>
      <c r="AH933" s="40"/>
      <c r="AI933" s="40"/>
      <c r="AJ933" s="40"/>
      <c r="AK933" s="40"/>
      <c r="AL933" s="40"/>
      <c r="AM933" s="40"/>
      <c r="AN933" s="40"/>
      <c r="AO933" s="40"/>
      <c r="AP933" s="40"/>
      <c r="AQ933" s="40"/>
      <c r="AR933" s="40"/>
      <c r="AW933" s="40"/>
      <c r="AX933" s="65"/>
      <c r="AY933" s="65"/>
      <c r="AZ933" s="16"/>
      <c r="BA933" s="16"/>
      <c r="BB933" s="65"/>
      <c r="BC933" s="16"/>
      <c r="BD933" s="16"/>
      <c r="BE933" s="16"/>
      <c r="BF933" s="40"/>
      <c r="BG933" s="40"/>
      <c r="BH933" s="40"/>
      <c r="BI933" s="40"/>
      <c r="BJ933" s="40"/>
      <c r="BK933" s="40"/>
      <c r="BL933" s="40"/>
      <c r="BM933" s="40"/>
      <c r="BN933" s="40"/>
      <c r="BO933" s="40"/>
      <c r="BP933" s="40"/>
      <c r="BQ933" s="40"/>
      <c r="BR933" s="40"/>
      <c r="BS933" s="40"/>
      <c r="BT933" s="40"/>
      <c r="BU933" s="40"/>
      <c r="BV933" s="40"/>
      <c r="BW933" s="17"/>
      <c r="BX933" s="9"/>
      <c r="BY933" s="40"/>
      <c r="BZ933" s="40"/>
      <c r="CA933" s="40"/>
      <c r="CB933" s="40"/>
      <c r="CC933" s="8"/>
    </row>
    <row r="934" ht="18.75" customHeight="1">
      <c r="A934" s="40"/>
      <c r="B934" s="17"/>
      <c r="D934" s="40"/>
      <c r="G934" s="42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2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  <c r="AD934" s="40"/>
      <c r="AE934" s="40"/>
      <c r="AF934" s="40"/>
      <c r="AG934" s="40"/>
      <c r="AH934" s="40"/>
      <c r="AI934" s="40"/>
      <c r="AJ934" s="40"/>
      <c r="AK934" s="40"/>
      <c r="AL934" s="40"/>
      <c r="AM934" s="40"/>
      <c r="AN934" s="40"/>
      <c r="AO934" s="40"/>
      <c r="AP934" s="40"/>
      <c r="AQ934" s="40"/>
      <c r="AR934" s="40"/>
      <c r="AW934" s="40"/>
      <c r="AX934" s="65"/>
      <c r="AY934" s="65"/>
      <c r="AZ934" s="16"/>
      <c r="BA934" s="16"/>
      <c r="BB934" s="65"/>
      <c r="BC934" s="16"/>
      <c r="BD934" s="16"/>
      <c r="BE934" s="16"/>
      <c r="BF934" s="40"/>
      <c r="BG934" s="40"/>
      <c r="BH934" s="40"/>
      <c r="BI934" s="40"/>
      <c r="BJ934" s="40"/>
      <c r="BK934" s="40"/>
      <c r="BL934" s="40"/>
      <c r="BM934" s="40"/>
      <c r="BN934" s="40"/>
      <c r="BO934" s="40"/>
      <c r="BP934" s="40"/>
      <c r="BQ934" s="40"/>
      <c r="BR934" s="40"/>
      <c r="BS934" s="40"/>
      <c r="BT934" s="40"/>
      <c r="BU934" s="40"/>
      <c r="BV934" s="40"/>
      <c r="BW934" s="17"/>
      <c r="BX934" s="9"/>
      <c r="BY934" s="40"/>
      <c r="BZ934" s="40"/>
      <c r="CA934" s="40"/>
      <c r="CB934" s="40"/>
      <c r="CC934" s="8"/>
    </row>
    <row r="935" ht="18.75" customHeight="1">
      <c r="A935" s="40"/>
      <c r="B935" s="17"/>
      <c r="D935" s="40"/>
      <c r="G935" s="42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2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  <c r="AD935" s="40"/>
      <c r="AE935" s="40"/>
      <c r="AF935" s="40"/>
      <c r="AG935" s="40"/>
      <c r="AH935" s="40"/>
      <c r="AI935" s="40"/>
      <c r="AJ935" s="40"/>
      <c r="AK935" s="40"/>
      <c r="AL935" s="40"/>
      <c r="AM935" s="40"/>
      <c r="AN935" s="40"/>
      <c r="AO935" s="40"/>
      <c r="AP935" s="40"/>
      <c r="AQ935" s="40"/>
      <c r="AR935" s="40"/>
      <c r="AW935" s="40"/>
      <c r="AX935" s="65"/>
      <c r="AY935" s="65"/>
      <c r="AZ935" s="16"/>
      <c r="BA935" s="16"/>
      <c r="BB935" s="65"/>
      <c r="BC935" s="16"/>
      <c r="BD935" s="16"/>
      <c r="BE935" s="16"/>
      <c r="BF935" s="40"/>
      <c r="BG935" s="40"/>
      <c r="BH935" s="40"/>
      <c r="BI935" s="40"/>
      <c r="BJ935" s="40"/>
      <c r="BK935" s="40"/>
      <c r="BL935" s="40"/>
      <c r="BM935" s="40"/>
      <c r="BN935" s="40"/>
      <c r="BO935" s="40"/>
      <c r="BP935" s="40"/>
      <c r="BQ935" s="40"/>
      <c r="BR935" s="40"/>
      <c r="BS935" s="40"/>
      <c r="BT935" s="40"/>
      <c r="BU935" s="40"/>
      <c r="BV935" s="40"/>
      <c r="BW935" s="17"/>
      <c r="BX935" s="9"/>
      <c r="BY935" s="40"/>
      <c r="BZ935" s="40"/>
      <c r="CA935" s="40"/>
      <c r="CB935" s="40"/>
      <c r="CC935" s="8"/>
    </row>
    <row r="936" ht="18.75" customHeight="1">
      <c r="A936" s="40"/>
      <c r="B936" s="17"/>
      <c r="D936" s="40"/>
      <c r="G936" s="42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2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  <c r="AD936" s="40"/>
      <c r="AE936" s="40"/>
      <c r="AF936" s="40"/>
      <c r="AG936" s="40"/>
      <c r="AH936" s="40"/>
      <c r="AI936" s="40"/>
      <c r="AJ936" s="40"/>
      <c r="AK936" s="40"/>
      <c r="AL936" s="40"/>
      <c r="AM936" s="40"/>
      <c r="AN936" s="40"/>
      <c r="AO936" s="40"/>
      <c r="AP936" s="40"/>
      <c r="AQ936" s="40"/>
      <c r="AR936" s="40"/>
      <c r="AW936" s="40"/>
      <c r="AX936" s="65"/>
      <c r="AY936" s="65"/>
      <c r="AZ936" s="16"/>
      <c r="BA936" s="16"/>
      <c r="BB936" s="65"/>
      <c r="BC936" s="16"/>
      <c r="BD936" s="16"/>
      <c r="BE936" s="16"/>
      <c r="BF936" s="40"/>
      <c r="BG936" s="40"/>
      <c r="BH936" s="40"/>
      <c r="BI936" s="40"/>
      <c r="BJ936" s="40"/>
      <c r="BK936" s="40"/>
      <c r="BL936" s="40"/>
      <c r="BM936" s="40"/>
      <c r="BN936" s="40"/>
      <c r="BO936" s="40"/>
      <c r="BP936" s="40"/>
      <c r="BQ936" s="40"/>
      <c r="BR936" s="40"/>
      <c r="BS936" s="40"/>
      <c r="BT936" s="40"/>
      <c r="BU936" s="40"/>
      <c r="BV936" s="40"/>
      <c r="BW936" s="17"/>
      <c r="BX936" s="9"/>
      <c r="BY936" s="40"/>
      <c r="BZ936" s="40"/>
      <c r="CA936" s="40"/>
      <c r="CB936" s="40"/>
      <c r="CC936" s="8"/>
    </row>
    <row r="937" ht="18.75" customHeight="1">
      <c r="A937" s="40"/>
      <c r="B937" s="17"/>
      <c r="D937" s="40"/>
      <c r="G937" s="42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2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  <c r="AD937" s="40"/>
      <c r="AE937" s="40"/>
      <c r="AF937" s="40"/>
      <c r="AG937" s="40"/>
      <c r="AH937" s="40"/>
      <c r="AI937" s="40"/>
      <c r="AJ937" s="40"/>
      <c r="AK937" s="40"/>
      <c r="AL937" s="40"/>
      <c r="AM937" s="40"/>
      <c r="AN937" s="40"/>
      <c r="AO937" s="40"/>
      <c r="AP937" s="40"/>
      <c r="AQ937" s="40"/>
      <c r="AR937" s="40"/>
      <c r="AW937" s="40"/>
      <c r="AX937" s="65"/>
      <c r="AY937" s="65"/>
      <c r="AZ937" s="16"/>
      <c r="BA937" s="16"/>
      <c r="BB937" s="65"/>
      <c r="BC937" s="16"/>
      <c r="BD937" s="16"/>
      <c r="BE937" s="16"/>
      <c r="BF937" s="40"/>
      <c r="BG937" s="40"/>
      <c r="BH937" s="40"/>
      <c r="BI937" s="40"/>
      <c r="BJ937" s="40"/>
      <c r="BK937" s="40"/>
      <c r="BL937" s="40"/>
      <c r="BM937" s="40"/>
      <c r="BN937" s="40"/>
      <c r="BO937" s="40"/>
      <c r="BP937" s="40"/>
      <c r="BQ937" s="40"/>
      <c r="BR937" s="40"/>
      <c r="BS937" s="40"/>
      <c r="BT937" s="40"/>
      <c r="BU937" s="40"/>
      <c r="BV937" s="40"/>
      <c r="BW937" s="17"/>
      <c r="BX937" s="9"/>
      <c r="BY937" s="40"/>
      <c r="BZ937" s="40"/>
      <c r="CA937" s="40"/>
      <c r="CB937" s="40"/>
      <c r="CC937" s="8"/>
    </row>
    <row r="938" ht="18.75" customHeight="1">
      <c r="A938" s="40"/>
      <c r="B938" s="17"/>
      <c r="D938" s="40"/>
      <c r="G938" s="42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2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  <c r="AD938" s="40"/>
      <c r="AE938" s="40"/>
      <c r="AF938" s="40"/>
      <c r="AG938" s="40"/>
      <c r="AH938" s="40"/>
      <c r="AI938" s="40"/>
      <c r="AJ938" s="40"/>
      <c r="AK938" s="40"/>
      <c r="AL938" s="40"/>
      <c r="AM938" s="40"/>
      <c r="AN938" s="40"/>
      <c r="AO938" s="40"/>
      <c r="AP938" s="40"/>
      <c r="AQ938" s="40"/>
      <c r="AR938" s="40"/>
      <c r="AW938" s="40"/>
      <c r="AX938" s="65"/>
      <c r="AY938" s="65"/>
      <c r="AZ938" s="16"/>
      <c r="BA938" s="16"/>
      <c r="BB938" s="65"/>
      <c r="BC938" s="16"/>
      <c r="BD938" s="16"/>
      <c r="BE938" s="16"/>
      <c r="BF938" s="40"/>
      <c r="BG938" s="40"/>
      <c r="BH938" s="40"/>
      <c r="BI938" s="40"/>
      <c r="BJ938" s="40"/>
      <c r="BK938" s="40"/>
      <c r="BL938" s="40"/>
      <c r="BM938" s="40"/>
      <c r="BN938" s="40"/>
      <c r="BO938" s="40"/>
      <c r="BP938" s="40"/>
      <c r="BQ938" s="40"/>
      <c r="BR938" s="40"/>
      <c r="BS938" s="40"/>
      <c r="BT938" s="40"/>
      <c r="BU938" s="40"/>
      <c r="BV938" s="40"/>
      <c r="BW938" s="17"/>
      <c r="BX938" s="9"/>
      <c r="BY938" s="40"/>
      <c r="BZ938" s="40"/>
      <c r="CA938" s="40"/>
      <c r="CB938" s="40"/>
      <c r="CC938" s="8"/>
    </row>
    <row r="939" ht="18.75" customHeight="1">
      <c r="A939" s="40"/>
      <c r="B939" s="17"/>
      <c r="D939" s="40"/>
      <c r="G939" s="42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2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  <c r="AD939" s="40"/>
      <c r="AE939" s="40"/>
      <c r="AF939" s="40"/>
      <c r="AG939" s="40"/>
      <c r="AH939" s="40"/>
      <c r="AI939" s="40"/>
      <c r="AJ939" s="40"/>
      <c r="AK939" s="40"/>
      <c r="AL939" s="40"/>
      <c r="AM939" s="40"/>
      <c r="AN939" s="40"/>
      <c r="AO939" s="40"/>
      <c r="AP939" s="40"/>
      <c r="AQ939" s="40"/>
      <c r="AR939" s="40"/>
      <c r="AW939" s="40"/>
      <c r="AX939" s="65"/>
      <c r="AY939" s="65"/>
      <c r="AZ939" s="16"/>
      <c r="BA939" s="16"/>
      <c r="BB939" s="65"/>
      <c r="BC939" s="16"/>
      <c r="BD939" s="16"/>
      <c r="BE939" s="16"/>
      <c r="BF939" s="40"/>
      <c r="BG939" s="40"/>
      <c r="BH939" s="40"/>
      <c r="BI939" s="40"/>
      <c r="BJ939" s="40"/>
      <c r="BK939" s="40"/>
      <c r="BL939" s="40"/>
      <c r="BM939" s="40"/>
      <c r="BN939" s="40"/>
      <c r="BO939" s="40"/>
      <c r="BP939" s="40"/>
      <c r="BQ939" s="40"/>
      <c r="BR939" s="40"/>
      <c r="BS939" s="40"/>
      <c r="BT939" s="40"/>
      <c r="BU939" s="40"/>
      <c r="BV939" s="40"/>
      <c r="BW939" s="17"/>
      <c r="BX939" s="9"/>
      <c r="BY939" s="40"/>
      <c r="BZ939" s="40"/>
      <c r="CA939" s="40"/>
      <c r="CB939" s="40"/>
      <c r="CC939" s="8"/>
    </row>
    <row r="940" ht="18.75" customHeight="1">
      <c r="A940" s="40"/>
      <c r="B940" s="17"/>
      <c r="D940" s="40"/>
      <c r="G940" s="42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2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  <c r="AD940" s="40"/>
      <c r="AE940" s="40"/>
      <c r="AF940" s="40"/>
      <c r="AG940" s="40"/>
      <c r="AH940" s="40"/>
      <c r="AI940" s="40"/>
      <c r="AJ940" s="40"/>
      <c r="AK940" s="40"/>
      <c r="AL940" s="40"/>
      <c r="AM940" s="40"/>
      <c r="AN940" s="40"/>
      <c r="AO940" s="40"/>
      <c r="AP940" s="40"/>
      <c r="AQ940" s="40"/>
      <c r="AR940" s="40"/>
      <c r="AW940" s="40"/>
      <c r="AX940" s="65"/>
      <c r="AY940" s="65"/>
      <c r="AZ940" s="16"/>
      <c r="BA940" s="16"/>
      <c r="BB940" s="65"/>
      <c r="BC940" s="16"/>
      <c r="BD940" s="16"/>
      <c r="BE940" s="16"/>
      <c r="BF940" s="40"/>
      <c r="BG940" s="40"/>
      <c r="BH940" s="40"/>
      <c r="BI940" s="40"/>
      <c r="BJ940" s="40"/>
      <c r="BK940" s="40"/>
      <c r="BL940" s="40"/>
      <c r="BM940" s="40"/>
      <c r="BN940" s="40"/>
      <c r="BO940" s="40"/>
      <c r="BP940" s="40"/>
      <c r="BQ940" s="40"/>
      <c r="BR940" s="40"/>
      <c r="BS940" s="40"/>
      <c r="BT940" s="40"/>
      <c r="BU940" s="40"/>
      <c r="BV940" s="40"/>
      <c r="BW940" s="17"/>
      <c r="BX940" s="9"/>
      <c r="BY940" s="40"/>
      <c r="BZ940" s="40"/>
      <c r="CA940" s="40"/>
      <c r="CB940" s="40"/>
      <c r="CC940" s="8"/>
    </row>
    <row r="941" ht="18.75" customHeight="1">
      <c r="A941" s="40"/>
      <c r="B941" s="17"/>
      <c r="D941" s="40"/>
      <c r="G941" s="42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2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  <c r="AD941" s="40"/>
      <c r="AE941" s="40"/>
      <c r="AF941" s="40"/>
      <c r="AG941" s="40"/>
      <c r="AH941" s="40"/>
      <c r="AI941" s="40"/>
      <c r="AJ941" s="40"/>
      <c r="AK941" s="40"/>
      <c r="AL941" s="40"/>
      <c r="AM941" s="40"/>
      <c r="AN941" s="40"/>
      <c r="AO941" s="40"/>
      <c r="AP941" s="40"/>
      <c r="AQ941" s="40"/>
      <c r="AR941" s="40"/>
      <c r="AW941" s="40"/>
      <c r="AX941" s="65"/>
      <c r="AY941" s="65"/>
      <c r="AZ941" s="16"/>
      <c r="BA941" s="16"/>
      <c r="BB941" s="65"/>
      <c r="BC941" s="16"/>
      <c r="BD941" s="16"/>
      <c r="BE941" s="16"/>
      <c r="BF941" s="40"/>
      <c r="BG941" s="40"/>
      <c r="BH941" s="40"/>
      <c r="BI941" s="40"/>
      <c r="BJ941" s="40"/>
      <c r="BK941" s="40"/>
      <c r="BL941" s="40"/>
      <c r="BM941" s="40"/>
      <c r="BN941" s="40"/>
      <c r="BO941" s="40"/>
      <c r="BP941" s="40"/>
      <c r="BQ941" s="40"/>
      <c r="BR941" s="40"/>
      <c r="BS941" s="40"/>
      <c r="BT941" s="40"/>
      <c r="BU941" s="40"/>
      <c r="BV941" s="40"/>
      <c r="BW941" s="17"/>
      <c r="BX941" s="9"/>
      <c r="BY941" s="40"/>
      <c r="BZ941" s="40"/>
      <c r="CA941" s="40"/>
      <c r="CB941" s="40"/>
      <c r="CC941" s="8"/>
    </row>
    <row r="942" ht="18.75" customHeight="1">
      <c r="A942" s="40"/>
      <c r="B942" s="17"/>
      <c r="D942" s="40"/>
      <c r="G942" s="42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2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  <c r="AD942" s="40"/>
      <c r="AE942" s="40"/>
      <c r="AF942" s="40"/>
      <c r="AG942" s="40"/>
      <c r="AH942" s="40"/>
      <c r="AI942" s="40"/>
      <c r="AJ942" s="40"/>
      <c r="AK942" s="40"/>
      <c r="AL942" s="40"/>
      <c r="AM942" s="40"/>
      <c r="AN942" s="40"/>
      <c r="AO942" s="40"/>
      <c r="AP942" s="40"/>
      <c r="AQ942" s="40"/>
      <c r="AR942" s="40"/>
      <c r="AW942" s="40"/>
      <c r="AX942" s="65"/>
      <c r="AY942" s="65"/>
      <c r="AZ942" s="16"/>
      <c r="BA942" s="16"/>
      <c r="BB942" s="65"/>
      <c r="BC942" s="16"/>
      <c r="BD942" s="16"/>
      <c r="BE942" s="16"/>
      <c r="BF942" s="40"/>
      <c r="BG942" s="40"/>
      <c r="BH942" s="40"/>
      <c r="BI942" s="40"/>
      <c r="BJ942" s="40"/>
      <c r="BK942" s="40"/>
      <c r="BL942" s="40"/>
      <c r="BM942" s="40"/>
      <c r="BN942" s="40"/>
      <c r="BO942" s="40"/>
      <c r="BP942" s="40"/>
      <c r="BQ942" s="40"/>
      <c r="BR942" s="40"/>
      <c r="BS942" s="40"/>
      <c r="BT942" s="40"/>
      <c r="BU942" s="40"/>
      <c r="BV942" s="40"/>
      <c r="BW942" s="17"/>
      <c r="BX942" s="9"/>
      <c r="BY942" s="40"/>
      <c r="BZ942" s="40"/>
      <c r="CA942" s="40"/>
      <c r="CB942" s="40"/>
      <c r="CC942" s="8"/>
    </row>
    <row r="943" ht="18.75" customHeight="1">
      <c r="A943" s="40"/>
      <c r="B943" s="17"/>
      <c r="D943" s="40"/>
      <c r="G943" s="42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2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  <c r="AD943" s="40"/>
      <c r="AE943" s="40"/>
      <c r="AF943" s="40"/>
      <c r="AG943" s="40"/>
      <c r="AH943" s="40"/>
      <c r="AI943" s="40"/>
      <c r="AJ943" s="40"/>
      <c r="AK943" s="40"/>
      <c r="AL943" s="40"/>
      <c r="AM943" s="40"/>
      <c r="AN943" s="40"/>
      <c r="AO943" s="40"/>
      <c r="AP943" s="40"/>
      <c r="AQ943" s="40"/>
      <c r="AR943" s="40"/>
      <c r="AW943" s="40"/>
      <c r="AX943" s="65"/>
      <c r="AY943" s="65"/>
      <c r="AZ943" s="16"/>
      <c r="BA943" s="16"/>
      <c r="BB943" s="65"/>
      <c r="BC943" s="16"/>
      <c r="BD943" s="16"/>
      <c r="BE943" s="16"/>
      <c r="BF943" s="40"/>
      <c r="BG943" s="40"/>
      <c r="BH943" s="40"/>
      <c r="BI943" s="40"/>
      <c r="BJ943" s="40"/>
      <c r="BK943" s="40"/>
      <c r="BL943" s="40"/>
      <c r="BM943" s="40"/>
      <c r="BN943" s="40"/>
      <c r="BO943" s="40"/>
      <c r="BP943" s="40"/>
      <c r="BQ943" s="40"/>
      <c r="BR943" s="40"/>
      <c r="BS943" s="40"/>
      <c r="BT943" s="40"/>
      <c r="BU943" s="40"/>
      <c r="BV943" s="40"/>
      <c r="BW943" s="17"/>
      <c r="BX943" s="9"/>
      <c r="BY943" s="40"/>
      <c r="BZ943" s="40"/>
      <c r="CA943" s="40"/>
      <c r="CB943" s="40"/>
      <c r="CC943" s="8"/>
    </row>
    <row r="944" ht="18.75" customHeight="1">
      <c r="A944" s="40"/>
      <c r="B944" s="17"/>
      <c r="D944" s="40"/>
      <c r="G944" s="42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2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  <c r="AD944" s="40"/>
      <c r="AE944" s="40"/>
      <c r="AF944" s="40"/>
      <c r="AG944" s="40"/>
      <c r="AH944" s="40"/>
      <c r="AI944" s="40"/>
      <c r="AJ944" s="40"/>
      <c r="AK944" s="40"/>
      <c r="AL944" s="40"/>
      <c r="AM944" s="40"/>
      <c r="AN944" s="40"/>
      <c r="AO944" s="40"/>
      <c r="AP944" s="40"/>
      <c r="AQ944" s="40"/>
      <c r="AR944" s="40"/>
      <c r="AW944" s="40"/>
      <c r="AX944" s="65"/>
      <c r="AY944" s="65"/>
      <c r="AZ944" s="16"/>
      <c r="BA944" s="16"/>
      <c r="BB944" s="65"/>
      <c r="BC944" s="16"/>
      <c r="BD944" s="16"/>
      <c r="BE944" s="16"/>
      <c r="BF944" s="40"/>
      <c r="BG944" s="40"/>
      <c r="BH944" s="40"/>
      <c r="BI944" s="40"/>
      <c r="BJ944" s="40"/>
      <c r="BK944" s="40"/>
      <c r="BL944" s="40"/>
      <c r="BM944" s="40"/>
      <c r="BN944" s="40"/>
      <c r="BO944" s="40"/>
      <c r="BP944" s="40"/>
      <c r="BQ944" s="40"/>
      <c r="BR944" s="40"/>
      <c r="BS944" s="40"/>
      <c r="BT944" s="40"/>
      <c r="BU944" s="40"/>
      <c r="BV944" s="40"/>
      <c r="BW944" s="17"/>
      <c r="BX944" s="9"/>
      <c r="BY944" s="40"/>
      <c r="BZ944" s="40"/>
      <c r="CA944" s="40"/>
      <c r="CB944" s="40"/>
      <c r="CC944" s="8"/>
    </row>
    <row r="945" ht="18.75" customHeight="1">
      <c r="A945" s="40"/>
      <c r="B945" s="17"/>
      <c r="D945" s="40"/>
      <c r="G945" s="42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2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  <c r="AD945" s="40"/>
      <c r="AE945" s="40"/>
      <c r="AF945" s="40"/>
      <c r="AG945" s="40"/>
      <c r="AH945" s="40"/>
      <c r="AI945" s="40"/>
      <c r="AJ945" s="40"/>
      <c r="AK945" s="40"/>
      <c r="AL945" s="40"/>
      <c r="AM945" s="40"/>
      <c r="AN945" s="40"/>
      <c r="AO945" s="40"/>
      <c r="AP945" s="40"/>
      <c r="AQ945" s="40"/>
      <c r="AR945" s="40"/>
      <c r="AW945" s="40"/>
      <c r="AX945" s="65"/>
      <c r="AY945" s="65"/>
      <c r="AZ945" s="16"/>
      <c r="BA945" s="16"/>
      <c r="BB945" s="65"/>
      <c r="BC945" s="16"/>
      <c r="BD945" s="16"/>
      <c r="BE945" s="16"/>
      <c r="BF945" s="40"/>
      <c r="BG945" s="40"/>
      <c r="BH945" s="40"/>
      <c r="BI945" s="40"/>
      <c r="BJ945" s="40"/>
      <c r="BK945" s="40"/>
      <c r="BL945" s="40"/>
      <c r="BM945" s="40"/>
      <c r="BN945" s="40"/>
      <c r="BO945" s="40"/>
      <c r="BP945" s="40"/>
      <c r="BQ945" s="40"/>
      <c r="BR945" s="40"/>
      <c r="BS945" s="40"/>
      <c r="BT945" s="40"/>
      <c r="BU945" s="40"/>
      <c r="BV945" s="40"/>
      <c r="BW945" s="17"/>
      <c r="BX945" s="9"/>
      <c r="BY945" s="40"/>
      <c r="BZ945" s="40"/>
      <c r="CA945" s="40"/>
      <c r="CB945" s="40"/>
      <c r="CC945" s="8"/>
    </row>
    <row r="946" ht="18.75" customHeight="1">
      <c r="A946" s="40"/>
      <c r="B946" s="17"/>
      <c r="D946" s="40"/>
      <c r="G946" s="42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2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  <c r="AD946" s="40"/>
      <c r="AE946" s="40"/>
      <c r="AF946" s="40"/>
      <c r="AG946" s="40"/>
      <c r="AH946" s="40"/>
      <c r="AI946" s="40"/>
      <c r="AJ946" s="40"/>
      <c r="AK946" s="40"/>
      <c r="AL946" s="40"/>
      <c r="AM946" s="40"/>
      <c r="AN946" s="40"/>
      <c r="AO946" s="40"/>
      <c r="AP946" s="40"/>
      <c r="AQ946" s="40"/>
      <c r="AR946" s="40"/>
      <c r="AW946" s="40"/>
      <c r="AX946" s="65"/>
      <c r="AY946" s="65"/>
      <c r="AZ946" s="16"/>
      <c r="BA946" s="16"/>
      <c r="BB946" s="65"/>
      <c r="BC946" s="16"/>
      <c r="BD946" s="16"/>
      <c r="BE946" s="16"/>
      <c r="BF946" s="40"/>
      <c r="BG946" s="40"/>
      <c r="BH946" s="40"/>
      <c r="BI946" s="40"/>
      <c r="BJ946" s="40"/>
      <c r="BK946" s="40"/>
      <c r="BL946" s="40"/>
      <c r="BM946" s="40"/>
      <c r="BN946" s="40"/>
      <c r="BO946" s="40"/>
      <c r="BP946" s="40"/>
      <c r="BQ946" s="40"/>
      <c r="BR946" s="40"/>
      <c r="BS946" s="40"/>
      <c r="BT946" s="40"/>
      <c r="BU946" s="40"/>
      <c r="BV946" s="40"/>
      <c r="BW946" s="17"/>
      <c r="BX946" s="9"/>
      <c r="BY946" s="40"/>
      <c r="BZ946" s="40"/>
      <c r="CA946" s="40"/>
      <c r="CB946" s="40"/>
      <c r="CC946" s="8"/>
    </row>
    <row r="947" ht="18.75" customHeight="1">
      <c r="A947" s="40"/>
      <c r="B947" s="17"/>
      <c r="D947" s="40"/>
      <c r="G947" s="42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2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  <c r="AD947" s="40"/>
      <c r="AE947" s="40"/>
      <c r="AF947" s="40"/>
      <c r="AG947" s="40"/>
      <c r="AH947" s="40"/>
      <c r="AI947" s="40"/>
      <c r="AJ947" s="40"/>
      <c r="AK947" s="40"/>
      <c r="AL947" s="40"/>
      <c r="AM947" s="40"/>
      <c r="AN947" s="40"/>
      <c r="AO947" s="40"/>
      <c r="AP947" s="40"/>
      <c r="AQ947" s="40"/>
      <c r="AR947" s="40"/>
      <c r="AW947" s="40"/>
      <c r="AX947" s="65"/>
      <c r="AY947" s="65"/>
      <c r="AZ947" s="16"/>
      <c r="BA947" s="16"/>
      <c r="BB947" s="65"/>
      <c r="BC947" s="16"/>
      <c r="BD947" s="16"/>
      <c r="BE947" s="16"/>
      <c r="BF947" s="40"/>
      <c r="BG947" s="40"/>
      <c r="BH947" s="40"/>
      <c r="BI947" s="40"/>
      <c r="BJ947" s="40"/>
      <c r="BK947" s="40"/>
      <c r="BL947" s="40"/>
      <c r="BM947" s="40"/>
      <c r="BN947" s="40"/>
      <c r="BO947" s="40"/>
      <c r="BP947" s="40"/>
      <c r="BQ947" s="40"/>
      <c r="BR947" s="40"/>
      <c r="BS947" s="40"/>
      <c r="BT947" s="40"/>
      <c r="BU947" s="40"/>
      <c r="BV947" s="40"/>
      <c r="BW947" s="17"/>
      <c r="BX947" s="9"/>
      <c r="BY947" s="40"/>
      <c r="BZ947" s="40"/>
      <c r="CA947" s="40"/>
      <c r="CB947" s="40"/>
      <c r="CC947" s="8"/>
    </row>
    <row r="948" ht="18.75" customHeight="1">
      <c r="A948" s="40"/>
      <c r="B948" s="17"/>
      <c r="D948" s="40"/>
      <c r="G948" s="42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2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  <c r="AD948" s="40"/>
      <c r="AE948" s="40"/>
      <c r="AF948" s="40"/>
      <c r="AG948" s="40"/>
      <c r="AH948" s="40"/>
      <c r="AI948" s="40"/>
      <c r="AJ948" s="40"/>
      <c r="AK948" s="40"/>
      <c r="AL948" s="40"/>
      <c r="AM948" s="40"/>
      <c r="AN948" s="40"/>
      <c r="AO948" s="40"/>
      <c r="AP948" s="40"/>
      <c r="AQ948" s="40"/>
      <c r="AR948" s="40"/>
      <c r="AW948" s="40"/>
      <c r="AX948" s="65"/>
      <c r="AY948" s="65"/>
      <c r="AZ948" s="16"/>
      <c r="BA948" s="16"/>
      <c r="BB948" s="65"/>
      <c r="BC948" s="16"/>
      <c r="BD948" s="16"/>
      <c r="BE948" s="16"/>
      <c r="BF948" s="40"/>
      <c r="BG948" s="40"/>
      <c r="BH948" s="40"/>
      <c r="BI948" s="40"/>
      <c r="BJ948" s="40"/>
      <c r="BK948" s="40"/>
      <c r="BL948" s="40"/>
      <c r="BM948" s="40"/>
      <c r="BN948" s="40"/>
      <c r="BO948" s="40"/>
      <c r="BP948" s="40"/>
      <c r="BQ948" s="40"/>
      <c r="BR948" s="40"/>
      <c r="BS948" s="40"/>
      <c r="BT948" s="40"/>
      <c r="BU948" s="40"/>
      <c r="BV948" s="40"/>
      <c r="BW948" s="17"/>
      <c r="BX948" s="9"/>
      <c r="BY948" s="40"/>
      <c r="BZ948" s="40"/>
      <c r="CA948" s="40"/>
      <c r="CB948" s="40"/>
      <c r="CC948" s="8"/>
    </row>
    <row r="949" ht="18.75" customHeight="1">
      <c r="A949" s="40"/>
      <c r="B949" s="17"/>
      <c r="D949" s="40"/>
      <c r="G949" s="42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2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  <c r="AD949" s="40"/>
      <c r="AE949" s="40"/>
      <c r="AF949" s="40"/>
      <c r="AG949" s="40"/>
      <c r="AH949" s="40"/>
      <c r="AI949" s="40"/>
      <c r="AJ949" s="40"/>
      <c r="AK949" s="40"/>
      <c r="AL949" s="40"/>
      <c r="AM949" s="40"/>
      <c r="AN949" s="40"/>
      <c r="AO949" s="40"/>
      <c r="AP949" s="40"/>
      <c r="AQ949" s="40"/>
      <c r="AR949" s="40"/>
      <c r="AW949" s="40"/>
      <c r="AX949" s="65"/>
      <c r="AY949" s="65"/>
      <c r="AZ949" s="16"/>
      <c r="BA949" s="16"/>
      <c r="BB949" s="65"/>
      <c r="BC949" s="16"/>
      <c r="BD949" s="16"/>
      <c r="BE949" s="16"/>
      <c r="BF949" s="40"/>
      <c r="BG949" s="40"/>
      <c r="BH949" s="40"/>
      <c r="BI949" s="40"/>
      <c r="BJ949" s="40"/>
      <c r="BK949" s="40"/>
      <c r="BL949" s="40"/>
      <c r="BM949" s="40"/>
      <c r="BN949" s="40"/>
      <c r="BO949" s="40"/>
      <c r="BP949" s="40"/>
      <c r="BQ949" s="40"/>
      <c r="BR949" s="40"/>
      <c r="BS949" s="40"/>
      <c r="BT949" s="40"/>
      <c r="BU949" s="40"/>
      <c r="BV949" s="40"/>
      <c r="BW949" s="17"/>
      <c r="BX949" s="9"/>
      <c r="BY949" s="40"/>
      <c r="BZ949" s="40"/>
      <c r="CA949" s="40"/>
      <c r="CB949" s="40"/>
      <c r="CC949" s="8"/>
    </row>
    <row r="950" ht="18.75" customHeight="1">
      <c r="A950" s="40"/>
      <c r="B950" s="17"/>
      <c r="D950" s="40"/>
      <c r="G950" s="42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2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  <c r="AD950" s="40"/>
      <c r="AE950" s="40"/>
      <c r="AF950" s="40"/>
      <c r="AG950" s="40"/>
      <c r="AH950" s="40"/>
      <c r="AI950" s="40"/>
      <c r="AJ950" s="40"/>
      <c r="AK950" s="40"/>
      <c r="AL950" s="40"/>
      <c r="AM950" s="40"/>
      <c r="AN950" s="40"/>
      <c r="AO950" s="40"/>
      <c r="AP950" s="40"/>
      <c r="AQ950" s="40"/>
      <c r="AR950" s="40"/>
      <c r="AW950" s="40"/>
      <c r="AX950" s="65"/>
      <c r="AY950" s="65"/>
      <c r="AZ950" s="16"/>
      <c r="BA950" s="16"/>
      <c r="BB950" s="65"/>
      <c r="BC950" s="16"/>
      <c r="BD950" s="16"/>
      <c r="BE950" s="16"/>
      <c r="BF950" s="40"/>
      <c r="BG950" s="40"/>
      <c r="BH950" s="40"/>
      <c r="BI950" s="40"/>
      <c r="BJ950" s="40"/>
      <c r="BK950" s="40"/>
      <c r="BL950" s="40"/>
      <c r="BM950" s="40"/>
      <c r="BN950" s="40"/>
      <c r="BO950" s="40"/>
      <c r="BP950" s="40"/>
      <c r="BQ950" s="40"/>
      <c r="BR950" s="40"/>
      <c r="BS950" s="40"/>
      <c r="BT950" s="40"/>
      <c r="BU950" s="40"/>
      <c r="BV950" s="40"/>
      <c r="BW950" s="17"/>
      <c r="BX950" s="9"/>
      <c r="BY950" s="40"/>
      <c r="BZ950" s="40"/>
      <c r="CA950" s="40"/>
      <c r="CB950" s="40"/>
      <c r="CC950" s="8"/>
    </row>
    <row r="951" ht="18.75" customHeight="1">
      <c r="A951" s="40"/>
      <c r="B951" s="17"/>
      <c r="D951" s="40"/>
      <c r="G951" s="42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2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  <c r="AD951" s="40"/>
      <c r="AE951" s="40"/>
      <c r="AF951" s="40"/>
      <c r="AG951" s="40"/>
      <c r="AH951" s="40"/>
      <c r="AI951" s="40"/>
      <c r="AJ951" s="40"/>
      <c r="AK951" s="40"/>
      <c r="AL951" s="40"/>
      <c r="AM951" s="40"/>
      <c r="AN951" s="40"/>
      <c r="AO951" s="40"/>
      <c r="AP951" s="40"/>
      <c r="AQ951" s="40"/>
      <c r="AR951" s="40"/>
      <c r="AW951" s="40"/>
      <c r="AX951" s="65"/>
      <c r="AY951" s="65"/>
      <c r="AZ951" s="16"/>
      <c r="BA951" s="16"/>
      <c r="BB951" s="65"/>
      <c r="BC951" s="16"/>
      <c r="BD951" s="16"/>
      <c r="BE951" s="16"/>
      <c r="BF951" s="40"/>
      <c r="BG951" s="40"/>
      <c r="BH951" s="40"/>
      <c r="BI951" s="40"/>
      <c r="BJ951" s="40"/>
      <c r="BK951" s="40"/>
      <c r="BL951" s="40"/>
      <c r="BM951" s="40"/>
      <c r="BN951" s="40"/>
      <c r="BO951" s="40"/>
      <c r="BP951" s="40"/>
      <c r="BQ951" s="40"/>
      <c r="BR951" s="40"/>
      <c r="BS951" s="40"/>
      <c r="BT951" s="40"/>
      <c r="BU951" s="40"/>
      <c r="BV951" s="40"/>
      <c r="BW951" s="17"/>
      <c r="BX951" s="9"/>
      <c r="BY951" s="40"/>
      <c r="BZ951" s="40"/>
      <c r="CA951" s="40"/>
      <c r="CB951" s="40"/>
      <c r="CC951" s="8"/>
    </row>
    <row r="952" ht="18.75" customHeight="1">
      <c r="A952" s="40"/>
      <c r="B952" s="17"/>
      <c r="D952" s="40"/>
      <c r="G952" s="42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2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  <c r="AD952" s="40"/>
      <c r="AE952" s="40"/>
      <c r="AF952" s="40"/>
      <c r="AG952" s="40"/>
      <c r="AH952" s="40"/>
      <c r="AI952" s="40"/>
      <c r="AJ952" s="40"/>
      <c r="AK952" s="40"/>
      <c r="AL952" s="40"/>
      <c r="AM952" s="40"/>
      <c r="AN952" s="40"/>
      <c r="AO952" s="40"/>
      <c r="AP952" s="40"/>
      <c r="AQ952" s="40"/>
      <c r="AR952" s="40"/>
      <c r="AW952" s="40"/>
      <c r="AX952" s="65"/>
      <c r="AY952" s="65"/>
      <c r="AZ952" s="16"/>
      <c r="BA952" s="16"/>
      <c r="BB952" s="65"/>
      <c r="BC952" s="16"/>
      <c r="BD952" s="16"/>
      <c r="BE952" s="16"/>
      <c r="BF952" s="40"/>
      <c r="BG952" s="40"/>
      <c r="BH952" s="40"/>
      <c r="BI952" s="40"/>
      <c r="BJ952" s="40"/>
      <c r="BK952" s="40"/>
      <c r="BL952" s="40"/>
      <c r="BM952" s="40"/>
      <c r="BN952" s="40"/>
      <c r="BO952" s="40"/>
      <c r="BP952" s="40"/>
      <c r="BQ952" s="40"/>
      <c r="BR952" s="40"/>
      <c r="BS952" s="40"/>
      <c r="BT952" s="40"/>
      <c r="BU952" s="40"/>
      <c r="BV952" s="40"/>
      <c r="BW952" s="17"/>
      <c r="BX952" s="9"/>
      <c r="BY952" s="40"/>
      <c r="BZ952" s="40"/>
      <c r="CA952" s="40"/>
      <c r="CB952" s="40"/>
      <c r="CC952" s="8"/>
    </row>
    <row r="953" ht="18.75" customHeight="1">
      <c r="A953" s="40"/>
      <c r="B953" s="17"/>
      <c r="D953" s="40"/>
      <c r="G953" s="42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2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  <c r="AD953" s="40"/>
      <c r="AE953" s="40"/>
      <c r="AF953" s="40"/>
      <c r="AG953" s="40"/>
      <c r="AH953" s="40"/>
      <c r="AI953" s="40"/>
      <c r="AJ953" s="40"/>
      <c r="AK953" s="40"/>
      <c r="AL953" s="40"/>
      <c r="AM953" s="40"/>
      <c r="AN953" s="40"/>
      <c r="AO953" s="40"/>
      <c r="AP953" s="40"/>
      <c r="AQ953" s="40"/>
      <c r="AR953" s="40"/>
      <c r="AW953" s="40"/>
      <c r="AX953" s="65"/>
      <c r="AY953" s="65"/>
      <c r="AZ953" s="16"/>
      <c r="BA953" s="16"/>
      <c r="BB953" s="65"/>
      <c r="BC953" s="16"/>
      <c r="BD953" s="16"/>
      <c r="BE953" s="16"/>
      <c r="BF953" s="40"/>
      <c r="BG953" s="40"/>
      <c r="BH953" s="40"/>
      <c r="BI953" s="40"/>
      <c r="BJ953" s="40"/>
      <c r="BK953" s="40"/>
      <c r="BL953" s="40"/>
      <c r="BM953" s="40"/>
      <c r="BN953" s="40"/>
      <c r="BO953" s="40"/>
      <c r="BP953" s="40"/>
      <c r="BQ953" s="40"/>
      <c r="BR953" s="40"/>
      <c r="BS953" s="40"/>
      <c r="BT953" s="40"/>
      <c r="BU953" s="40"/>
      <c r="BV953" s="40"/>
      <c r="BW953" s="17"/>
      <c r="BX953" s="9"/>
      <c r="BY953" s="40"/>
      <c r="BZ953" s="40"/>
      <c r="CA953" s="40"/>
      <c r="CB953" s="40"/>
      <c r="CC953" s="8"/>
    </row>
    <row r="954" ht="18.75" customHeight="1">
      <c r="A954" s="40"/>
      <c r="B954" s="17"/>
      <c r="D954" s="40"/>
      <c r="G954" s="42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2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  <c r="AD954" s="40"/>
      <c r="AE954" s="40"/>
      <c r="AF954" s="40"/>
      <c r="AG954" s="40"/>
      <c r="AH954" s="40"/>
      <c r="AI954" s="40"/>
      <c r="AJ954" s="40"/>
      <c r="AK954" s="40"/>
      <c r="AL954" s="40"/>
      <c r="AM954" s="40"/>
      <c r="AN954" s="40"/>
      <c r="AO954" s="40"/>
      <c r="AP954" s="40"/>
      <c r="AQ954" s="40"/>
      <c r="AR954" s="40"/>
      <c r="AW954" s="40"/>
      <c r="AX954" s="65"/>
      <c r="AY954" s="65"/>
      <c r="AZ954" s="16"/>
      <c r="BA954" s="16"/>
      <c r="BB954" s="65"/>
      <c r="BC954" s="16"/>
      <c r="BD954" s="16"/>
      <c r="BE954" s="16"/>
      <c r="BF954" s="40"/>
      <c r="BG954" s="40"/>
      <c r="BH954" s="40"/>
      <c r="BI954" s="40"/>
      <c r="BJ954" s="40"/>
      <c r="BK954" s="40"/>
      <c r="BL954" s="40"/>
      <c r="BM954" s="40"/>
      <c r="BN954" s="40"/>
      <c r="BO954" s="40"/>
      <c r="BP954" s="40"/>
      <c r="BQ954" s="40"/>
      <c r="BR954" s="40"/>
      <c r="BS954" s="40"/>
      <c r="BT954" s="40"/>
      <c r="BU954" s="40"/>
      <c r="BV954" s="40"/>
      <c r="BW954" s="17"/>
      <c r="BX954" s="9"/>
      <c r="BY954" s="40"/>
      <c r="BZ954" s="40"/>
      <c r="CA954" s="40"/>
      <c r="CB954" s="40"/>
      <c r="CC954" s="8"/>
    </row>
    <row r="955" ht="18.75" customHeight="1">
      <c r="A955" s="40"/>
      <c r="B955" s="17"/>
      <c r="D955" s="40"/>
      <c r="G955" s="42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2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  <c r="AD955" s="40"/>
      <c r="AE955" s="40"/>
      <c r="AF955" s="40"/>
      <c r="AG955" s="40"/>
      <c r="AH955" s="40"/>
      <c r="AI955" s="40"/>
      <c r="AJ955" s="40"/>
      <c r="AK955" s="40"/>
      <c r="AL955" s="40"/>
      <c r="AM955" s="40"/>
      <c r="AN955" s="40"/>
      <c r="AO955" s="40"/>
      <c r="AP955" s="40"/>
      <c r="AQ955" s="40"/>
      <c r="AR955" s="40"/>
      <c r="AW955" s="40"/>
      <c r="AX955" s="65"/>
      <c r="AY955" s="65"/>
      <c r="AZ955" s="16"/>
      <c r="BA955" s="16"/>
      <c r="BB955" s="65"/>
      <c r="BC955" s="16"/>
      <c r="BD955" s="16"/>
      <c r="BE955" s="16"/>
      <c r="BF955" s="40"/>
      <c r="BG955" s="40"/>
      <c r="BH955" s="40"/>
      <c r="BI955" s="40"/>
      <c r="BJ955" s="40"/>
      <c r="BK955" s="40"/>
      <c r="BL955" s="40"/>
      <c r="BM955" s="40"/>
      <c r="BN955" s="40"/>
      <c r="BO955" s="40"/>
      <c r="BP955" s="40"/>
      <c r="BQ955" s="40"/>
      <c r="BR955" s="40"/>
      <c r="BS955" s="40"/>
      <c r="BT955" s="40"/>
      <c r="BU955" s="40"/>
      <c r="BV955" s="40"/>
      <c r="BW955" s="17"/>
      <c r="BX955" s="9"/>
      <c r="BY955" s="40"/>
      <c r="BZ955" s="40"/>
      <c r="CA955" s="40"/>
      <c r="CB955" s="40"/>
      <c r="CC955" s="8"/>
    </row>
    <row r="956" ht="18.75" customHeight="1">
      <c r="A956" s="40"/>
      <c r="B956" s="17"/>
      <c r="D956" s="40"/>
      <c r="G956" s="42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2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  <c r="AD956" s="40"/>
      <c r="AE956" s="40"/>
      <c r="AF956" s="40"/>
      <c r="AG956" s="40"/>
      <c r="AH956" s="40"/>
      <c r="AI956" s="40"/>
      <c r="AJ956" s="40"/>
      <c r="AK956" s="40"/>
      <c r="AL956" s="40"/>
      <c r="AM956" s="40"/>
      <c r="AN956" s="40"/>
      <c r="AO956" s="40"/>
      <c r="AP956" s="40"/>
      <c r="AQ956" s="40"/>
      <c r="AR956" s="40"/>
      <c r="AW956" s="40"/>
      <c r="AX956" s="65"/>
      <c r="AY956" s="65"/>
      <c r="AZ956" s="16"/>
      <c r="BA956" s="16"/>
      <c r="BB956" s="65"/>
      <c r="BC956" s="16"/>
      <c r="BD956" s="16"/>
      <c r="BE956" s="16"/>
      <c r="BF956" s="40"/>
      <c r="BG956" s="40"/>
      <c r="BH956" s="40"/>
      <c r="BI956" s="40"/>
      <c r="BJ956" s="40"/>
      <c r="BK956" s="40"/>
      <c r="BL956" s="40"/>
      <c r="BM956" s="40"/>
      <c r="BN956" s="40"/>
      <c r="BO956" s="40"/>
      <c r="BP956" s="40"/>
      <c r="BQ956" s="40"/>
      <c r="BR956" s="40"/>
      <c r="BS956" s="40"/>
      <c r="BT956" s="40"/>
      <c r="BU956" s="40"/>
      <c r="BV956" s="40"/>
      <c r="BW956" s="17"/>
      <c r="BX956" s="9"/>
      <c r="BY956" s="40"/>
      <c r="BZ956" s="40"/>
      <c r="CA956" s="40"/>
      <c r="CB956" s="40"/>
      <c r="CC956" s="8"/>
    </row>
    <row r="957" ht="18.75" customHeight="1">
      <c r="A957" s="40"/>
      <c r="B957" s="17"/>
      <c r="D957" s="40"/>
      <c r="G957" s="42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2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  <c r="AD957" s="40"/>
      <c r="AE957" s="40"/>
      <c r="AF957" s="40"/>
      <c r="AG957" s="40"/>
      <c r="AH957" s="40"/>
      <c r="AI957" s="40"/>
      <c r="AJ957" s="40"/>
      <c r="AK957" s="40"/>
      <c r="AL957" s="40"/>
      <c r="AM957" s="40"/>
      <c r="AN957" s="40"/>
      <c r="AO957" s="40"/>
      <c r="AP957" s="40"/>
      <c r="AQ957" s="40"/>
      <c r="AR957" s="40"/>
      <c r="AW957" s="40"/>
      <c r="AX957" s="65"/>
      <c r="AY957" s="65"/>
      <c r="AZ957" s="16"/>
      <c r="BA957" s="16"/>
      <c r="BB957" s="65"/>
      <c r="BC957" s="16"/>
      <c r="BD957" s="16"/>
      <c r="BE957" s="16"/>
      <c r="BF957" s="40"/>
      <c r="BG957" s="40"/>
      <c r="BH957" s="40"/>
      <c r="BI957" s="40"/>
      <c r="BJ957" s="40"/>
      <c r="BK957" s="40"/>
      <c r="BL957" s="40"/>
      <c r="BM957" s="40"/>
      <c r="BN957" s="40"/>
      <c r="BO957" s="40"/>
      <c r="BP957" s="40"/>
      <c r="BQ957" s="40"/>
      <c r="BR957" s="40"/>
      <c r="BS957" s="40"/>
      <c r="BT957" s="40"/>
      <c r="BU957" s="40"/>
      <c r="BV957" s="40"/>
      <c r="BW957" s="17"/>
      <c r="BX957" s="9"/>
      <c r="BY957" s="40"/>
      <c r="BZ957" s="40"/>
      <c r="CA957" s="40"/>
      <c r="CB957" s="40"/>
      <c r="CC957" s="8"/>
    </row>
    <row r="958" ht="18.75" customHeight="1">
      <c r="A958" s="40"/>
      <c r="B958" s="17"/>
      <c r="D958" s="40"/>
      <c r="G958" s="42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2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  <c r="AD958" s="40"/>
      <c r="AE958" s="40"/>
      <c r="AF958" s="40"/>
      <c r="AG958" s="40"/>
      <c r="AH958" s="40"/>
      <c r="AI958" s="40"/>
      <c r="AJ958" s="40"/>
      <c r="AK958" s="40"/>
      <c r="AL958" s="40"/>
      <c r="AM958" s="40"/>
      <c r="AN958" s="40"/>
      <c r="AO958" s="40"/>
      <c r="AP958" s="40"/>
      <c r="AQ958" s="40"/>
      <c r="AR958" s="40"/>
      <c r="AW958" s="40"/>
      <c r="AX958" s="65"/>
      <c r="AY958" s="65"/>
      <c r="AZ958" s="16"/>
      <c r="BA958" s="16"/>
      <c r="BB958" s="65"/>
      <c r="BC958" s="16"/>
      <c r="BD958" s="16"/>
      <c r="BE958" s="16"/>
      <c r="BF958" s="40"/>
      <c r="BG958" s="40"/>
      <c r="BH958" s="40"/>
      <c r="BI958" s="40"/>
      <c r="BJ958" s="40"/>
      <c r="BK958" s="40"/>
      <c r="BL958" s="40"/>
      <c r="BM958" s="40"/>
      <c r="BN958" s="40"/>
      <c r="BO958" s="40"/>
      <c r="BP958" s="40"/>
      <c r="BQ958" s="40"/>
      <c r="BR958" s="40"/>
      <c r="BS958" s="40"/>
      <c r="BT958" s="40"/>
      <c r="BU958" s="40"/>
      <c r="BV958" s="40"/>
      <c r="BW958" s="17"/>
      <c r="BX958" s="9"/>
      <c r="BY958" s="40"/>
      <c r="BZ958" s="40"/>
      <c r="CA958" s="40"/>
      <c r="CB958" s="40"/>
      <c r="CC958" s="8"/>
    </row>
    <row r="959" ht="18.75" customHeight="1">
      <c r="A959" s="40"/>
      <c r="B959" s="17"/>
      <c r="D959" s="40"/>
      <c r="G959" s="42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2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  <c r="AD959" s="40"/>
      <c r="AE959" s="40"/>
      <c r="AF959" s="40"/>
      <c r="AG959" s="40"/>
      <c r="AH959" s="40"/>
      <c r="AI959" s="40"/>
      <c r="AJ959" s="40"/>
      <c r="AK959" s="40"/>
      <c r="AL959" s="40"/>
      <c r="AM959" s="40"/>
      <c r="AN959" s="40"/>
      <c r="AO959" s="40"/>
      <c r="AP959" s="40"/>
      <c r="AQ959" s="40"/>
      <c r="AR959" s="40"/>
      <c r="AW959" s="40"/>
      <c r="AX959" s="65"/>
      <c r="AY959" s="65"/>
      <c r="AZ959" s="16"/>
      <c r="BA959" s="16"/>
      <c r="BB959" s="65"/>
      <c r="BC959" s="16"/>
      <c r="BD959" s="16"/>
      <c r="BE959" s="16"/>
      <c r="BF959" s="40"/>
      <c r="BG959" s="40"/>
      <c r="BH959" s="40"/>
      <c r="BI959" s="40"/>
      <c r="BJ959" s="40"/>
      <c r="BK959" s="40"/>
      <c r="BL959" s="40"/>
      <c r="BM959" s="40"/>
      <c r="BN959" s="40"/>
      <c r="BO959" s="40"/>
      <c r="BP959" s="40"/>
      <c r="BQ959" s="40"/>
      <c r="BR959" s="40"/>
      <c r="BS959" s="40"/>
      <c r="BT959" s="40"/>
      <c r="BU959" s="40"/>
      <c r="BV959" s="40"/>
      <c r="BW959" s="17"/>
      <c r="BX959" s="9"/>
      <c r="BY959" s="40"/>
      <c r="BZ959" s="40"/>
      <c r="CA959" s="40"/>
      <c r="CB959" s="40"/>
      <c r="CC959" s="8"/>
    </row>
    <row r="960" ht="18.75" customHeight="1">
      <c r="A960" s="40"/>
      <c r="B960" s="17"/>
      <c r="D960" s="40"/>
      <c r="G960" s="42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2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  <c r="AD960" s="40"/>
      <c r="AE960" s="40"/>
      <c r="AF960" s="40"/>
      <c r="AG960" s="40"/>
      <c r="AH960" s="40"/>
      <c r="AI960" s="40"/>
      <c r="AJ960" s="40"/>
      <c r="AK960" s="40"/>
      <c r="AL960" s="40"/>
      <c r="AM960" s="40"/>
      <c r="AN960" s="40"/>
      <c r="AO960" s="40"/>
      <c r="AP960" s="40"/>
      <c r="AQ960" s="40"/>
      <c r="AR960" s="40"/>
      <c r="AW960" s="40"/>
      <c r="AX960" s="65"/>
      <c r="AY960" s="65"/>
      <c r="AZ960" s="16"/>
      <c r="BA960" s="16"/>
      <c r="BB960" s="65"/>
      <c r="BC960" s="16"/>
      <c r="BD960" s="16"/>
      <c r="BE960" s="16"/>
      <c r="BF960" s="40"/>
      <c r="BG960" s="40"/>
      <c r="BH960" s="40"/>
      <c r="BI960" s="40"/>
      <c r="BJ960" s="40"/>
      <c r="BK960" s="40"/>
      <c r="BL960" s="40"/>
      <c r="BM960" s="40"/>
      <c r="BN960" s="40"/>
      <c r="BO960" s="40"/>
      <c r="BP960" s="40"/>
      <c r="BQ960" s="40"/>
      <c r="BR960" s="40"/>
      <c r="BS960" s="40"/>
      <c r="BT960" s="40"/>
      <c r="BU960" s="40"/>
      <c r="BV960" s="40"/>
      <c r="BW960" s="17"/>
      <c r="BX960" s="9"/>
      <c r="BY960" s="40"/>
      <c r="BZ960" s="40"/>
      <c r="CA960" s="40"/>
      <c r="CB960" s="40"/>
      <c r="CC960" s="8"/>
    </row>
    <row r="961" ht="18.75" customHeight="1">
      <c r="A961" s="40"/>
      <c r="B961" s="17"/>
      <c r="D961" s="40"/>
      <c r="G961" s="42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2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  <c r="AD961" s="40"/>
      <c r="AE961" s="40"/>
      <c r="AF961" s="40"/>
      <c r="AG961" s="40"/>
      <c r="AH961" s="40"/>
      <c r="AI961" s="40"/>
      <c r="AJ961" s="40"/>
      <c r="AK961" s="40"/>
      <c r="AL961" s="40"/>
      <c r="AM961" s="40"/>
      <c r="AN961" s="40"/>
      <c r="AO961" s="40"/>
      <c r="AP961" s="40"/>
      <c r="AQ961" s="40"/>
      <c r="AR961" s="40"/>
      <c r="AW961" s="40"/>
      <c r="AX961" s="65"/>
      <c r="AY961" s="65"/>
      <c r="AZ961" s="16"/>
      <c r="BA961" s="16"/>
      <c r="BB961" s="65"/>
      <c r="BC961" s="16"/>
      <c r="BD961" s="16"/>
      <c r="BE961" s="16"/>
      <c r="BF961" s="40"/>
      <c r="BG961" s="40"/>
      <c r="BH961" s="40"/>
      <c r="BI961" s="40"/>
      <c r="BJ961" s="40"/>
      <c r="BK961" s="40"/>
      <c r="BL961" s="40"/>
      <c r="BM961" s="40"/>
      <c r="BN961" s="40"/>
      <c r="BO961" s="40"/>
      <c r="BP961" s="40"/>
      <c r="BQ961" s="40"/>
      <c r="BR961" s="40"/>
      <c r="BS961" s="40"/>
      <c r="BT961" s="40"/>
      <c r="BU961" s="40"/>
      <c r="BV961" s="40"/>
      <c r="BW961" s="17"/>
      <c r="BX961" s="9"/>
      <c r="BY961" s="40"/>
      <c r="BZ961" s="40"/>
      <c r="CA961" s="40"/>
      <c r="CB961" s="40"/>
      <c r="CC961" s="8"/>
    </row>
    <row r="962" ht="18.75" customHeight="1">
      <c r="A962" s="40"/>
      <c r="B962" s="17"/>
      <c r="D962" s="40"/>
      <c r="G962" s="42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2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  <c r="AD962" s="40"/>
      <c r="AE962" s="40"/>
      <c r="AF962" s="40"/>
      <c r="AG962" s="40"/>
      <c r="AH962" s="40"/>
      <c r="AI962" s="40"/>
      <c r="AJ962" s="40"/>
      <c r="AK962" s="40"/>
      <c r="AL962" s="40"/>
      <c r="AM962" s="40"/>
      <c r="AN962" s="40"/>
      <c r="AO962" s="40"/>
      <c r="AP962" s="40"/>
      <c r="AQ962" s="40"/>
      <c r="AR962" s="40"/>
      <c r="AW962" s="40"/>
      <c r="AX962" s="65"/>
      <c r="AY962" s="65"/>
      <c r="AZ962" s="16"/>
      <c r="BA962" s="16"/>
      <c r="BB962" s="65"/>
      <c r="BC962" s="16"/>
      <c r="BD962" s="16"/>
      <c r="BE962" s="16"/>
      <c r="BF962" s="40"/>
      <c r="BG962" s="40"/>
      <c r="BH962" s="40"/>
      <c r="BI962" s="40"/>
      <c r="BJ962" s="40"/>
      <c r="BK962" s="40"/>
      <c r="BL962" s="40"/>
      <c r="BM962" s="40"/>
      <c r="BN962" s="40"/>
      <c r="BO962" s="40"/>
      <c r="BP962" s="40"/>
      <c r="BQ962" s="40"/>
      <c r="BR962" s="40"/>
      <c r="BS962" s="40"/>
      <c r="BT962" s="40"/>
      <c r="BU962" s="40"/>
      <c r="BV962" s="40"/>
      <c r="BW962" s="17"/>
      <c r="BX962" s="9"/>
      <c r="BY962" s="40"/>
      <c r="BZ962" s="40"/>
      <c r="CA962" s="40"/>
      <c r="CB962" s="40"/>
      <c r="CC962" s="8"/>
    </row>
    <row r="963" ht="18.75" customHeight="1">
      <c r="A963" s="40"/>
      <c r="B963" s="17"/>
      <c r="D963" s="40"/>
      <c r="G963" s="42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2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  <c r="AD963" s="40"/>
      <c r="AE963" s="40"/>
      <c r="AF963" s="40"/>
      <c r="AG963" s="40"/>
      <c r="AH963" s="40"/>
      <c r="AI963" s="40"/>
      <c r="AJ963" s="40"/>
      <c r="AK963" s="40"/>
      <c r="AL963" s="40"/>
      <c r="AM963" s="40"/>
      <c r="AN963" s="40"/>
      <c r="AO963" s="40"/>
      <c r="AP963" s="40"/>
      <c r="AQ963" s="40"/>
      <c r="AR963" s="40"/>
      <c r="AW963" s="40"/>
      <c r="AX963" s="65"/>
      <c r="AY963" s="65"/>
      <c r="AZ963" s="16"/>
      <c r="BA963" s="16"/>
      <c r="BB963" s="65"/>
      <c r="BC963" s="16"/>
      <c r="BD963" s="16"/>
      <c r="BE963" s="16"/>
      <c r="BF963" s="40"/>
      <c r="BG963" s="40"/>
      <c r="BH963" s="40"/>
      <c r="BI963" s="40"/>
      <c r="BJ963" s="40"/>
      <c r="BK963" s="40"/>
      <c r="BL963" s="40"/>
      <c r="BM963" s="40"/>
      <c r="BN963" s="40"/>
      <c r="BO963" s="40"/>
      <c r="BP963" s="40"/>
      <c r="BQ963" s="40"/>
      <c r="BR963" s="40"/>
      <c r="BS963" s="40"/>
      <c r="BT963" s="40"/>
      <c r="BU963" s="40"/>
      <c r="BV963" s="40"/>
      <c r="BW963" s="17"/>
      <c r="BX963" s="9"/>
      <c r="BY963" s="40"/>
      <c r="BZ963" s="40"/>
      <c r="CA963" s="40"/>
      <c r="CB963" s="40"/>
      <c r="CC963" s="8"/>
    </row>
    <row r="964" ht="18.75" customHeight="1">
      <c r="A964" s="40"/>
      <c r="B964" s="17"/>
      <c r="D964" s="40"/>
      <c r="G964" s="42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2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  <c r="AD964" s="40"/>
      <c r="AE964" s="40"/>
      <c r="AF964" s="40"/>
      <c r="AG964" s="40"/>
      <c r="AH964" s="40"/>
      <c r="AI964" s="40"/>
      <c r="AJ964" s="40"/>
      <c r="AK964" s="40"/>
      <c r="AL964" s="40"/>
      <c r="AM964" s="40"/>
      <c r="AN964" s="40"/>
      <c r="AO964" s="40"/>
      <c r="AP964" s="40"/>
      <c r="AQ964" s="40"/>
      <c r="AR964" s="40"/>
      <c r="AW964" s="40"/>
      <c r="AX964" s="65"/>
      <c r="AY964" s="65"/>
      <c r="AZ964" s="16"/>
      <c r="BA964" s="16"/>
      <c r="BB964" s="65"/>
      <c r="BC964" s="16"/>
      <c r="BD964" s="16"/>
      <c r="BE964" s="16"/>
      <c r="BF964" s="40"/>
      <c r="BG964" s="40"/>
      <c r="BH964" s="40"/>
      <c r="BI964" s="40"/>
      <c r="BJ964" s="40"/>
      <c r="BK964" s="40"/>
      <c r="BL964" s="40"/>
      <c r="BM964" s="40"/>
      <c r="BN964" s="40"/>
      <c r="BO964" s="40"/>
      <c r="BP964" s="40"/>
      <c r="BQ964" s="40"/>
      <c r="BR964" s="40"/>
      <c r="BS964" s="40"/>
      <c r="BT964" s="40"/>
      <c r="BU964" s="40"/>
      <c r="BV964" s="40"/>
      <c r="BW964" s="17"/>
      <c r="BX964" s="9"/>
      <c r="BY964" s="40"/>
      <c r="BZ964" s="40"/>
      <c r="CA964" s="40"/>
      <c r="CB964" s="40"/>
      <c r="CC964" s="8"/>
    </row>
    <row r="965" ht="18.75" customHeight="1">
      <c r="A965" s="40"/>
      <c r="B965" s="17"/>
      <c r="D965" s="40"/>
      <c r="G965" s="42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2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  <c r="AD965" s="40"/>
      <c r="AE965" s="40"/>
      <c r="AF965" s="40"/>
      <c r="AG965" s="40"/>
      <c r="AH965" s="40"/>
      <c r="AI965" s="40"/>
      <c r="AJ965" s="40"/>
      <c r="AK965" s="40"/>
      <c r="AL965" s="40"/>
      <c r="AM965" s="40"/>
      <c r="AN965" s="40"/>
      <c r="AO965" s="40"/>
      <c r="AP965" s="40"/>
      <c r="AQ965" s="40"/>
      <c r="AR965" s="40"/>
      <c r="AW965" s="40"/>
      <c r="AX965" s="65"/>
      <c r="AY965" s="65"/>
      <c r="AZ965" s="16"/>
      <c r="BA965" s="16"/>
      <c r="BB965" s="65"/>
      <c r="BC965" s="16"/>
      <c r="BD965" s="16"/>
      <c r="BE965" s="16"/>
      <c r="BF965" s="40"/>
      <c r="BG965" s="40"/>
      <c r="BH965" s="40"/>
      <c r="BI965" s="40"/>
      <c r="BJ965" s="40"/>
      <c r="BK965" s="40"/>
      <c r="BL965" s="40"/>
      <c r="BM965" s="40"/>
      <c r="BN965" s="40"/>
      <c r="BO965" s="40"/>
      <c r="BP965" s="40"/>
      <c r="BQ965" s="40"/>
      <c r="BR965" s="40"/>
      <c r="BS965" s="40"/>
      <c r="BT965" s="40"/>
      <c r="BU965" s="40"/>
      <c r="BV965" s="40"/>
      <c r="BW965" s="17"/>
      <c r="BX965" s="9"/>
      <c r="BY965" s="40"/>
      <c r="BZ965" s="40"/>
      <c r="CA965" s="40"/>
      <c r="CB965" s="40"/>
      <c r="CC965" s="8"/>
    </row>
    <row r="966" ht="18.75" customHeight="1">
      <c r="A966" s="40"/>
      <c r="B966" s="17"/>
      <c r="D966" s="40"/>
      <c r="G966" s="42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2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  <c r="AD966" s="40"/>
      <c r="AE966" s="40"/>
      <c r="AF966" s="40"/>
      <c r="AG966" s="40"/>
      <c r="AH966" s="40"/>
      <c r="AI966" s="40"/>
      <c r="AJ966" s="40"/>
      <c r="AK966" s="40"/>
      <c r="AL966" s="40"/>
      <c r="AM966" s="40"/>
      <c r="AN966" s="40"/>
      <c r="AO966" s="40"/>
      <c r="AP966" s="40"/>
      <c r="AQ966" s="40"/>
      <c r="AR966" s="40"/>
      <c r="AW966" s="40"/>
      <c r="AX966" s="65"/>
      <c r="AY966" s="65"/>
      <c r="AZ966" s="16"/>
      <c r="BA966" s="16"/>
      <c r="BB966" s="65"/>
      <c r="BC966" s="16"/>
      <c r="BD966" s="16"/>
      <c r="BE966" s="16"/>
      <c r="BF966" s="40"/>
      <c r="BG966" s="40"/>
      <c r="BH966" s="40"/>
      <c r="BI966" s="40"/>
      <c r="BJ966" s="40"/>
      <c r="BK966" s="40"/>
      <c r="BL966" s="40"/>
      <c r="BM966" s="40"/>
      <c r="BN966" s="40"/>
      <c r="BO966" s="40"/>
      <c r="BP966" s="40"/>
      <c r="BQ966" s="40"/>
      <c r="BR966" s="40"/>
      <c r="BS966" s="40"/>
      <c r="BT966" s="40"/>
      <c r="BU966" s="40"/>
      <c r="BV966" s="40"/>
      <c r="BW966" s="17"/>
      <c r="BX966" s="9"/>
      <c r="BY966" s="40"/>
      <c r="BZ966" s="40"/>
      <c r="CA966" s="40"/>
      <c r="CB966" s="40"/>
      <c r="CC966" s="8"/>
    </row>
    <row r="967" ht="18.75" customHeight="1">
      <c r="A967" s="40"/>
      <c r="B967" s="17"/>
      <c r="D967" s="40"/>
      <c r="G967" s="42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2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  <c r="AD967" s="40"/>
      <c r="AE967" s="40"/>
      <c r="AF967" s="40"/>
      <c r="AG967" s="40"/>
      <c r="AH967" s="40"/>
      <c r="AI967" s="40"/>
      <c r="AJ967" s="40"/>
      <c r="AK967" s="40"/>
      <c r="AL967" s="40"/>
      <c r="AM967" s="40"/>
      <c r="AN967" s="40"/>
      <c r="AO967" s="40"/>
      <c r="AP967" s="40"/>
      <c r="AQ967" s="40"/>
      <c r="AR967" s="40"/>
      <c r="AW967" s="40"/>
      <c r="AX967" s="65"/>
      <c r="AY967" s="65"/>
      <c r="AZ967" s="16"/>
      <c r="BA967" s="16"/>
      <c r="BB967" s="65"/>
      <c r="BC967" s="16"/>
      <c r="BD967" s="16"/>
      <c r="BE967" s="16"/>
      <c r="BF967" s="40"/>
      <c r="BG967" s="40"/>
      <c r="BH967" s="40"/>
      <c r="BI967" s="40"/>
      <c r="BJ967" s="40"/>
      <c r="BK967" s="40"/>
      <c r="BL967" s="40"/>
      <c r="BM967" s="40"/>
      <c r="BN967" s="40"/>
      <c r="BO967" s="40"/>
      <c r="BP967" s="40"/>
      <c r="BQ967" s="40"/>
      <c r="BR967" s="40"/>
      <c r="BS967" s="40"/>
      <c r="BT967" s="40"/>
      <c r="BU967" s="40"/>
      <c r="BV967" s="40"/>
      <c r="BW967" s="17"/>
      <c r="BX967" s="9"/>
      <c r="BY967" s="40"/>
      <c r="BZ967" s="40"/>
      <c r="CA967" s="40"/>
      <c r="CB967" s="40"/>
      <c r="CC967" s="8"/>
    </row>
    <row r="968" ht="18.75" customHeight="1">
      <c r="A968" s="40"/>
      <c r="B968" s="17"/>
      <c r="D968" s="40"/>
      <c r="G968" s="42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2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  <c r="AD968" s="40"/>
      <c r="AE968" s="40"/>
      <c r="AF968" s="40"/>
      <c r="AG968" s="40"/>
      <c r="AH968" s="40"/>
      <c r="AI968" s="40"/>
      <c r="AJ968" s="40"/>
      <c r="AK968" s="40"/>
      <c r="AL968" s="40"/>
      <c r="AM968" s="40"/>
      <c r="AN968" s="40"/>
      <c r="AO968" s="40"/>
      <c r="AP968" s="40"/>
      <c r="AQ968" s="40"/>
      <c r="AR968" s="40"/>
      <c r="AW968" s="40"/>
      <c r="AX968" s="65"/>
      <c r="AY968" s="65"/>
      <c r="AZ968" s="16"/>
      <c r="BA968" s="16"/>
      <c r="BB968" s="65"/>
      <c r="BC968" s="16"/>
      <c r="BD968" s="16"/>
      <c r="BE968" s="16"/>
      <c r="BF968" s="40"/>
      <c r="BG968" s="40"/>
      <c r="BH968" s="40"/>
      <c r="BI968" s="40"/>
      <c r="BJ968" s="40"/>
      <c r="BK968" s="40"/>
      <c r="BL968" s="40"/>
      <c r="BM968" s="40"/>
      <c r="BN968" s="40"/>
      <c r="BO968" s="40"/>
      <c r="BP968" s="40"/>
      <c r="BQ968" s="40"/>
      <c r="BR968" s="40"/>
      <c r="BS968" s="40"/>
      <c r="BT968" s="40"/>
      <c r="BU968" s="40"/>
      <c r="BV968" s="40"/>
      <c r="BW968" s="17"/>
      <c r="BX968" s="9"/>
      <c r="BY968" s="40"/>
      <c r="BZ968" s="40"/>
      <c r="CA968" s="40"/>
      <c r="CB968" s="40"/>
      <c r="CC968" s="8"/>
    </row>
    <row r="969" ht="18.75" customHeight="1">
      <c r="A969" s="40"/>
      <c r="B969" s="17"/>
      <c r="D969" s="40"/>
      <c r="G969" s="42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2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  <c r="AD969" s="40"/>
      <c r="AE969" s="40"/>
      <c r="AF969" s="40"/>
      <c r="AG969" s="40"/>
      <c r="AH969" s="40"/>
      <c r="AI969" s="40"/>
      <c r="AJ969" s="40"/>
      <c r="AK969" s="40"/>
      <c r="AL969" s="40"/>
      <c r="AM969" s="40"/>
      <c r="AN969" s="40"/>
      <c r="AO969" s="40"/>
      <c r="AP969" s="40"/>
      <c r="AQ969" s="40"/>
      <c r="AR969" s="40"/>
      <c r="AW969" s="40"/>
      <c r="AX969" s="65"/>
      <c r="AY969" s="65"/>
      <c r="AZ969" s="16"/>
      <c r="BA969" s="16"/>
      <c r="BB969" s="65"/>
      <c r="BC969" s="16"/>
      <c r="BD969" s="16"/>
      <c r="BE969" s="16"/>
      <c r="BF969" s="40"/>
      <c r="BG969" s="40"/>
      <c r="BH969" s="40"/>
      <c r="BI969" s="40"/>
      <c r="BJ969" s="40"/>
      <c r="BK969" s="40"/>
      <c r="BL969" s="40"/>
      <c r="BM969" s="40"/>
      <c r="BN969" s="40"/>
      <c r="BO969" s="40"/>
      <c r="BP969" s="40"/>
      <c r="BQ969" s="40"/>
      <c r="BR969" s="40"/>
      <c r="BS969" s="40"/>
      <c r="BT969" s="40"/>
      <c r="BU969" s="40"/>
      <c r="BV969" s="40"/>
      <c r="BW969" s="17"/>
      <c r="BX969" s="9"/>
      <c r="BY969" s="40"/>
      <c r="BZ969" s="40"/>
      <c r="CA969" s="40"/>
      <c r="CB969" s="40"/>
      <c r="CC969" s="8"/>
    </row>
    <row r="970" ht="18.75" customHeight="1">
      <c r="A970" s="40"/>
      <c r="B970" s="17"/>
      <c r="D970" s="40"/>
      <c r="G970" s="42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2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  <c r="AD970" s="40"/>
      <c r="AE970" s="40"/>
      <c r="AF970" s="40"/>
      <c r="AG970" s="40"/>
      <c r="AH970" s="40"/>
      <c r="AI970" s="40"/>
      <c r="AJ970" s="40"/>
      <c r="AK970" s="40"/>
      <c r="AL970" s="40"/>
      <c r="AM970" s="40"/>
      <c r="AN970" s="40"/>
      <c r="AO970" s="40"/>
      <c r="AP970" s="40"/>
      <c r="AQ970" s="40"/>
      <c r="AR970" s="40"/>
      <c r="AW970" s="40"/>
      <c r="AX970" s="65"/>
      <c r="AY970" s="65"/>
      <c r="AZ970" s="16"/>
      <c r="BA970" s="16"/>
      <c r="BB970" s="65"/>
      <c r="BC970" s="16"/>
      <c r="BD970" s="16"/>
      <c r="BE970" s="16"/>
      <c r="BF970" s="40"/>
      <c r="BG970" s="40"/>
      <c r="BH970" s="40"/>
      <c r="BI970" s="40"/>
      <c r="BJ970" s="40"/>
      <c r="BK970" s="40"/>
      <c r="BL970" s="40"/>
      <c r="BM970" s="40"/>
      <c r="BN970" s="40"/>
      <c r="BO970" s="40"/>
      <c r="BP970" s="40"/>
      <c r="BQ970" s="40"/>
      <c r="BR970" s="40"/>
      <c r="BS970" s="40"/>
      <c r="BT970" s="40"/>
      <c r="BU970" s="40"/>
      <c r="BV970" s="40"/>
      <c r="BW970" s="17"/>
      <c r="BX970" s="9"/>
      <c r="BY970" s="40"/>
      <c r="BZ970" s="40"/>
      <c r="CA970" s="40"/>
      <c r="CB970" s="40"/>
      <c r="CC970" s="8"/>
    </row>
    <row r="971" ht="18.75" customHeight="1">
      <c r="A971" s="40"/>
      <c r="B971" s="17"/>
      <c r="D971" s="40"/>
      <c r="G971" s="42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2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  <c r="AD971" s="40"/>
      <c r="AE971" s="40"/>
      <c r="AF971" s="40"/>
      <c r="AG971" s="40"/>
      <c r="AH971" s="40"/>
      <c r="AI971" s="40"/>
      <c r="AJ971" s="40"/>
      <c r="AK971" s="40"/>
      <c r="AL971" s="40"/>
      <c r="AM971" s="40"/>
      <c r="AN971" s="40"/>
      <c r="AO971" s="40"/>
      <c r="AP971" s="40"/>
      <c r="AQ971" s="40"/>
      <c r="AR971" s="40"/>
      <c r="AW971" s="40"/>
      <c r="AX971" s="65"/>
      <c r="AY971" s="65"/>
      <c r="AZ971" s="16"/>
      <c r="BA971" s="16"/>
      <c r="BB971" s="65"/>
      <c r="BC971" s="16"/>
      <c r="BD971" s="16"/>
      <c r="BE971" s="16"/>
      <c r="BF971" s="40"/>
      <c r="BG971" s="40"/>
      <c r="BH971" s="40"/>
      <c r="BI971" s="40"/>
      <c r="BJ971" s="40"/>
      <c r="BK971" s="40"/>
      <c r="BL971" s="40"/>
      <c r="BM971" s="40"/>
      <c r="BN971" s="40"/>
      <c r="BO971" s="40"/>
      <c r="BP971" s="40"/>
      <c r="BQ971" s="40"/>
      <c r="BR971" s="40"/>
      <c r="BS971" s="40"/>
      <c r="BT971" s="40"/>
      <c r="BU971" s="40"/>
      <c r="BV971" s="40"/>
      <c r="BW971" s="17"/>
      <c r="BX971" s="9"/>
      <c r="BY971" s="40"/>
      <c r="BZ971" s="40"/>
      <c r="CA971" s="40"/>
      <c r="CB971" s="40"/>
      <c r="CC971" s="8"/>
    </row>
    <row r="972" ht="18.75" customHeight="1">
      <c r="A972" s="40"/>
      <c r="B972" s="17"/>
      <c r="D972" s="40"/>
      <c r="G972" s="42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2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  <c r="AD972" s="40"/>
      <c r="AE972" s="40"/>
      <c r="AF972" s="40"/>
      <c r="AG972" s="40"/>
      <c r="AH972" s="40"/>
      <c r="AI972" s="40"/>
      <c r="AJ972" s="40"/>
      <c r="AK972" s="40"/>
      <c r="AL972" s="40"/>
      <c r="AM972" s="40"/>
      <c r="AN972" s="40"/>
      <c r="AO972" s="40"/>
      <c r="AP972" s="40"/>
      <c r="AQ972" s="40"/>
      <c r="AR972" s="40"/>
      <c r="AW972" s="40"/>
      <c r="AX972" s="65"/>
      <c r="AY972" s="65"/>
      <c r="AZ972" s="16"/>
      <c r="BA972" s="16"/>
      <c r="BB972" s="65"/>
      <c r="BC972" s="16"/>
      <c r="BD972" s="16"/>
      <c r="BE972" s="16"/>
      <c r="BF972" s="40"/>
      <c r="BG972" s="40"/>
      <c r="BH972" s="40"/>
      <c r="BI972" s="40"/>
      <c r="BJ972" s="40"/>
      <c r="BK972" s="40"/>
      <c r="BL972" s="40"/>
      <c r="BM972" s="40"/>
      <c r="BN972" s="40"/>
      <c r="BO972" s="40"/>
      <c r="BP972" s="40"/>
      <c r="BQ972" s="40"/>
      <c r="BR972" s="40"/>
      <c r="BS972" s="40"/>
      <c r="BT972" s="40"/>
      <c r="BU972" s="40"/>
      <c r="BV972" s="40"/>
      <c r="BW972" s="17"/>
      <c r="BX972" s="9"/>
      <c r="BY972" s="40"/>
      <c r="BZ972" s="40"/>
      <c r="CA972" s="40"/>
      <c r="CB972" s="40"/>
      <c r="CC972" s="8"/>
    </row>
    <row r="973" ht="18.75" customHeight="1">
      <c r="A973" s="40"/>
      <c r="B973" s="17"/>
      <c r="D973" s="40"/>
      <c r="G973" s="42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2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  <c r="AD973" s="40"/>
      <c r="AE973" s="40"/>
      <c r="AF973" s="40"/>
      <c r="AG973" s="40"/>
      <c r="AH973" s="40"/>
      <c r="AI973" s="40"/>
      <c r="AJ973" s="40"/>
      <c r="AK973" s="40"/>
      <c r="AL973" s="40"/>
      <c r="AM973" s="40"/>
      <c r="AN973" s="40"/>
      <c r="AO973" s="40"/>
      <c r="AP973" s="40"/>
      <c r="AQ973" s="40"/>
      <c r="AR973" s="40"/>
      <c r="AW973" s="40"/>
      <c r="AX973" s="65"/>
      <c r="AY973" s="65"/>
      <c r="AZ973" s="16"/>
      <c r="BA973" s="16"/>
      <c r="BB973" s="65"/>
      <c r="BC973" s="16"/>
      <c r="BD973" s="16"/>
      <c r="BE973" s="16"/>
      <c r="BF973" s="40"/>
      <c r="BG973" s="40"/>
      <c r="BH973" s="40"/>
      <c r="BI973" s="40"/>
      <c r="BJ973" s="40"/>
      <c r="BK973" s="40"/>
      <c r="BL973" s="40"/>
      <c r="BM973" s="40"/>
      <c r="BN973" s="40"/>
      <c r="BO973" s="40"/>
      <c r="BP973" s="40"/>
      <c r="BQ973" s="40"/>
      <c r="BR973" s="40"/>
      <c r="BS973" s="40"/>
      <c r="BT973" s="40"/>
      <c r="BU973" s="40"/>
      <c r="BV973" s="40"/>
      <c r="BW973" s="17"/>
      <c r="BX973" s="9"/>
      <c r="BY973" s="40"/>
      <c r="BZ973" s="40"/>
      <c r="CA973" s="40"/>
      <c r="CB973" s="40"/>
      <c r="CC973" s="8"/>
    </row>
    <row r="974" ht="18.75" customHeight="1">
      <c r="A974" s="40"/>
      <c r="B974" s="17"/>
      <c r="D974" s="40"/>
      <c r="G974" s="42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2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  <c r="AD974" s="40"/>
      <c r="AE974" s="40"/>
      <c r="AF974" s="40"/>
      <c r="AG974" s="40"/>
      <c r="AH974" s="40"/>
      <c r="AI974" s="40"/>
      <c r="AJ974" s="40"/>
      <c r="AK974" s="40"/>
      <c r="AL974" s="40"/>
      <c r="AM974" s="40"/>
      <c r="AN974" s="40"/>
      <c r="AO974" s="40"/>
      <c r="AP974" s="40"/>
      <c r="AQ974" s="40"/>
      <c r="AR974" s="40"/>
      <c r="AW974" s="40"/>
      <c r="AX974" s="65"/>
      <c r="AY974" s="65"/>
      <c r="AZ974" s="16"/>
      <c r="BA974" s="16"/>
      <c r="BB974" s="65"/>
      <c r="BC974" s="16"/>
      <c r="BD974" s="16"/>
      <c r="BE974" s="16"/>
      <c r="BF974" s="40"/>
      <c r="BG974" s="40"/>
      <c r="BH974" s="40"/>
      <c r="BI974" s="40"/>
      <c r="BJ974" s="40"/>
      <c r="BK974" s="40"/>
      <c r="BL974" s="40"/>
      <c r="BM974" s="40"/>
      <c r="BN974" s="40"/>
      <c r="BO974" s="40"/>
      <c r="BP974" s="40"/>
      <c r="BQ974" s="40"/>
      <c r="BR974" s="40"/>
      <c r="BS974" s="40"/>
      <c r="BT974" s="40"/>
      <c r="BU974" s="40"/>
      <c r="BV974" s="40"/>
      <c r="BW974" s="17"/>
      <c r="BX974" s="9"/>
      <c r="BY974" s="40"/>
      <c r="BZ974" s="40"/>
      <c r="CA974" s="40"/>
      <c r="CB974" s="40"/>
      <c r="CC974" s="8"/>
    </row>
    <row r="975" ht="18.75" customHeight="1">
      <c r="A975" s="40"/>
      <c r="B975" s="17"/>
      <c r="D975" s="40"/>
      <c r="G975" s="42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2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  <c r="AD975" s="40"/>
      <c r="AE975" s="40"/>
      <c r="AF975" s="40"/>
      <c r="AG975" s="40"/>
      <c r="AH975" s="40"/>
      <c r="AI975" s="40"/>
      <c r="AJ975" s="40"/>
      <c r="AK975" s="40"/>
      <c r="AL975" s="40"/>
      <c r="AM975" s="40"/>
      <c r="AN975" s="40"/>
      <c r="AO975" s="40"/>
      <c r="AP975" s="40"/>
      <c r="AQ975" s="40"/>
      <c r="AR975" s="40"/>
      <c r="AW975" s="40"/>
      <c r="AX975" s="65"/>
      <c r="AY975" s="65"/>
      <c r="AZ975" s="16"/>
      <c r="BA975" s="16"/>
      <c r="BB975" s="65"/>
      <c r="BC975" s="16"/>
      <c r="BD975" s="16"/>
      <c r="BE975" s="16"/>
      <c r="BF975" s="40"/>
      <c r="BG975" s="40"/>
      <c r="BH975" s="40"/>
      <c r="BI975" s="40"/>
      <c r="BJ975" s="40"/>
      <c r="BK975" s="40"/>
      <c r="BL975" s="40"/>
      <c r="BM975" s="40"/>
      <c r="BN975" s="40"/>
      <c r="BO975" s="40"/>
      <c r="BP975" s="40"/>
      <c r="BQ975" s="40"/>
      <c r="BR975" s="40"/>
      <c r="BS975" s="40"/>
      <c r="BT975" s="40"/>
      <c r="BU975" s="40"/>
      <c r="BV975" s="40"/>
      <c r="BW975" s="17"/>
      <c r="BX975" s="9"/>
      <c r="BY975" s="40"/>
      <c r="BZ975" s="40"/>
      <c r="CA975" s="40"/>
      <c r="CB975" s="40"/>
      <c r="CC975" s="8"/>
    </row>
    <row r="976" ht="18.75" customHeight="1">
      <c r="A976" s="40"/>
      <c r="B976" s="17"/>
      <c r="D976" s="40"/>
      <c r="G976" s="42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2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  <c r="AD976" s="40"/>
      <c r="AE976" s="40"/>
      <c r="AF976" s="40"/>
      <c r="AG976" s="40"/>
      <c r="AH976" s="40"/>
      <c r="AI976" s="40"/>
      <c r="AJ976" s="40"/>
      <c r="AK976" s="40"/>
      <c r="AL976" s="40"/>
      <c r="AM976" s="40"/>
      <c r="AN976" s="40"/>
      <c r="AO976" s="40"/>
      <c r="AP976" s="40"/>
      <c r="AQ976" s="40"/>
      <c r="AR976" s="40"/>
      <c r="AW976" s="40"/>
      <c r="AX976" s="65"/>
      <c r="AY976" s="65"/>
      <c r="AZ976" s="16"/>
      <c r="BA976" s="16"/>
      <c r="BB976" s="65"/>
      <c r="BC976" s="16"/>
      <c r="BD976" s="16"/>
      <c r="BE976" s="16"/>
      <c r="BF976" s="40"/>
      <c r="BG976" s="40"/>
      <c r="BH976" s="40"/>
      <c r="BI976" s="40"/>
      <c r="BJ976" s="40"/>
      <c r="BK976" s="40"/>
      <c r="BL976" s="40"/>
      <c r="BM976" s="40"/>
      <c r="BN976" s="40"/>
      <c r="BO976" s="40"/>
      <c r="BP976" s="40"/>
      <c r="BQ976" s="40"/>
      <c r="BR976" s="40"/>
      <c r="BS976" s="40"/>
      <c r="BT976" s="40"/>
      <c r="BU976" s="40"/>
      <c r="BV976" s="40"/>
      <c r="BW976" s="17"/>
      <c r="BX976" s="9"/>
      <c r="BY976" s="40"/>
      <c r="BZ976" s="40"/>
      <c r="CA976" s="40"/>
      <c r="CB976" s="40"/>
      <c r="CC976" s="8"/>
    </row>
    <row r="977" ht="18.75" customHeight="1">
      <c r="A977" s="40"/>
      <c r="B977" s="17"/>
      <c r="D977" s="40"/>
      <c r="G977" s="42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2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  <c r="AD977" s="40"/>
      <c r="AE977" s="40"/>
      <c r="AF977" s="40"/>
      <c r="AG977" s="40"/>
      <c r="AH977" s="40"/>
      <c r="AI977" s="40"/>
      <c r="AJ977" s="40"/>
      <c r="AK977" s="40"/>
      <c r="AL977" s="40"/>
      <c r="AM977" s="40"/>
      <c r="AN977" s="40"/>
      <c r="AO977" s="40"/>
      <c r="AP977" s="40"/>
      <c r="AQ977" s="40"/>
      <c r="AR977" s="40"/>
      <c r="AW977" s="40"/>
      <c r="AX977" s="65"/>
      <c r="AY977" s="65"/>
      <c r="AZ977" s="16"/>
      <c r="BA977" s="16"/>
      <c r="BB977" s="65"/>
      <c r="BC977" s="16"/>
      <c r="BD977" s="16"/>
      <c r="BE977" s="16"/>
      <c r="BF977" s="40"/>
      <c r="BG977" s="40"/>
      <c r="BH977" s="40"/>
      <c r="BI977" s="40"/>
      <c r="BJ977" s="40"/>
      <c r="BK977" s="40"/>
      <c r="BL977" s="40"/>
      <c r="BM977" s="40"/>
      <c r="BN977" s="40"/>
      <c r="BO977" s="40"/>
      <c r="BP977" s="40"/>
      <c r="BQ977" s="40"/>
      <c r="BR977" s="40"/>
      <c r="BS977" s="40"/>
      <c r="BT977" s="40"/>
      <c r="BU977" s="40"/>
      <c r="BV977" s="40"/>
      <c r="BW977" s="17"/>
      <c r="BX977" s="9"/>
      <c r="BY977" s="40"/>
      <c r="BZ977" s="40"/>
      <c r="CA977" s="40"/>
      <c r="CB977" s="40"/>
      <c r="CC977" s="8"/>
    </row>
    <row r="978" ht="18.75" customHeight="1">
      <c r="A978" s="40"/>
      <c r="B978" s="17"/>
      <c r="D978" s="40"/>
      <c r="G978" s="42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2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  <c r="AD978" s="40"/>
      <c r="AE978" s="40"/>
      <c r="AF978" s="40"/>
      <c r="AG978" s="40"/>
      <c r="AH978" s="40"/>
      <c r="AI978" s="40"/>
      <c r="AJ978" s="40"/>
      <c r="AK978" s="40"/>
      <c r="AL978" s="40"/>
      <c r="AM978" s="40"/>
      <c r="AN978" s="40"/>
      <c r="AO978" s="40"/>
      <c r="AP978" s="40"/>
      <c r="AQ978" s="40"/>
      <c r="AR978" s="40"/>
      <c r="AW978" s="40"/>
      <c r="AX978" s="65"/>
      <c r="AY978" s="65"/>
      <c r="AZ978" s="16"/>
      <c r="BA978" s="16"/>
      <c r="BB978" s="65"/>
      <c r="BC978" s="16"/>
      <c r="BD978" s="16"/>
      <c r="BE978" s="16"/>
      <c r="BF978" s="40"/>
      <c r="BG978" s="40"/>
      <c r="BH978" s="40"/>
      <c r="BI978" s="40"/>
      <c r="BJ978" s="40"/>
      <c r="BK978" s="40"/>
      <c r="BL978" s="40"/>
      <c r="BM978" s="40"/>
      <c r="BN978" s="40"/>
      <c r="BO978" s="40"/>
      <c r="BP978" s="40"/>
      <c r="BQ978" s="40"/>
      <c r="BR978" s="40"/>
      <c r="BS978" s="40"/>
      <c r="BT978" s="40"/>
      <c r="BU978" s="40"/>
      <c r="BV978" s="40"/>
      <c r="BW978" s="17"/>
      <c r="BX978" s="9"/>
      <c r="BY978" s="40"/>
      <c r="BZ978" s="40"/>
      <c r="CA978" s="40"/>
      <c r="CB978" s="40"/>
      <c r="CC978" s="8"/>
    </row>
    <row r="979" ht="18.75" customHeight="1">
      <c r="A979" s="40"/>
      <c r="B979" s="17"/>
      <c r="D979" s="40"/>
      <c r="G979" s="42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2"/>
      <c r="T979" s="40"/>
      <c r="U979" s="40"/>
      <c r="V979" s="40"/>
      <c r="W979" s="40"/>
      <c r="X979" s="40"/>
      <c r="Y979" s="40"/>
      <c r="Z979" s="40"/>
      <c r="AA979" s="40"/>
      <c r="AB979" s="40"/>
      <c r="AC979" s="40"/>
      <c r="AD979" s="40"/>
      <c r="AE979" s="40"/>
      <c r="AF979" s="40"/>
      <c r="AG979" s="40"/>
      <c r="AH979" s="40"/>
      <c r="AI979" s="40"/>
      <c r="AJ979" s="40"/>
      <c r="AK979" s="40"/>
      <c r="AL979" s="40"/>
      <c r="AM979" s="40"/>
      <c r="AN979" s="40"/>
      <c r="AO979" s="40"/>
      <c r="AP979" s="40"/>
      <c r="AQ979" s="40"/>
      <c r="AR979" s="40"/>
      <c r="AW979" s="40"/>
      <c r="AX979" s="65"/>
      <c r="AY979" s="65"/>
      <c r="AZ979" s="16"/>
      <c r="BA979" s="16"/>
      <c r="BB979" s="65"/>
      <c r="BC979" s="16"/>
      <c r="BD979" s="16"/>
      <c r="BE979" s="16"/>
      <c r="BF979" s="40"/>
      <c r="BG979" s="40"/>
      <c r="BH979" s="40"/>
      <c r="BI979" s="40"/>
      <c r="BJ979" s="40"/>
      <c r="BK979" s="40"/>
      <c r="BL979" s="40"/>
      <c r="BM979" s="40"/>
      <c r="BN979" s="40"/>
      <c r="BO979" s="40"/>
      <c r="BP979" s="40"/>
      <c r="BQ979" s="40"/>
      <c r="BR979" s="40"/>
      <c r="BS979" s="40"/>
      <c r="BT979" s="40"/>
      <c r="BU979" s="40"/>
      <c r="BV979" s="40"/>
      <c r="BW979" s="17"/>
      <c r="BX979" s="9"/>
      <c r="BY979" s="40"/>
      <c r="BZ979" s="40"/>
      <c r="CA979" s="40"/>
      <c r="CB979" s="40"/>
      <c r="CC979" s="8"/>
    </row>
    <row r="980" ht="18.75" customHeight="1">
      <c r="A980" s="40"/>
      <c r="B980" s="17"/>
      <c r="D980" s="40"/>
      <c r="G980" s="42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2"/>
      <c r="T980" s="40"/>
      <c r="U980" s="40"/>
      <c r="V980" s="40"/>
      <c r="W980" s="40"/>
      <c r="X980" s="40"/>
      <c r="Y980" s="40"/>
      <c r="Z980" s="40"/>
      <c r="AA980" s="40"/>
      <c r="AB980" s="40"/>
      <c r="AC980" s="40"/>
      <c r="AD980" s="40"/>
      <c r="AE980" s="40"/>
      <c r="AF980" s="40"/>
      <c r="AG980" s="40"/>
      <c r="AH980" s="40"/>
      <c r="AI980" s="40"/>
      <c r="AJ980" s="40"/>
      <c r="AK980" s="40"/>
      <c r="AL980" s="40"/>
      <c r="AM980" s="40"/>
      <c r="AN980" s="40"/>
      <c r="AO980" s="40"/>
      <c r="AP980" s="40"/>
      <c r="AQ980" s="40"/>
      <c r="AR980" s="40"/>
      <c r="AW980" s="40"/>
      <c r="AX980" s="65"/>
      <c r="AY980" s="65"/>
      <c r="AZ980" s="16"/>
      <c r="BA980" s="16"/>
      <c r="BB980" s="65"/>
      <c r="BC980" s="16"/>
      <c r="BD980" s="16"/>
      <c r="BE980" s="16"/>
      <c r="BF980" s="40"/>
      <c r="BG980" s="40"/>
      <c r="BH980" s="40"/>
      <c r="BI980" s="40"/>
      <c r="BJ980" s="40"/>
      <c r="BK980" s="40"/>
      <c r="BL980" s="40"/>
      <c r="BM980" s="40"/>
      <c r="BN980" s="40"/>
      <c r="BO980" s="40"/>
      <c r="BP980" s="40"/>
      <c r="BQ980" s="40"/>
      <c r="BR980" s="40"/>
      <c r="BS980" s="40"/>
      <c r="BT980" s="40"/>
      <c r="BU980" s="40"/>
      <c r="BV980" s="40"/>
      <c r="BW980" s="17"/>
      <c r="BX980" s="9"/>
      <c r="BY980" s="40"/>
      <c r="BZ980" s="40"/>
      <c r="CA980" s="40"/>
      <c r="CB980" s="40"/>
      <c r="CC980" s="8"/>
    </row>
    <row r="981" ht="18.75" customHeight="1">
      <c r="A981" s="40"/>
      <c r="B981" s="17"/>
      <c r="D981" s="40"/>
      <c r="G981" s="42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2"/>
      <c r="T981" s="40"/>
      <c r="U981" s="40"/>
      <c r="V981" s="40"/>
      <c r="W981" s="40"/>
      <c r="X981" s="40"/>
      <c r="Y981" s="40"/>
      <c r="Z981" s="40"/>
      <c r="AA981" s="40"/>
      <c r="AB981" s="40"/>
      <c r="AC981" s="40"/>
      <c r="AD981" s="40"/>
      <c r="AE981" s="40"/>
      <c r="AF981" s="40"/>
      <c r="AG981" s="40"/>
      <c r="AH981" s="40"/>
      <c r="AI981" s="40"/>
      <c r="AJ981" s="40"/>
      <c r="AK981" s="40"/>
      <c r="AL981" s="40"/>
      <c r="AM981" s="40"/>
      <c r="AN981" s="40"/>
      <c r="AO981" s="40"/>
      <c r="AP981" s="40"/>
      <c r="AQ981" s="40"/>
      <c r="AR981" s="40"/>
      <c r="AW981" s="40"/>
      <c r="AX981" s="65"/>
      <c r="AY981" s="65"/>
      <c r="AZ981" s="16"/>
      <c r="BA981" s="16"/>
      <c r="BB981" s="65"/>
      <c r="BC981" s="16"/>
      <c r="BD981" s="16"/>
      <c r="BE981" s="16"/>
      <c r="BF981" s="40"/>
      <c r="BG981" s="40"/>
      <c r="BH981" s="40"/>
      <c r="BI981" s="40"/>
      <c r="BJ981" s="40"/>
      <c r="BK981" s="40"/>
      <c r="BL981" s="40"/>
      <c r="BM981" s="40"/>
      <c r="BN981" s="40"/>
      <c r="BO981" s="40"/>
      <c r="BP981" s="40"/>
      <c r="BQ981" s="40"/>
      <c r="BR981" s="40"/>
      <c r="BS981" s="40"/>
      <c r="BT981" s="40"/>
      <c r="BU981" s="40"/>
      <c r="BV981" s="40"/>
      <c r="BW981" s="17"/>
      <c r="BX981" s="9"/>
      <c r="BY981" s="40"/>
      <c r="BZ981" s="40"/>
      <c r="CA981" s="40"/>
      <c r="CB981" s="40"/>
      <c r="CC981" s="8"/>
    </row>
    <row r="982" ht="18.75" customHeight="1">
      <c r="A982" s="40"/>
      <c r="B982" s="17"/>
      <c r="D982" s="40"/>
      <c r="G982" s="42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2"/>
      <c r="T982" s="40"/>
      <c r="U982" s="40"/>
      <c r="V982" s="40"/>
      <c r="W982" s="40"/>
      <c r="X982" s="40"/>
      <c r="Y982" s="40"/>
      <c r="Z982" s="40"/>
      <c r="AA982" s="40"/>
      <c r="AB982" s="40"/>
      <c r="AC982" s="40"/>
      <c r="AD982" s="40"/>
      <c r="AE982" s="40"/>
      <c r="AF982" s="40"/>
      <c r="AG982" s="40"/>
      <c r="AH982" s="40"/>
      <c r="AI982" s="40"/>
      <c r="AJ982" s="40"/>
      <c r="AK982" s="40"/>
      <c r="AL982" s="40"/>
      <c r="AM982" s="40"/>
      <c r="AN982" s="40"/>
      <c r="AO982" s="40"/>
      <c r="AP982" s="40"/>
      <c r="AQ982" s="40"/>
      <c r="AR982" s="40"/>
      <c r="AW982" s="40"/>
      <c r="AX982" s="65"/>
      <c r="AY982" s="65"/>
      <c r="AZ982" s="16"/>
      <c r="BA982" s="16"/>
      <c r="BB982" s="65"/>
      <c r="BC982" s="16"/>
      <c r="BD982" s="16"/>
      <c r="BE982" s="16"/>
      <c r="BF982" s="40"/>
      <c r="BG982" s="40"/>
      <c r="BH982" s="40"/>
      <c r="BI982" s="40"/>
      <c r="BJ982" s="40"/>
      <c r="BK982" s="40"/>
      <c r="BL982" s="40"/>
      <c r="BM982" s="40"/>
      <c r="BN982" s="40"/>
      <c r="BO982" s="40"/>
      <c r="BP982" s="40"/>
      <c r="BQ982" s="40"/>
      <c r="BR982" s="40"/>
      <c r="BS982" s="40"/>
      <c r="BT982" s="40"/>
      <c r="BU982" s="40"/>
      <c r="BV982" s="40"/>
      <c r="BW982" s="17"/>
      <c r="BX982" s="9"/>
      <c r="BY982" s="40"/>
      <c r="BZ982" s="40"/>
      <c r="CA982" s="40"/>
      <c r="CB982" s="40"/>
      <c r="CC982" s="8"/>
    </row>
    <row r="983" ht="18.75" customHeight="1">
      <c r="A983" s="40"/>
      <c r="B983" s="17"/>
      <c r="D983" s="40"/>
      <c r="G983" s="42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2"/>
      <c r="T983" s="40"/>
      <c r="U983" s="40"/>
      <c r="V983" s="40"/>
      <c r="W983" s="40"/>
      <c r="X983" s="40"/>
      <c r="Y983" s="40"/>
      <c r="Z983" s="40"/>
      <c r="AA983" s="40"/>
      <c r="AB983" s="40"/>
      <c r="AC983" s="40"/>
      <c r="AD983" s="40"/>
      <c r="AE983" s="40"/>
      <c r="AF983" s="40"/>
      <c r="AG983" s="40"/>
      <c r="AH983" s="40"/>
      <c r="AI983" s="40"/>
      <c r="AJ983" s="40"/>
      <c r="AK983" s="40"/>
      <c r="AL983" s="40"/>
      <c r="AM983" s="40"/>
      <c r="AN983" s="40"/>
      <c r="AO983" s="40"/>
      <c r="AP983" s="40"/>
      <c r="AQ983" s="40"/>
      <c r="AR983" s="40"/>
      <c r="AW983" s="40"/>
      <c r="AX983" s="65"/>
      <c r="AY983" s="65"/>
      <c r="AZ983" s="16"/>
      <c r="BA983" s="16"/>
      <c r="BB983" s="65"/>
      <c r="BC983" s="16"/>
      <c r="BD983" s="16"/>
      <c r="BE983" s="16"/>
      <c r="BF983" s="40"/>
      <c r="BG983" s="40"/>
      <c r="BH983" s="40"/>
      <c r="BI983" s="40"/>
      <c r="BJ983" s="40"/>
      <c r="BK983" s="40"/>
      <c r="BL983" s="40"/>
      <c r="BM983" s="40"/>
      <c r="BN983" s="40"/>
      <c r="BO983" s="40"/>
      <c r="BP983" s="40"/>
      <c r="BQ983" s="40"/>
      <c r="BR983" s="40"/>
      <c r="BS983" s="40"/>
      <c r="BT983" s="40"/>
      <c r="BU983" s="40"/>
      <c r="BV983" s="40"/>
      <c r="BW983" s="17"/>
      <c r="BX983" s="9"/>
      <c r="BY983" s="40"/>
      <c r="BZ983" s="40"/>
      <c r="CA983" s="40"/>
      <c r="CB983" s="40"/>
      <c r="CC983" s="8"/>
    </row>
    <row r="984" ht="18.75" customHeight="1">
      <c r="A984" s="40"/>
      <c r="B984" s="17"/>
      <c r="D984" s="40"/>
      <c r="G984" s="42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2"/>
      <c r="T984" s="40"/>
      <c r="U984" s="40"/>
      <c r="V984" s="40"/>
      <c r="W984" s="40"/>
      <c r="X984" s="40"/>
      <c r="Y984" s="40"/>
      <c r="Z984" s="40"/>
      <c r="AA984" s="40"/>
      <c r="AB984" s="40"/>
      <c r="AC984" s="40"/>
      <c r="AD984" s="40"/>
      <c r="AE984" s="40"/>
      <c r="AF984" s="40"/>
      <c r="AG984" s="40"/>
      <c r="AH984" s="40"/>
      <c r="AI984" s="40"/>
      <c r="AJ984" s="40"/>
      <c r="AK984" s="40"/>
      <c r="AL984" s="40"/>
      <c r="AM984" s="40"/>
      <c r="AN984" s="40"/>
      <c r="AO984" s="40"/>
      <c r="AP984" s="40"/>
      <c r="AQ984" s="40"/>
      <c r="AR984" s="40"/>
      <c r="AW984" s="40"/>
      <c r="AX984" s="65"/>
      <c r="AY984" s="65"/>
      <c r="AZ984" s="16"/>
      <c r="BA984" s="16"/>
      <c r="BB984" s="65"/>
      <c r="BC984" s="16"/>
      <c r="BD984" s="16"/>
      <c r="BE984" s="16"/>
      <c r="BF984" s="40"/>
      <c r="BG984" s="40"/>
      <c r="BH984" s="40"/>
      <c r="BI984" s="40"/>
      <c r="BJ984" s="40"/>
      <c r="BK984" s="40"/>
      <c r="BL984" s="40"/>
      <c r="BM984" s="40"/>
      <c r="BN984" s="40"/>
      <c r="BO984" s="40"/>
      <c r="BP984" s="40"/>
      <c r="BQ984" s="40"/>
      <c r="BR984" s="40"/>
      <c r="BS984" s="40"/>
      <c r="BT984" s="40"/>
      <c r="BU984" s="40"/>
      <c r="BV984" s="40"/>
      <c r="BW984" s="17"/>
      <c r="BX984" s="9"/>
      <c r="BY984" s="40"/>
      <c r="BZ984" s="40"/>
      <c r="CA984" s="40"/>
      <c r="CB984" s="40"/>
      <c r="CC984" s="8"/>
    </row>
    <row r="985" ht="18.75" customHeight="1">
      <c r="A985" s="40"/>
      <c r="B985" s="17"/>
      <c r="D985" s="40"/>
      <c r="G985" s="42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2"/>
      <c r="T985" s="40"/>
      <c r="U985" s="40"/>
      <c r="V985" s="40"/>
      <c r="W985" s="40"/>
      <c r="X985" s="40"/>
      <c r="Y985" s="40"/>
      <c r="Z985" s="40"/>
      <c r="AA985" s="40"/>
      <c r="AB985" s="40"/>
      <c r="AC985" s="40"/>
      <c r="AD985" s="40"/>
      <c r="AE985" s="40"/>
      <c r="AF985" s="40"/>
      <c r="AG985" s="40"/>
      <c r="AH985" s="40"/>
      <c r="AI985" s="40"/>
      <c r="AJ985" s="40"/>
      <c r="AK985" s="40"/>
      <c r="AL985" s="40"/>
      <c r="AM985" s="40"/>
      <c r="AN985" s="40"/>
      <c r="AO985" s="40"/>
      <c r="AP985" s="40"/>
      <c r="AQ985" s="40"/>
      <c r="AR985" s="40"/>
      <c r="AW985" s="40"/>
      <c r="AX985" s="65"/>
      <c r="AY985" s="65"/>
      <c r="AZ985" s="16"/>
      <c r="BA985" s="16"/>
      <c r="BB985" s="65"/>
      <c r="BC985" s="16"/>
      <c r="BD985" s="16"/>
      <c r="BE985" s="16"/>
      <c r="BF985" s="40"/>
      <c r="BG985" s="40"/>
      <c r="BH985" s="40"/>
      <c r="BI985" s="40"/>
      <c r="BJ985" s="40"/>
      <c r="BK985" s="40"/>
      <c r="BL985" s="40"/>
      <c r="BM985" s="40"/>
      <c r="BN985" s="40"/>
      <c r="BO985" s="40"/>
      <c r="BP985" s="40"/>
      <c r="BQ985" s="40"/>
      <c r="BR985" s="40"/>
      <c r="BS985" s="40"/>
      <c r="BT985" s="40"/>
      <c r="BU985" s="40"/>
      <c r="BV985" s="40"/>
      <c r="BW985" s="17"/>
      <c r="BX985" s="9"/>
      <c r="BY985" s="40"/>
      <c r="BZ985" s="40"/>
      <c r="CA985" s="40"/>
      <c r="CB985" s="40"/>
      <c r="CC985" s="8"/>
    </row>
    <row r="986" ht="18.75" customHeight="1">
      <c r="A986" s="40"/>
      <c r="B986" s="17"/>
      <c r="D986" s="40"/>
      <c r="G986" s="42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2"/>
      <c r="T986" s="40"/>
      <c r="U986" s="40"/>
      <c r="V986" s="40"/>
      <c r="W986" s="40"/>
      <c r="X986" s="40"/>
      <c r="Y986" s="40"/>
      <c r="Z986" s="40"/>
      <c r="AA986" s="40"/>
      <c r="AB986" s="40"/>
      <c r="AC986" s="40"/>
      <c r="AD986" s="40"/>
      <c r="AE986" s="40"/>
      <c r="AF986" s="40"/>
      <c r="AG986" s="40"/>
      <c r="AH986" s="40"/>
      <c r="AI986" s="40"/>
      <c r="AJ986" s="40"/>
      <c r="AK986" s="40"/>
      <c r="AL986" s="40"/>
      <c r="AM986" s="40"/>
      <c r="AN986" s="40"/>
      <c r="AO986" s="40"/>
      <c r="AP986" s="40"/>
      <c r="AQ986" s="40"/>
      <c r="AR986" s="40"/>
      <c r="AW986" s="40"/>
      <c r="AX986" s="65"/>
      <c r="AY986" s="65"/>
      <c r="AZ986" s="16"/>
      <c r="BA986" s="16"/>
      <c r="BB986" s="65"/>
      <c r="BC986" s="16"/>
      <c r="BD986" s="16"/>
      <c r="BE986" s="16"/>
      <c r="BF986" s="40"/>
      <c r="BG986" s="40"/>
      <c r="BH986" s="40"/>
      <c r="BI986" s="40"/>
      <c r="BJ986" s="40"/>
      <c r="BK986" s="40"/>
      <c r="BL986" s="40"/>
      <c r="BM986" s="40"/>
      <c r="BN986" s="40"/>
      <c r="BO986" s="40"/>
      <c r="BP986" s="40"/>
      <c r="BQ986" s="40"/>
      <c r="BR986" s="40"/>
      <c r="BS986" s="40"/>
      <c r="BT986" s="40"/>
      <c r="BU986" s="40"/>
      <c r="BV986" s="40"/>
      <c r="BW986" s="17"/>
      <c r="BX986" s="9"/>
      <c r="BY986" s="40"/>
      <c r="BZ986" s="40"/>
      <c r="CA986" s="40"/>
      <c r="CB986" s="40"/>
      <c r="CC986" s="8"/>
    </row>
    <row r="987" ht="18.75" customHeight="1">
      <c r="A987" s="40"/>
      <c r="B987" s="17"/>
      <c r="D987" s="40"/>
      <c r="G987" s="42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2"/>
      <c r="T987" s="40"/>
      <c r="U987" s="40"/>
      <c r="V987" s="40"/>
      <c r="W987" s="40"/>
      <c r="X987" s="40"/>
      <c r="Y987" s="40"/>
      <c r="Z987" s="40"/>
      <c r="AA987" s="40"/>
      <c r="AB987" s="40"/>
      <c r="AC987" s="40"/>
      <c r="AD987" s="40"/>
      <c r="AE987" s="40"/>
      <c r="AF987" s="40"/>
      <c r="AG987" s="40"/>
      <c r="AH987" s="40"/>
      <c r="AI987" s="40"/>
      <c r="AJ987" s="40"/>
      <c r="AK987" s="40"/>
      <c r="AL987" s="40"/>
      <c r="AM987" s="40"/>
      <c r="AN987" s="40"/>
      <c r="AO987" s="40"/>
      <c r="AP987" s="40"/>
      <c r="AQ987" s="40"/>
      <c r="AR987" s="40"/>
      <c r="AW987" s="40"/>
      <c r="AX987" s="65"/>
      <c r="AY987" s="65"/>
      <c r="AZ987" s="16"/>
      <c r="BA987" s="16"/>
      <c r="BB987" s="65"/>
      <c r="BC987" s="16"/>
      <c r="BD987" s="16"/>
      <c r="BE987" s="16"/>
      <c r="BF987" s="40"/>
      <c r="BG987" s="40"/>
      <c r="BH987" s="40"/>
      <c r="BI987" s="40"/>
      <c r="BJ987" s="40"/>
      <c r="BK987" s="40"/>
      <c r="BL987" s="40"/>
      <c r="BM987" s="40"/>
      <c r="BN987" s="40"/>
      <c r="BO987" s="40"/>
      <c r="BP987" s="40"/>
      <c r="BQ987" s="40"/>
      <c r="BR987" s="40"/>
      <c r="BS987" s="40"/>
      <c r="BT987" s="40"/>
      <c r="BU987" s="40"/>
      <c r="BV987" s="40"/>
      <c r="BW987" s="17"/>
      <c r="BX987" s="9"/>
      <c r="BY987" s="40"/>
      <c r="BZ987" s="40"/>
      <c r="CA987" s="40"/>
      <c r="CB987" s="40"/>
      <c r="CC987" s="8"/>
    </row>
    <row r="988" ht="18.75" customHeight="1">
      <c r="A988" s="40"/>
      <c r="B988" s="17"/>
      <c r="D988" s="40"/>
      <c r="G988" s="42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2"/>
      <c r="T988" s="40"/>
      <c r="U988" s="40"/>
      <c r="V988" s="40"/>
      <c r="W988" s="40"/>
      <c r="X988" s="40"/>
      <c r="Y988" s="40"/>
      <c r="Z988" s="40"/>
      <c r="AA988" s="40"/>
      <c r="AB988" s="40"/>
      <c r="AC988" s="40"/>
      <c r="AD988" s="40"/>
      <c r="AE988" s="40"/>
      <c r="AF988" s="40"/>
      <c r="AG988" s="40"/>
      <c r="AH988" s="40"/>
      <c r="AI988" s="40"/>
      <c r="AJ988" s="40"/>
      <c r="AK988" s="40"/>
      <c r="AL988" s="40"/>
      <c r="AM988" s="40"/>
      <c r="AN988" s="40"/>
      <c r="AO988" s="40"/>
      <c r="AP988" s="40"/>
      <c r="AQ988" s="40"/>
      <c r="AR988" s="40"/>
      <c r="AW988" s="40"/>
      <c r="AX988" s="65"/>
      <c r="AY988" s="65"/>
      <c r="AZ988" s="16"/>
      <c r="BA988" s="16"/>
      <c r="BB988" s="65"/>
      <c r="BC988" s="16"/>
      <c r="BD988" s="16"/>
      <c r="BE988" s="16"/>
      <c r="BF988" s="40"/>
      <c r="BG988" s="40"/>
      <c r="BH988" s="40"/>
      <c r="BI988" s="40"/>
      <c r="BJ988" s="40"/>
      <c r="BK988" s="40"/>
      <c r="BL988" s="40"/>
      <c r="BM988" s="40"/>
      <c r="BN988" s="40"/>
      <c r="BO988" s="40"/>
      <c r="BP988" s="40"/>
      <c r="BQ988" s="40"/>
      <c r="BR988" s="40"/>
      <c r="BS988" s="40"/>
      <c r="BT988" s="40"/>
      <c r="BU988" s="40"/>
      <c r="BV988" s="40"/>
      <c r="BW988" s="17"/>
      <c r="BX988" s="9"/>
      <c r="BY988" s="40"/>
      <c r="BZ988" s="40"/>
      <c r="CA988" s="40"/>
      <c r="CB988" s="40"/>
      <c r="CC988" s="8"/>
    </row>
    <row r="989" ht="18.75" customHeight="1">
      <c r="A989" s="40"/>
      <c r="B989" s="17"/>
      <c r="D989" s="40"/>
      <c r="G989" s="42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2"/>
      <c r="T989" s="40"/>
      <c r="U989" s="40"/>
      <c r="V989" s="40"/>
      <c r="W989" s="40"/>
      <c r="X989" s="40"/>
      <c r="Y989" s="40"/>
      <c r="Z989" s="40"/>
      <c r="AA989" s="40"/>
      <c r="AB989" s="40"/>
      <c r="AC989" s="40"/>
      <c r="AD989" s="40"/>
      <c r="AE989" s="40"/>
      <c r="AF989" s="40"/>
      <c r="AG989" s="40"/>
      <c r="AH989" s="40"/>
      <c r="AI989" s="40"/>
      <c r="AJ989" s="40"/>
      <c r="AK989" s="40"/>
      <c r="AL989" s="40"/>
      <c r="AM989" s="40"/>
      <c r="AN989" s="40"/>
      <c r="AO989" s="40"/>
      <c r="AP989" s="40"/>
      <c r="AQ989" s="40"/>
      <c r="AR989" s="40"/>
      <c r="AW989" s="40"/>
      <c r="AX989" s="65"/>
      <c r="AY989" s="65"/>
      <c r="AZ989" s="16"/>
      <c r="BA989" s="16"/>
      <c r="BB989" s="65"/>
      <c r="BC989" s="16"/>
      <c r="BD989" s="16"/>
      <c r="BE989" s="16"/>
      <c r="BF989" s="40"/>
      <c r="BG989" s="40"/>
      <c r="BH989" s="40"/>
      <c r="BI989" s="40"/>
      <c r="BJ989" s="40"/>
      <c r="BK989" s="40"/>
      <c r="BL989" s="40"/>
      <c r="BM989" s="40"/>
      <c r="BN989" s="40"/>
      <c r="BO989" s="40"/>
      <c r="BP989" s="40"/>
      <c r="BQ989" s="40"/>
      <c r="BR989" s="40"/>
      <c r="BS989" s="40"/>
      <c r="BT989" s="40"/>
      <c r="BU989" s="40"/>
      <c r="BV989" s="40"/>
      <c r="BW989" s="17"/>
      <c r="BX989" s="9"/>
      <c r="BY989" s="40"/>
      <c r="BZ989" s="40"/>
      <c r="CA989" s="40"/>
      <c r="CB989" s="40"/>
      <c r="CC989" s="8"/>
    </row>
    <row r="990" ht="18.75" customHeight="1">
      <c r="A990" s="40"/>
      <c r="B990" s="17"/>
      <c r="D990" s="40"/>
      <c r="G990" s="42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2"/>
      <c r="T990" s="40"/>
      <c r="U990" s="40"/>
      <c r="V990" s="40"/>
      <c r="W990" s="40"/>
      <c r="X990" s="40"/>
      <c r="Y990" s="40"/>
      <c r="Z990" s="40"/>
      <c r="AA990" s="40"/>
      <c r="AB990" s="40"/>
      <c r="AC990" s="40"/>
      <c r="AD990" s="40"/>
      <c r="AE990" s="40"/>
      <c r="AF990" s="40"/>
      <c r="AG990" s="40"/>
      <c r="AH990" s="40"/>
      <c r="AI990" s="40"/>
      <c r="AJ990" s="40"/>
      <c r="AK990" s="40"/>
      <c r="AL990" s="40"/>
      <c r="AM990" s="40"/>
      <c r="AN990" s="40"/>
      <c r="AO990" s="40"/>
      <c r="AP990" s="40"/>
      <c r="AQ990" s="40"/>
      <c r="AR990" s="40"/>
      <c r="AW990" s="40"/>
      <c r="AX990" s="65"/>
      <c r="AY990" s="65"/>
      <c r="AZ990" s="16"/>
      <c r="BA990" s="16"/>
      <c r="BB990" s="65"/>
      <c r="BC990" s="16"/>
      <c r="BD990" s="16"/>
      <c r="BE990" s="16"/>
      <c r="BF990" s="40"/>
      <c r="BG990" s="40"/>
      <c r="BH990" s="40"/>
      <c r="BI990" s="40"/>
      <c r="BJ990" s="40"/>
      <c r="BK990" s="40"/>
      <c r="BL990" s="40"/>
      <c r="BM990" s="40"/>
      <c r="BN990" s="40"/>
      <c r="BO990" s="40"/>
      <c r="BP990" s="40"/>
      <c r="BQ990" s="40"/>
      <c r="BR990" s="40"/>
      <c r="BS990" s="40"/>
      <c r="BT990" s="40"/>
      <c r="BU990" s="40"/>
      <c r="BV990" s="40"/>
      <c r="BW990" s="17"/>
      <c r="BX990" s="9"/>
      <c r="BY990" s="40"/>
      <c r="BZ990" s="40"/>
      <c r="CA990" s="40"/>
      <c r="CB990" s="40"/>
      <c r="CC990" s="8"/>
    </row>
    <row r="991" ht="18.75" customHeight="1">
      <c r="A991" s="40"/>
      <c r="B991" s="17"/>
      <c r="D991" s="40"/>
      <c r="G991" s="42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2"/>
      <c r="T991" s="40"/>
      <c r="U991" s="40"/>
      <c r="V991" s="40"/>
      <c r="W991" s="40"/>
      <c r="X991" s="40"/>
      <c r="Y991" s="40"/>
      <c r="Z991" s="40"/>
      <c r="AA991" s="40"/>
      <c r="AB991" s="40"/>
      <c r="AC991" s="40"/>
      <c r="AD991" s="40"/>
      <c r="AE991" s="40"/>
      <c r="AF991" s="40"/>
      <c r="AG991" s="40"/>
      <c r="AH991" s="40"/>
      <c r="AI991" s="40"/>
      <c r="AJ991" s="40"/>
      <c r="AK991" s="40"/>
      <c r="AL991" s="40"/>
      <c r="AM991" s="40"/>
      <c r="AN991" s="40"/>
      <c r="AO991" s="40"/>
      <c r="AP991" s="40"/>
      <c r="AQ991" s="40"/>
      <c r="AR991" s="40"/>
      <c r="AW991" s="40"/>
      <c r="AX991" s="65"/>
      <c r="AY991" s="65"/>
      <c r="AZ991" s="16"/>
      <c r="BA991" s="16"/>
      <c r="BB991" s="65"/>
      <c r="BC991" s="16"/>
      <c r="BD991" s="16"/>
      <c r="BE991" s="16"/>
      <c r="BF991" s="40"/>
      <c r="BG991" s="40"/>
      <c r="BH991" s="40"/>
      <c r="BI991" s="40"/>
      <c r="BJ991" s="40"/>
      <c r="BK991" s="40"/>
      <c r="BL991" s="40"/>
      <c r="BM991" s="40"/>
      <c r="BN991" s="40"/>
      <c r="BO991" s="40"/>
      <c r="BP991" s="40"/>
      <c r="BQ991" s="40"/>
      <c r="BR991" s="40"/>
      <c r="BS991" s="40"/>
      <c r="BT991" s="40"/>
      <c r="BU991" s="40"/>
      <c r="BV991" s="40"/>
      <c r="BW991" s="17"/>
      <c r="BX991" s="9"/>
      <c r="BY991" s="40"/>
      <c r="BZ991" s="40"/>
      <c r="CA991" s="40"/>
      <c r="CB991" s="40"/>
      <c r="CC991" s="8"/>
    </row>
    <row r="992" ht="18.75" customHeight="1">
      <c r="A992" s="40"/>
      <c r="B992" s="17"/>
      <c r="D992" s="40"/>
      <c r="G992" s="42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2"/>
      <c r="T992" s="40"/>
      <c r="U992" s="40"/>
      <c r="V992" s="40"/>
      <c r="W992" s="40"/>
      <c r="X992" s="40"/>
      <c r="Y992" s="40"/>
      <c r="Z992" s="40"/>
      <c r="AA992" s="40"/>
      <c r="AB992" s="40"/>
      <c r="AC992" s="40"/>
      <c r="AD992" s="40"/>
      <c r="AE992" s="40"/>
      <c r="AF992" s="40"/>
      <c r="AG992" s="40"/>
      <c r="AH992" s="40"/>
      <c r="AI992" s="40"/>
      <c r="AJ992" s="40"/>
      <c r="AK992" s="40"/>
      <c r="AL992" s="40"/>
      <c r="AM992" s="40"/>
      <c r="AN992" s="40"/>
      <c r="AO992" s="40"/>
      <c r="AP992" s="40"/>
      <c r="AQ992" s="40"/>
      <c r="AR992" s="40"/>
      <c r="AW992" s="40"/>
      <c r="AX992" s="65"/>
      <c r="AY992" s="65"/>
      <c r="AZ992" s="16"/>
      <c r="BA992" s="16"/>
      <c r="BB992" s="65"/>
      <c r="BC992" s="16"/>
      <c r="BD992" s="16"/>
      <c r="BE992" s="16"/>
      <c r="BF992" s="40"/>
      <c r="BG992" s="40"/>
      <c r="BH992" s="40"/>
      <c r="BI992" s="40"/>
      <c r="BJ992" s="40"/>
      <c r="BK992" s="40"/>
      <c r="BL992" s="40"/>
      <c r="BM992" s="40"/>
      <c r="BN992" s="40"/>
      <c r="BO992" s="40"/>
      <c r="BP992" s="40"/>
      <c r="BQ992" s="40"/>
      <c r="BR992" s="40"/>
      <c r="BS992" s="40"/>
      <c r="BT992" s="40"/>
      <c r="BU992" s="40"/>
      <c r="BV992" s="40"/>
      <c r="BW992" s="17"/>
      <c r="BX992" s="9"/>
      <c r="BY992" s="40"/>
      <c r="BZ992" s="40"/>
      <c r="CA992" s="40"/>
      <c r="CB992" s="40"/>
      <c r="CC992" s="8"/>
    </row>
    <row r="993" ht="18.75" customHeight="1">
      <c r="A993" s="40"/>
      <c r="B993" s="17"/>
      <c r="D993" s="40"/>
      <c r="G993" s="42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2"/>
      <c r="T993" s="40"/>
      <c r="U993" s="40"/>
      <c r="V993" s="40"/>
      <c r="W993" s="40"/>
      <c r="X993" s="40"/>
      <c r="Y993" s="40"/>
      <c r="Z993" s="40"/>
      <c r="AA993" s="40"/>
      <c r="AB993" s="40"/>
      <c r="AC993" s="40"/>
      <c r="AD993" s="40"/>
      <c r="AE993" s="40"/>
      <c r="AF993" s="40"/>
      <c r="AG993" s="40"/>
      <c r="AH993" s="40"/>
      <c r="AI993" s="40"/>
      <c r="AJ993" s="40"/>
      <c r="AK993" s="40"/>
      <c r="AL993" s="40"/>
      <c r="AM993" s="40"/>
      <c r="AN993" s="40"/>
      <c r="AO993" s="40"/>
      <c r="AP993" s="40"/>
      <c r="AQ993" s="40"/>
      <c r="AR993" s="40"/>
      <c r="AW993" s="40"/>
      <c r="AX993" s="65"/>
      <c r="AY993" s="65"/>
      <c r="AZ993" s="16"/>
      <c r="BA993" s="16"/>
      <c r="BB993" s="65"/>
      <c r="BC993" s="16"/>
      <c r="BD993" s="16"/>
      <c r="BE993" s="16"/>
      <c r="BF993" s="40"/>
      <c r="BG993" s="40"/>
      <c r="BH993" s="40"/>
      <c r="BI993" s="40"/>
      <c r="BJ993" s="40"/>
      <c r="BK993" s="40"/>
      <c r="BL993" s="40"/>
      <c r="BM993" s="40"/>
      <c r="BN993" s="40"/>
      <c r="BO993" s="40"/>
      <c r="BP993" s="40"/>
      <c r="BQ993" s="40"/>
      <c r="BR993" s="40"/>
      <c r="BS993" s="40"/>
      <c r="BT993" s="40"/>
      <c r="BU993" s="40"/>
      <c r="BV993" s="40"/>
      <c r="BW993" s="17"/>
      <c r="BX993" s="9"/>
      <c r="BY993" s="40"/>
      <c r="BZ993" s="40"/>
      <c r="CA993" s="40"/>
      <c r="CB993" s="40"/>
      <c r="CC993" s="8"/>
    </row>
    <row r="994" ht="18.75" customHeight="1">
      <c r="A994" s="40"/>
      <c r="B994" s="17"/>
      <c r="D994" s="40"/>
      <c r="G994" s="42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2"/>
      <c r="T994" s="40"/>
      <c r="U994" s="40"/>
      <c r="V994" s="40"/>
      <c r="W994" s="40"/>
      <c r="X994" s="40"/>
      <c r="Y994" s="40"/>
      <c r="Z994" s="40"/>
      <c r="AA994" s="40"/>
      <c r="AB994" s="40"/>
      <c r="AC994" s="40"/>
      <c r="AD994" s="40"/>
      <c r="AE994" s="40"/>
      <c r="AF994" s="40"/>
      <c r="AG994" s="40"/>
      <c r="AH994" s="40"/>
      <c r="AI994" s="40"/>
      <c r="AJ994" s="40"/>
      <c r="AK994" s="40"/>
      <c r="AL994" s="40"/>
      <c r="AM994" s="40"/>
      <c r="AN994" s="40"/>
      <c r="AO994" s="40"/>
      <c r="AP994" s="40"/>
      <c r="AQ994" s="40"/>
      <c r="AR994" s="40"/>
      <c r="AW994" s="40"/>
      <c r="AX994" s="65"/>
      <c r="AY994" s="65"/>
      <c r="AZ994" s="16"/>
      <c r="BA994" s="16"/>
      <c r="BB994" s="65"/>
      <c r="BC994" s="16"/>
      <c r="BD994" s="16"/>
      <c r="BE994" s="16"/>
      <c r="BF994" s="40"/>
      <c r="BG994" s="40"/>
      <c r="BH994" s="40"/>
      <c r="BI994" s="40"/>
      <c r="BJ994" s="40"/>
      <c r="BK994" s="40"/>
      <c r="BL994" s="40"/>
      <c r="BM994" s="40"/>
      <c r="BN994" s="40"/>
      <c r="BO994" s="40"/>
      <c r="BP994" s="40"/>
      <c r="BQ994" s="40"/>
      <c r="BR994" s="40"/>
      <c r="BS994" s="40"/>
      <c r="BT994" s="40"/>
      <c r="BU994" s="40"/>
      <c r="BV994" s="40"/>
      <c r="BW994" s="17"/>
      <c r="BX994" s="9"/>
      <c r="BY994" s="40"/>
      <c r="BZ994" s="40"/>
      <c r="CA994" s="40"/>
      <c r="CB994" s="40"/>
      <c r="CC994" s="8"/>
    </row>
    <row r="995" ht="18.75" customHeight="1">
      <c r="A995" s="40"/>
      <c r="B995" s="17"/>
      <c r="D995" s="40"/>
      <c r="G995" s="42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2"/>
      <c r="T995" s="40"/>
      <c r="U995" s="40"/>
      <c r="V995" s="40"/>
      <c r="W995" s="40"/>
      <c r="X995" s="40"/>
      <c r="Y995" s="40"/>
      <c r="Z995" s="40"/>
      <c r="AA995" s="40"/>
      <c r="AB995" s="40"/>
      <c r="AC995" s="40"/>
      <c r="AD995" s="40"/>
      <c r="AE995" s="40"/>
      <c r="AF995" s="40"/>
      <c r="AG995" s="40"/>
      <c r="AH995" s="40"/>
      <c r="AI995" s="40"/>
      <c r="AJ995" s="40"/>
      <c r="AK995" s="40"/>
      <c r="AL995" s="40"/>
      <c r="AM995" s="40"/>
      <c r="AN995" s="40"/>
      <c r="AO995" s="40"/>
      <c r="AP995" s="40"/>
      <c r="AQ995" s="40"/>
      <c r="AR995" s="40"/>
      <c r="AW995" s="40"/>
      <c r="AX995" s="65"/>
      <c r="AY995" s="65"/>
      <c r="AZ995" s="16"/>
      <c r="BA995" s="16"/>
      <c r="BB995" s="65"/>
      <c r="BC995" s="16"/>
      <c r="BD995" s="16"/>
      <c r="BE995" s="16"/>
      <c r="BF995" s="40"/>
      <c r="BG995" s="40"/>
      <c r="BH995" s="40"/>
      <c r="BI995" s="40"/>
      <c r="BJ995" s="40"/>
      <c r="BK995" s="40"/>
      <c r="BL995" s="40"/>
      <c r="BM995" s="40"/>
      <c r="BN995" s="40"/>
      <c r="BO995" s="40"/>
      <c r="BP995" s="40"/>
      <c r="BQ995" s="40"/>
      <c r="BR995" s="40"/>
      <c r="BS995" s="40"/>
      <c r="BT995" s="40"/>
      <c r="BU995" s="40"/>
      <c r="BV995" s="40"/>
      <c r="BW995" s="17"/>
      <c r="BX995" s="9"/>
      <c r="BY995" s="40"/>
      <c r="BZ995" s="40"/>
      <c r="CA995" s="40"/>
      <c r="CB995" s="40"/>
      <c r="CC995" s="8"/>
    </row>
    <row r="996" ht="18.75" customHeight="1">
      <c r="A996" s="40"/>
      <c r="B996" s="17"/>
      <c r="D996" s="40"/>
      <c r="G996" s="42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2"/>
      <c r="T996" s="40"/>
      <c r="U996" s="40"/>
      <c r="V996" s="40"/>
      <c r="W996" s="40"/>
      <c r="X996" s="40"/>
      <c r="Y996" s="40"/>
      <c r="Z996" s="40"/>
      <c r="AA996" s="40"/>
      <c r="AB996" s="40"/>
      <c r="AC996" s="40"/>
      <c r="AD996" s="40"/>
      <c r="AE996" s="40"/>
      <c r="AF996" s="40"/>
      <c r="AG996" s="40"/>
      <c r="AH996" s="40"/>
      <c r="AI996" s="40"/>
      <c r="AJ996" s="40"/>
      <c r="AK996" s="40"/>
      <c r="AL996" s="40"/>
      <c r="AM996" s="40"/>
      <c r="AN996" s="40"/>
      <c r="AO996" s="40"/>
      <c r="AP996" s="40"/>
      <c r="AQ996" s="40"/>
      <c r="AR996" s="40"/>
      <c r="AW996" s="40"/>
      <c r="AX996" s="65"/>
      <c r="AY996" s="65"/>
      <c r="AZ996" s="16"/>
      <c r="BA996" s="16"/>
      <c r="BB996" s="65"/>
      <c r="BC996" s="16"/>
      <c r="BD996" s="16"/>
      <c r="BE996" s="16"/>
      <c r="BF996" s="40"/>
      <c r="BG996" s="40"/>
      <c r="BH996" s="40"/>
      <c r="BI996" s="40"/>
      <c r="BJ996" s="40"/>
      <c r="BK996" s="40"/>
      <c r="BL996" s="40"/>
      <c r="BM996" s="40"/>
      <c r="BN996" s="40"/>
      <c r="BO996" s="40"/>
      <c r="BP996" s="40"/>
      <c r="BQ996" s="40"/>
      <c r="BR996" s="40"/>
      <c r="BS996" s="40"/>
      <c r="BT996" s="40"/>
      <c r="BU996" s="40"/>
      <c r="BV996" s="40"/>
      <c r="BW996" s="17"/>
      <c r="BX996" s="9"/>
      <c r="BY996" s="40"/>
      <c r="BZ996" s="40"/>
      <c r="CA996" s="40"/>
      <c r="CB996" s="40"/>
      <c r="CC996" s="8"/>
    </row>
    <row r="997" ht="18.75" customHeight="1">
      <c r="A997" s="40"/>
      <c r="B997" s="17"/>
      <c r="D997" s="40"/>
      <c r="G997" s="42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2"/>
      <c r="T997" s="40"/>
      <c r="U997" s="40"/>
      <c r="V997" s="40"/>
      <c r="W997" s="40"/>
      <c r="X997" s="40"/>
      <c r="Y997" s="40"/>
      <c r="Z997" s="40"/>
      <c r="AA997" s="40"/>
      <c r="AB997" s="40"/>
      <c r="AC997" s="40"/>
      <c r="AD997" s="40"/>
      <c r="AE997" s="40"/>
      <c r="AF997" s="40"/>
      <c r="AG997" s="40"/>
      <c r="AH997" s="40"/>
      <c r="AI997" s="40"/>
      <c r="AJ997" s="40"/>
      <c r="AK997" s="40"/>
      <c r="AL997" s="40"/>
      <c r="AM997" s="40"/>
      <c r="AN997" s="40"/>
      <c r="AO997" s="40"/>
      <c r="AP997" s="40"/>
      <c r="AQ997" s="40"/>
      <c r="AR997" s="40"/>
      <c r="AW997" s="40"/>
      <c r="AX997" s="65"/>
      <c r="AY997" s="65"/>
      <c r="AZ997" s="16"/>
      <c r="BA997" s="16"/>
      <c r="BB997" s="65"/>
      <c r="BC997" s="16"/>
      <c r="BD997" s="16"/>
      <c r="BE997" s="16"/>
      <c r="BF997" s="40"/>
      <c r="BG997" s="40"/>
      <c r="BH997" s="40"/>
      <c r="BI997" s="40"/>
      <c r="BJ997" s="40"/>
      <c r="BK997" s="40"/>
      <c r="BL997" s="40"/>
      <c r="BM997" s="40"/>
      <c r="BN997" s="40"/>
      <c r="BO997" s="40"/>
      <c r="BP997" s="40"/>
      <c r="BQ997" s="40"/>
      <c r="BR997" s="40"/>
      <c r="BS997" s="40"/>
      <c r="BT997" s="40"/>
      <c r="BU997" s="40"/>
      <c r="BV997" s="40"/>
      <c r="BW997" s="17"/>
      <c r="BX997" s="9"/>
      <c r="BY997" s="40"/>
      <c r="BZ997" s="40"/>
      <c r="CA997" s="40"/>
      <c r="CB997" s="40"/>
      <c r="CC997" s="8"/>
    </row>
    <row r="998" ht="18.75" customHeight="1">
      <c r="A998" s="40"/>
      <c r="B998" s="17"/>
      <c r="D998" s="40"/>
      <c r="G998" s="42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2"/>
      <c r="T998" s="40"/>
      <c r="U998" s="40"/>
      <c r="V998" s="40"/>
      <c r="W998" s="40"/>
      <c r="X998" s="40"/>
      <c r="Y998" s="40"/>
      <c r="Z998" s="40"/>
      <c r="AA998" s="40"/>
      <c r="AB998" s="40"/>
      <c r="AC998" s="40"/>
      <c r="AD998" s="40"/>
      <c r="AE998" s="40"/>
      <c r="AF998" s="40"/>
      <c r="AG998" s="40"/>
      <c r="AH998" s="40"/>
      <c r="AI998" s="40"/>
      <c r="AJ998" s="40"/>
      <c r="AK998" s="40"/>
      <c r="AL998" s="40"/>
      <c r="AM998" s="40"/>
      <c r="AN998" s="40"/>
      <c r="AO998" s="40"/>
      <c r="AP998" s="40"/>
      <c r="AQ998" s="40"/>
      <c r="AR998" s="40"/>
      <c r="AW998" s="40"/>
      <c r="AX998" s="65"/>
      <c r="AY998" s="65"/>
      <c r="AZ998" s="16"/>
      <c r="BA998" s="16"/>
      <c r="BB998" s="65"/>
      <c r="BC998" s="16"/>
      <c r="BD998" s="16"/>
      <c r="BE998" s="16"/>
      <c r="BF998" s="40"/>
      <c r="BG998" s="40"/>
      <c r="BH998" s="40"/>
      <c r="BI998" s="40"/>
      <c r="BJ998" s="40"/>
      <c r="BK998" s="40"/>
      <c r="BL998" s="40"/>
      <c r="BM998" s="40"/>
      <c r="BN998" s="40"/>
      <c r="BO998" s="40"/>
      <c r="BP998" s="40"/>
      <c r="BQ998" s="40"/>
      <c r="BR998" s="40"/>
      <c r="BS998" s="40"/>
      <c r="BT998" s="40"/>
      <c r="BU998" s="40"/>
      <c r="BV998" s="40"/>
      <c r="BW998" s="17"/>
      <c r="BX998" s="9"/>
      <c r="BY998" s="40"/>
      <c r="BZ998" s="40"/>
      <c r="CA998" s="40"/>
      <c r="CB998" s="40"/>
      <c r="CC998" s="8"/>
    </row>
    <row r="999" ht="18.75" customHeight="1">
      <c r="A999" s="40"/>
      <c r="B999" s="17"/>
      <c r="D999" s="40"/>
      <c r="G999" s="42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2"/>
      <c r="T999" s="40"/>
      <c r="U999" s="40"/>
      <c r="V999" s="40"/>
      <c r="W999" s="40"/>
      <c r="X999" s="40"/>
      <c r="Y999" s="40"/>
      <c r="Z999" s="40"/>
      <c r="AA999" s="40"/>
      <c r="AB999" s="40"/>
      <c r="AC999" s="40"/>
      <c r="AD999" s="40"/>
      <c r="AE999" s="40"/>
      <c r="AF999" s="40"/>
      <c r="AG999" s="40"/>
      <c r="AH999" s="40"/>
      <c r="AI999" s="40"/>
      <c r="AJ999" s="40"/>
      <c r="AK999" s="40"/>
      <c r="AL999" s="40"/>
      <c r="AM999" s="40"/>
      <c r="AN999" s="40"/>
      <c r="AO999" s="40"/>
      <c r="AP999" s="40"/>
      <c r="AQ999" s="40"/>
      <c r="AR999" s="40"/>
      <c r="AW999" s="40"/>
      <c r="AX999" s="65"/>
      <c r="AY999" s="65"/>
      <c r="AZ999" s="16"/>
      <c r="BA999" s="16"/>
      <c r="BB999" s="65"/>
      <c r="BC999" s="16"/>
      <c r="BD999" s="16"/>
      <c r="BE999" s="16"/>
      <c r="BF999" s="40"/>
      <c r="BG999" s="40"/>
      <c r="BH999" s="40"/>
      <c r="BI999" s="40"/>
      <c r="BJ999" s="40"/>
      <c r="BK999" s="40"/>
      <c r="BL999" s="40"/>
      <c r="BM999" s="40"/>
      <c r="BN999" s="40"/>
      <c r="BO999" s="40"/>
      <c r="BP999" s="40"/>
      <c r="BQ999" s="40"/>
      <c r="BR999" s="40"/>
      <c r="BS999" s="40"/>
      <c r="BT999" s="40"/>
      <c r="BU999" s="40"/>
      <c r="BV999" s="40"/>
      <c r="BW999" s="17"/>
      <c r="BX999" s="9"/>
      <c r="BY999" s="40"/>
      <c r="BZ999" s="40"/>
      <c r="CA999" s="40"/>
      <c r="CB999" s="40"/>
      <c r="CC999" s="8"/>
    </row>
    <row r="1000" ht="18.75" customHeight="1">
      <c r="A1000" s="40"/>
      <c r="B1000" s="17"/>
      <c r="D1000" s="40"/>
      <c r="G1000" s="42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2"/>
      <c r="T1000" s="40"/>
      <c r="U1000" s="40"/>
      <c r="V1000" s="40"/>
      <c r="W1000" s="40"/>
      <c r="X1000" s="40"/>
      <c r="Y1000" s="40"/>
      <c r="Z1000" s="40"/>
      <c r="AA1000" s="40"/>
      <c r="AB1000" s="40"/>
      <c r="AC1000" s="40"/>
      <c r="AD1000" s="40"/>
      <c r="AE1000" s="40"/>
      <c r="AF1000" s="40"/>
      <c r="AG1000" s="40"/>
      <c r="AH1000" s="40"/>
      <c r="AI1000" s="40"/>
      <c r="AJ1000" s="40"/>
      <c r="AK1000" s="40"/>
      <c r="AL1000" s="40"/>
      <c r="AM1000" s="40"/>
      <c r="AN1000" s="40"/>
      <c r="AO1000" s="40"/>
      <c r="AP1000" s="40"/>
      <c r="AQ1000" s="40"/>
      <c r="AR1000" s="40"/>
      <c r="AW1000" s="40"/>
      <c r="AX1000" s="65"/>
      <c r="AY1000" s="65"/>
      <c r="AZ1000" s="16"/>
      <c r="BA1000" s="16"/>
      <c r="BB1000" s="65"/>
      <c r="BC1000" s="16"/>
      <c r="BD1000" s="16"/>
      <c r="BE1000" s="16"/>
      <c r="BF1000" s="40"/>
      <c r="BG1000" s="40"/>
      <c r="BH1000" s="40"/>
      <c r="BI1000" s="40"/>
      <c r="BJ1000" s="40"/>
      <c r="BK1000" s="40"/>
      <c r="BL1000" s="40"/>
      <c r="BM1000" s="40"/>
      <c r="BN1000" s="40"/>
      <c r="BO1000" s="40"/>
      <c r="BP1000" s="40"/>
      <c r="BQ1000" s="40"/>
      <c r="BR1000" s="40"/>
      <c r="BS1000" s="40"/>
      <c r="BT1000" s="40"/>
      <c r="BU1000" s="40"/>
      <c r="BV1000" s="40"/>
      <c r="BW1000" s="17"/>
      <c r="BX1000" s="9"/>
      <c r="BY1000" s="40"/>
      <c r="BZ1000" s="40"/>
      <c r="CA1000" s="40"/>
      <c r="CB1000" s="40"/>
      <c r="CC1000" s="8"/>
    </row>
  </sheetData>
  <autoFilter ref="$A$1:$CW$1"/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2019-07-02T14:32:38Z</dcterms:created>
  <dc:creator>Douglas A. Malick</dc:creator>
</cp:coreProperties>
</file>